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o010\Desktop\업무\쉴더스손상\04. WP\"/>
    </mc:Choice>
  </mc:AlternateContent>
  <xr:revisionPtr revIDLastSave="0" documentId="13_ncr:1_{B84FDD34-BFAB-4711-92C7-F585CF2413AD}" xr6:coauthVersionLast="47" xr6:coauthVersionMax="47" xr10:uidLastSave="{00000000-0000-0000-0000-000000000000}"/>
  <bookViews>
    <workbookView xWindow="-108" yWindow="-108" windowWidth="23256" windowHeight="14016" xr2:uid="{0C3A2DB4-B36F-4DAD-AC07-97155EE40872}"/>
  </bookViews>
  <sheets>
    <sheet name="DCF" sheetId="1" r:id="rId1"/>
    <sheet name="총괄PL" sheetId="2" r:id="rId2"/>
    <sheet name="CyberSecurity" sheetId="3" r:id="rId3"/>
    <sheet name="Converged Security" sheetId="4" r:id="rId4"/>
    <sheet name="Physical Security" sheetId="5" r:id="rId5"/>
    <sheet name="Life Care Services" sheetId="6" r:id="rId6"/>
    <sheet name="Others&amp;NWC" sheetId="7" r:id="rId7"/>
  </sheets>
  <externalReferences>
    <externalReference r:id="rId8"/>
    <externalReference r:id="rId9"/>
  </externalReferences>
  <definedNames>
    <definedName name="Annual">[1]Control!$G$13</definedName>
    <definedName name="BN">[1]Control!$G$9</definedName>
    <definedName name="Halfyear">[1]Control!$G$12</definedName>
    <definedName name="IQ_DAILY">500000</definedName>
    <definedName name="MN">[1]Control!$G$10</definedName>
    <definedName name="Taxcase">[2]Control!$G$9</definedName>
    <definedName name="TBU">"RECO"</definedName>
    <definedName name="TH">[1]Control!$G$11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6" i="3" l="1"/>
  <c r="O96" i="3"/>
  <c r="N96" i="3"/>
  <c r="M96" i="3"/>
  <c r="L96" i="3"/>
  <c r="K96" i="3"/>
  <c r="J96" i="3"/>
  <c r="J484" i="6"/>
  <c r="L484" i="6"/>
  <c r="M484" i="6" s="1"/>
  <c r="N484" i="6" s="1"/>
  <c r="O484" i="6" s="1"/>
  <c r="P484" i="6" s="1"/>
  <c r="G320" i="6"/>
  <c r="H320" i="6"/>
  <c r="I320" i="6"/>
  <c r="J320" i="6"/>
  <c r="K320" i="6"/>
  <c r="L320" i="6"/>
  <c r="M320" i="6"/>
  <c r="N320" i="6"/>
  <c r="O320" i="6"/>
  <c r="P320" i="6"/>
  <c r="F81" i="6"/>
  <c r="G81" i="6"/>
  <c r="H81" i="6"/>
  <c r="K81" i="6"/>
  <c r="L81" i="6"/>
  <c r="M81" i="6"/>
  <c r="N81" i="6"/>
  <c r="O81" i="6"/>
  <c r="P81" i="6"/>
  <c r="J72" i="6"/>
  <c r="K72" i="6"/>
  <c r="L72" i="6"/>
  <c r="G242" i="7" l="1"/>
  <c r="G243" i="7" s="1"/>
  <c r="F242" i="7"/>
  <c r="F243" i="7" s="1"/>
  <c r="E242" i="7"/>
  <c r="E243" i="7" s="1"/>
  <c r="I240" i="7"/>
  <c r="H240" i="7"/>
  <c r="G236" i="7"/>
  <c r="G237" i="7" s="1"/>
  <c r="F236" i="7"/>
  <c r="F237" i="7" s="1"/>
  <c r="E236" i="7"/>
  <c r="E237" i="7" s="1"/>
  <c r="G230" i="7"/>
  <c r="G231" i="7" s="1"/>
  <c r="F230" i="7"/>
  <c r="F231" i="7" s="1"/>
  <c r="E230" i="7"/>
  <c r="E231" i="7" s="1"/>
  <c r="I228" i="7"/>
  <c r="H228" i="7"/>
  <c r="G224" i="7"/>
  <c r="G225" i="7" s="1"/>
  <c r="F224" i="7"/>
  <c r="F225" i="7" s="1"/>
  <c r="E224" i="7"/>
  <c r="E225" i="7" s="1"/>
  <c r="I222" i="7"/>
  <c r="H222" i="7"/>
  <c r="G218" i="7"/>
  <c r="G219" i="7" s="1"/>
  <c r="F218" i="7"/>
  <c r="F219" i="7" s="1"/>
  <c r="E218" i="7"/>
  <c r="E219" i="7" s="1"/>
  <c r="G212" i="7"/>
  <c r="G213" i="7" s="1"/>
  <c r="F212" i="7"/>
  <c r="F213" i="7" s="1"/>
  <c r="E212" i="7"/>
  <c r="E213" i="7" s="1"/>
  <c r="G206" i="7"/>
  <c r="G207" i="7" s="1"/>
  <c r="F206" i="7"/>
  <c r="F207" i="7" s="1"/>
  <c r="E206" i="7"/>
  <c r="E207" i="7" s="1"/>
  <c r="I204" i="7"/>
  <c r="H204" i="7"/>
  <c r="G200" i="7"/>
  <c r="G201" i="7" s="1"/>
  <c r="F200" i="7"/>
  <c r="F201" i="7" s="1"/>
  <c r="E200" i="7"/>
  <c r="E201" i="7" s="1"/>
  <c r="H198" i="7"/>
  <c r="G194" i="7"/>
  <c r="G195" i="7" s="1"/>
  <c r="F194" i="7"/>
  <c r="F195" i="7" s="1"/>
  <c r="E194" i="7"/>
  <c r="E195" i="7" s="1"/>
  <c r="I192" i="7"/>
  <c r="H192" i="7"/>
  <c r="G188" i="7"/>
  <c r="G189" i="7" s="1"/>
  <c r="F188" i="7"/>
  <c r="F189" i="7" s="1"/>
  <c r="E188" i="7"/>
  <c r="E189" i="7" s="1"/>
  <c r="I186" i="7"/>
  <c r="H186" i="7"/>
  <c r="J183" i="7"/>
  <c r="C173" i="7"/>
  <c r="C174" i="7" s="1"/>
  <c r="C175" i="7" s="1"/>
  <c r="C176" i="7" s="1"/>
  <c r="C177" i="7" s="1"/>
  <c r="C164" i="7"/>
  <c r="C165" i="7" s="1"/>
  <c r="C166" i="7" s="1"/>
  <c r="C167" i="7" s="1"/>
  <c r="C168" i="7" s="1"/>
  <c r="C155" i="7"/>
  <c r="C156" i="7" s="1"/>
  <c r="C157" i="7" s="1"/>
  <c r="C158" i="7" s="1"/>
  <c r="C159" i="7" s="1"/>
  <c r="P142" i="7"/>
  <c r="P118" i="7" s="1"/>
  <c r="O142" i="7"/>
  <c r="N142" i="7"/>
  <c r="N118" i="7" s="1"/>
  <c r="M142" i="7"/>
  <c r="L142" i="7"/>
  <c r="L118" i="7" s="1"/>
  <c r="L32" i="7" s="1"/>
  <c r="L105" i="2" s="1"/>
  <c r="K142" i="7"/>
  <c r="J142" i="7"/>
  <c r="P125" i="7"/>
  <c r="O125" i="7"/>
  <c r="O117" i="7" s="1"/>
  <c r="N125" i="7"/>
  <c r="M125" i="7"/>
  <c r="M117" i="7" s="1"/>
  <c r="L125" i="7"/>
  <c r="J125" i="7"/>
  <c r="J117" i="7" s="1"/>
  <c r="J32" i="7" s="1"/>
  <c r="J105" i="2" s="1"/>
  <c r="P122" i="7"/>
  <c r="O122" i="7"/>
  <c r="N122" i="7"/>
  <c r="M122" i="7"/>
  <c r="L122" i="7"/>
  <c r="J122" i="7"/>
  <c r="J36" i="7" s="1"/>
  <c r="J109" i="2" s="1"/>
  <c r="O118" i="7"/>
  <c r="M118" i="7"/>
  <c r="K118" i="7"/>
  <c r="J118" i="7"/>
  <c r="I118" i="7"/>
  <c r="G118" i="7"/>
  <c r="F118" i="7"/>
  <c r="F32" i="7" s="1"/>
  <c r="E118" i="7"/>
  <c r="P117" i="7"/>
  <c r="P32" i="7" s="1"/>
  <c r="P105" i="2" s="1"/>
  <c r="N117" i="7"/>
  <c r="L117" i="7"/>
  <c r="K117" i="7"/>
  <c r="E108" i="7"/>
  <c r="E111" i="7" s="1"/>
  <c r="P106" i="7"/>
  <c r="H102" i="7"/>
  <c r="I108" i="7"/>
  <c r="H108" i="7"/>
  <c r="G108" i="7"/>
  <c r="F108" i="7"/>
  <c r="I102" i="7"/>
  <c r="I29" i="7" s="1"/>
  <c r="F102" i="7"/>
  <c r="E102" i="7"/>
  <c r="E29" i="7" s="1"/>
  <c r="P101" i="7"/>
  <c r="J101" i="7"/>
  <c r="J28" i="7" s="1"/>
  <c r="J117" i="2" s="1"/>
  <c r="I59" i="7"/>
  <c r="H59" i="7"/>
  <c r="G59" i="7"/>
  <c r="F59" i="7"/>
  <c r="E59" i="7"/>
  <c r="I58" i="7"/>
  <c r="H58" i="7"/>
  <c r="G58" i="7"/>
  <c r="G54" i="7" s="1"/>
  <c r="F58" i="7"/>
  <c r="E58" i="7"/>
  <c r="I57" i="7"/>
  <c r="H57" i="7"/>
  <c r="G57" i="7"/>
  <c r="F57" i="7"/>
  <c r="E57" i="7"/>
  <c r="I56" i="7"/>
  <c r="H56" i="7"/>
  <c r="G56" i="7"/>
  <c r="F56" i="7"/>
  <c r="E56" i="7"/>
  <c r="I55" i="7"/>
  <c r="H55" i="7"/>
  <c r="H54" i="7" s="1"/>
  <c r="G55" i="7"/>
  <c r="F55" i="7"/>
  <c r="E55" i="7"/>
  <c r="E54" i="7" s="1"/>
  <c r="I53" i="7"/>
  <c r="H53" i="7"/>
  <c r="G53" i="7"/>
  <c r="F53" i="7"/>
  <c r="E53" i="7"/>
  <c r="I52" i="7"/>
  <c r="H52" i="7"/>
  <c r="G52" i="7"/>
  <c r="F52" i="7"/>
  <c r="E52" i="7"/>
  <c r="I51" i="7"/>
  <c r="H51" i="7"/>
  <c r="G51" i="7"/>
  <c r="F51" i="7"/>
  <c r="E51" i="7"/>
  <c r="I50" i="7"/>
  <c r="H50" i="7"/>
  <c r="G50" i="7"/>
  <c r="F50" i="7"/>
  <c r="E50" i="7"/>
  <c r="I49" i="7"/>
  <c r="H49" i="7"/>
  <c r="G49" i="7"/>
  <c r="G48" i="7" s="1"/>
  <c r="F49" i="7"/>
  <c r="E49" i="7"/>
  <c r="C39" i="7"/>
  <c r="P36" i="7"/>
  <c r="O36" i="7"/>
  <c r="N36" i="7"/>
  <c r="M36" i="7"/>
  <c r="L36" i="7"/>
  <c r="K36" i="7"/>
  <c r="I36" i="7"/>
  <c r="G36" i="7"/>
  <c r="F36" i="7"/>
  <c r="E36" i="7"/>
  <c r="K35" i="7"/>
  <c r="K34" i="7"/>
  <c r="K33" i="7"/>
  <c r="I33" i="7"/>
  <c r="G33" i="7"/>
  <c r="F33" i="7"/>
  <c r="E33" i="7"/>
  <c r="O32" i="7"/>
  <c r="K32" i="7"/>
  <c r="I32" i="7"/>
  <c r="G32" i="7"/>
  <c r="E32" i="7"/>
  <c r="I30" i="7"/>
  <c r="H30" i="7"/>
  <c r="G30" i="7"/>
  <c r="F30" i="7"/>
  <c r="E30" i="7"/>
  <c r="H29" i="7"/>
  <c r="F29" i="7"/>
  <c r="P28" i="7"/>
  <c r="O28" i="7"/>
  <c r="N28" i="7"/>
  <c r="M28" i="7"/>
  <c r="L28" i="7"/>
  <c r="K28" i="7"/>
  <c r="I28" i="7"/>
  <c r="H28" i="7"/>
  <c r="G28" i="7"/>
  <c r="F28" i="7"/>
  <c r="E28" i="7"/>
  <c r="P27" i="7"/>
  <c r="O27" i="7"/>
  <c r="N27" i="7"/>
  <c r="M27" i="7"/>
  <c r="L27" i="7"/>
  <c r="K27" i="7"/>
  <c r="J27" i="7"/>
  <c r="I27" i="7"/>
  <c r="H27" i="7"/>
  <c r="G27" i="7"/>
  <c r="F27" i="7"/>
  <c r="E27" i="7"/>
  <c r="Q26" i="7"/>
  <c r="P25" i="7"/>
  <c r="Q23" i="7"/>
  <c r="Q95" i="2" s="1"/>
  <c r="K23" i="7"/>
  <c r="Q22" i="7"/>
  <c r="Q94" i="2" s="1"/>
  <c r="K22" i="7"/>
  <c r="K21" i="7"/>
  <c r="J20" i="7"/>
  <c r="H21" i="7"/>
  <c r="G21" i="7"/>
  <c r="E19" i="7"/>
  <c r="L18" i="7"/>
  <c r="M18" i="7" s="1"/>
  <c r="N18" i="7" s="1"/>
  <c r="O18" i="7" s="1"/>
  <c r="P18" i="7" s="1"/>
  <c r="Q18" i="7" s="1"/>
  <c r="Q92" i="2" s="1"/>
  <c r="I18" i="7"/>
  <c r="I19" i="7" s="1"/>
  <c r="K19" i="7"/>
  <c r="G19" i="7"/>
  <c r="E18" i="7"/>
  <c r="K17" i="7"/>
  <c r="H17" i="7"/>
  <c r="G17" i="7"/>
  <c r="H15" i="7"/>
  <c r="G15" i="7"/>
  <c r="F15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E9" i="7"/>
  <c r="I671" i="6"/>
  <c r="H671" i="6"/>
  <c r="G671" i="6"/>
  <c r="F671" i="6"/>
  <c r="E671" i="6"/>
  <c r="I655" i="6"/>
  <c r="H655" i="6"/>
  <c r="G655" i="6"/>
  <c r="F655" i="6"/>
  <c r="E655" i="6"/>
  <c r="I621" i="6"/>
  <c r="H621" i="6"/>
  <c r="G621" i="6"/>
  <c r="F621" i="6"/>
  <c r="E621" i="6"/>
  <c r="C601" i="6"/>
  <c r="C602" i="6" s="1"/>
  <c r="C603" i="6" s="1"/>
  <c r="C604" i="6" s="1"/>
  <c r="C605" i="6" s="1"/>
  <c r="C590" i="6"/>
  <c r="C591" i="6" s="1"/>
  <c r="C592" i="6" s="1"/>
  <c r="C593" i="6" s="1"/>
  <c r="C594" i="6" s="1"/>
  <c r="D575" i="6"/>
  <c r="K570" i="6"/>
  <c r="E569" i="6"/>
  <c r="K560" i="6"/>
  <c r="C555" i="6"/>
  <c r="C556" i="6" s="1"/>
  <c r="C557" i="6" s="1"/>
  <c r="C558" i="6" s="1"/>
  <c r="C559" i="6" s="1"/>
  <c r="C545" i="6"/>
  <c r="C546" i="6" s="1"/>
  <c r="C547" i="6" s="1"/>
  <c r="C548" i="6" s="1"/>
  <c r="C549" i="6" s="1"/>
  <c r="J520" i="6"/>
  <c r="H516" i="6"/>
  <c r="G516" i="6"/>
  <c r="F516" i="6"/>
  <c r="E516" i="6"/>
  <c r="I515" i="6"/>
  <c r="H515" i="6"/>
  <c r="G515" i="6"/>
  <c r="F515" i="6"/>
  <c r="I514" i="6"/>
  <c r="H514" i="6"/>
  <c r="G514" i="6"/>
  <c r="F514" i="6"/>
  <c r="F513" i="6" s="1"/>
  <c r="F490" i="6" s="1"/>
  <c r="E514" i="6"/>
  <c r="I513" i="6"/>
  <c r="I490" i="6" s="1"/>
  <c r="G513" i="6"/>
  <c r="G490" i="6" s="1"/>
  <c r="I507" i="6"/>
  <c r="G507" i="6"/>
  <c r="F507" i="6"/>
  <c r="E507" i="6"/>
  <c r="C506" i="6"/>
  <c r="P504" i="6"/>
  <c r="P655" i="6" s="1"/>
  <c r="O504" i="6"/>
  <c r="O655" i="6" s="1"/>
  <c r="N504" i="6"/>
  <c r="N655" i="6" s="1"/>
  <c r="M504" i="6"/>
  <c r="M655" i="6" s="1"/>
  <c r="L504" i="6"/>
  <c r="L655" i="6" s="1"/>
  <c r="J504" i="6"/>
  <c r="J655" i="6" s="1"/>
  <c r="C503" i="6"/>
  <c r="C500" i="6"/>
  <c r="H492" i="6"/>
  <c r="G492" i="6"/>
  <c r="F492" i="6"/>
  <c r="E492" i="6"/>
  <c r="L471" i="6"/>
  <c r="M471" i="6" s="1"/>
  <c r="N471" i="6" s="1"/>
  <c r="O471" i="6" s="1"/>
  <c r="P471" i="6" s="1"/>
  <c r="K467" i="6"/>
  <c r="H467" i="6"/>
  <c r="G467" i="6"/>
  <c r="F467" i="6"/>
  <c r="F380" i="6" s="1"/>
  <c r="E467" i="6"/>
  <c r="K458" i="6"/>
  <c r="H450" i="6"/>
  <c r="K450" i="6" s="1"/>
  <c r="G450" i="6"/>
  <c r="F450" i="6"/>
  <c r="E443" i="6"/>
  <c r="P441" i="6"/>
  <c r="H443" i="6"/>
  <c r="K443" i="6" s="1"/>
  <c r="G443" i="6"/>
  <c r="F443" i="6"/>
  <c r="H435" i="6"/>
  <c r="G435" i="6"/>
  <c r="F435" i="6"/>
  <c r="E435" i="6"/>
  <c r="I434" i="6"/>
  <c r="H434" i="6"/>
  <c r="H375" i="6" s="1"/>
  <c r="G434" i="6"/>
  <c r="G375" i="6" s="1"/>
  <c r="F434" i="6"/>
  <c r="E434" i="6"/>
  <c r="H433" i="6"/>
  <c r="G433" i="6"/>
  <c r="F433" i="6"/>
  <c r="F436" i="6" s="1"/>
  <c r="E433" i="6"/>
  <c r="K425" i="6"/>
  <c r="J417" i="6"/>
  <c r="K417" i="6" s="1"/>
  <c r="H421" i="6"/>
  <c r="K421" i="6" s="1"/>
  <c r="L421" i="6" s="1"/>
  <c r="M421" i="6" s="1"/>
  <c r="N421" i="6" s="1"/>
  <c r="O421" i="6" s="1"/>
  <c r="P421" i="6" s="1"/>
  <c r="H413" i="6"/>
  <c r="G413" i="6"/>
  <c r="F413" i="6"/>
  <c r="E413" i="6"/>
  <c r="H412" i="6"/>
  <c r="G412" i="6"/>
  <c r="G371" i="6" s="1"/>
  <c r="F412" i="6"/>
  <c r="F371" i="6" s="1"/>
  <c r="E412" i="6"/>
  <c r="L405" i="6"/>
  <c r="P402" i="6"/>
  <c r="K397" i="6"/>
  <c r="G398" i="6"/>
  <c r="P395" i="6"/>
  <c r="H394" i="6"/>
  <c r="H389" i="6" s="1"/>
  <c r="H366" i="6" s="1"/>
  <c r="H31" i="6" s="1"/>
  <c r="H86" i="2" s="1"/>
  <c r="G394" i="6"/>
  <c r="G389" i="6" s="1"/>
  <c r="G366" i="6" s="1"/>
  <c r="F394" i="6"/>
  <c r="K391" i="6"/>
  <c r="H391" i="6"/>
  <c r="G391" i="6"/>
  <c r="F391" i="6"/>
  <c r="E391" i="6"/>
  <c r="I390" i="6"/>
  <c r="I367" i="6" s="1"/>
  <c r="H390" i="6"/>
  <c r="H367" i="6" s="1"/>
  <c r="G390" i="6"/>
  <c r="F390" i="6"/>
  <c r="F389" i="6"/>
  <c r="E389" i="6"/>
  <c r="I381" i="6"/>
  <c r="H381" i="6"/>
  <c r="G381" i="6"/>
  <c r="F381" i="6"/>
  <c r="E381" i="6"/>
  <c r="K380" i="6"/>
  <c r="H380" i="6"/>
  <c r="G380" i="6"/>
  <c r="E380" i="6"/>
  <c r="E378" i="6" s="1"/>
  <c r="E668" i="6" s="1"/>
  <c r="H379" i="6"/>
  <c r="G379" i="6"/>
  <c r="F379" i="6"/>
  <c r="I377" i="6"/>
  <c r="H377" i="6"/>
  <c r="G377" i="6"/>
  <c r="F377" i="6"/>
  <c r="E377" i="6"/>
  <c r="H376" i="6"/>
  <c r="G376" i="6"/>
  <c r="F376" i="6"/>
  <c r="E376" i="6"/>
  <c r="I375" i="6"/>
  <c r="F375" i="6"/>
  <c r="E375" i="6"/>
  <c r="H374" i="6"/>
  <c r="G374" i="6"/>
  <c r="F374" i="6"/>
  <c r="E374" i="6"/>
  <c r="H372" i="6"/>
  <c r="G372" i="6"/>
  <c r="F372" i="6"/>
  <c r="E372" i="6"/>
  <c r="H371" i="6"/>
  <c r="E371" i="6"/>
  <c r="E370" i="6" s="1"/>
  <c r="E634" i="6" s="1"/>
  <c r="I369" i="6"/>
  <c r="H369" i="6"/>
  <c r="G369" i="6"/>
  <c r="F369" i="6"/>
  <c r="F34" i="6" s="1"/>
  <c r="F89" i="2" s="1"/>
  <c r="E369" i="6"/>
  <c r="K368" i="6"/>
  <c r="H368" i="6"/>
  <c r="G368" i="6"/>
  <c r="F368" i="6"/>
  <c r="E368" i="6"/>
  <c r="G367" i="6"/>
  <c r="F367" i="6"/>
  <c r="F366" i="6"/>
  <c r="E366" i="6"/>
  <c r="K359" i="6"/>
  <c r="F353" i="6"/>
  <c r="F253" i="6" s="1"/>
  <c r="G354" i="6"/>
  <c r="G254" i="6" s="1"/>
  <c r="F354" i="6"/>
  <c r="F254" i="6" s="1"/>
  <c r="H353" i="6"/>
  <c r="H253" i="6" s="1"/>
  <c r="G353" i="6"/>
  <c r="E353" i="6"/>
  <c r="K348" i="6"/>
  <c r="H341" i="6"/>
  <c r="F341" i="6"/>
  <c r="M332" i="6"/>
  <c r="N332" i="6" s="1"/>
  <c r="O332" i="6" s="1"/>
  <c r="P332" i="6" s="1"/>
  <c r="P327" i="6"/>
  <c r="H309" i="6"/>
  <c r="H249" i="6" s="1"/>
  <c r="G309" i="6"/>
  <c r="G249" i="6" s="1"/>
  <c r="F309" i="6"/>
  <c r="F249" i="6" s="1"/>
  <c r="E309" i="6"/>
  <c r="H308" i="6"/>
  <c r="H248" i="6" s="1"/>
  <c r="G308" i="6"/>
  <c r="F308" i="6"/>
  <c r="E308" i="6"/>
  <c r="E248" i="6" s="1"/>
  <c r="I307" i="6"/>
  <c r="I245" i="6" s="1"/>
  <c r="I22" i="6" s="1"/>
  <c r="H307" i="6"/>
  <c r="H245" i="6" s="1"/>
  <c r="H22" i="6" s="1"/>
  <c r="H57" i="2" s="1"/>
  <c r="G307" i="6"/>
  <c r="G245" i="6" s="1"/>
  <c r="G22" i="6" s="1"/>
  <c r="G57" i="2" s="1"/>
  <c r="F307" i="6"/>
  <c r="E307" i="6"/>
  <c r="I306" i="6"/>
  <c r="I247" i="6" s="1"/>
  <c r="I24" i="6" s="1"/>
  <c r="H306" i="6"/>
  <c r="H247" i="6" s="1"/>
  <c r="H24" i="6" s="1"/>
  <c r="H59" i="2" s="1"/>
  <c r="F306" i="6"/>
  <c r="F247" i="6" s="1"/>
  <c r="F24" i="6" s="1"/>
  <c r="F59" i="2" s="1"/>
  <c r="I305" i="6"/>
  <c r="I246" i="6" s="1"/>
  <c r="I23" i="6" s="1"/>
  <c r="H305" i="6"/>
  <c r="H246" i="6" s="1"/>
  <c r="H23" i="6" s="1"/>
  <c r="H58" i="2" s="1"/>
  <c r="G305" i="6"/>
  <c r="G246" i="6" s="1"/>
  <c r="G23" i="6" s="1"/>
  <c r="G58" i="2" s="1"/>
  <c r="F305" i="6"/>
  <c r="E305" i="6"/>
  <c r="K292" i="6"/>
  <c r="J289" i="6"/>
  <c r="K289" i="6" s="1"/>
  <c r="L289" i="6" s="1"/>
  <c r="M289" i="6" s="1"/>
  <c r="N289" i="6" s="1"/>
  <c r="O289" i="6" s="1"/>
  <c r="P289" i="6" s="1"/>
  <c r="H285" i="6"/>
  <c r="H243" i="6" s="1"/>
  <c r="G285" i="6"/>
  <c r="G243" i="6" s="1"/>
  <c r="F285" i="6"/>
  <c r="F243" i="6" s="1"/>
  <c r="E285" i="6"/>
  <c r="H284" i="6"/>
  <c r="G284" i="6"/>
  <c r="G242" i="6" s="1"/>
  <c r="F284" i="6"/>
  <c r="E284" i="6"/>
  <c r="E242" i="6" s="1"/>
  <c r="H264" i="6"/>
  <c r="H239" i="6" s="1"/>
  <c r="E273" i="6"/>
  <c r="K264" i="6"/>
  <c r="K239" i="6" s="1"/>
  <c r="G264" i="6"/>
  <c r="G239" i="6" s="1"/>
  <c r="F264" i="6"/>
  <c r="E264" i="6"/>
  <c r="I263" i="6"/>
  <c r="I238" i="6" s="1"/>
  <c r="H263" i="6"/>
  <c r="H238" i="6" s="1"/>
  <c r="H21" i="6" s="1"/>
  <c r="H56" i="2" s="1"/>
  <c r="G263" i="6"/>
  <c r="G238" i="6" s="1"/>
  <c r="F263" i="6"/>
  <c r="F238" i="6" s="1"/>
  <c r="E263" i="6"/>
  <c r="E238" i="6" s="1"/>
  <c r="I255" i="6"/>
  <c r="H255" i="6"/>
  <c r="G255" i="6"/>
  <c r="F255" i="6"/>
  <c r="E255" i="6"/>
  <c r="E254" i="6"/>
  <c r="G253" i="6"/>
  <c r="E253" i="6"/>
  <c r="I251" i="6"/>
  <c r="H251" i="6"/>
  <c r="G251" i="6"/>
  <c r="F251" i="6"/>
  <c r="E251" i="6"/>
  <c r="I250" i="6"/>
  <c r="H250" i="6"/>
  <c r="G250" i="6"/>
  <c r="F250" i="6"/>
  <c r="E250" i="6"/>
  <c r="E249" i="6"/>
  <c r="G248" i="6"/>
  <c r="F248" i="6"/>
  <c r="F25" i="6" s="1"/>
  <c r="E247" i="6"/>
  <c r="E24" i="6" s="1"/>
  <c r="E59" i="2" s="1"/>
  <c r="F246" i="6"/>
  <c r="E246" i="6"/>
  <c r="F245" i="6"/>
  <c r="E245" i="6"/>
  <c r="E22" i="6" s="1"/>
  <c r="E57" i="2" s="1"/>
  <c r="E243" i="6"/>
  <c r="H242" i="6"/>
  <c r="F242" i="6"/>
  <c r="I240" i="6"/>
  <c r="H240" i="6"/>
  <c r="G240" i="6"/>
  <c r="F240" i="6"/>
  <c r="E240" i="6"/>
  <c r="F239" i="6"/>
  <c r="E239" i="6"/>
  <c r="N230" i="6"/>
  <c r="P229" i="6"/>
  <c r="P230" i="6" s="1"/>
  <c r="M230" i="6"/>
  <c r="L230" i="6"/>
  <c r="M228" i="6"/>
  <c r="L228" i="6"/>
  <c r="O474" i="6"/>
  <c r="N474" i="6"/>
  <c r="M474" i="6"/>
  <c r="L474" i="6"/>
  <c r="K474" i="6"/>
  <c r="Q221" i="6"/>
  <c r="Q220" i="6"/>
  <c r="P220" i="6" s="1"/>
  <c r="H221" i="6"/>
  <c r="G214" i="6"/>
  <c r="F214" i="6"/>
  <c r="E214" i="6"/>
  <c r="E216" i="6" s="1"/>
  <c r="F213" i="6" s="1"/>
  <c r="J209" i="6"/>
  <c r="K209" i="6" s="1"/>
  <c r="H533" i="6"/>
  <c r="I202" i="6"/>
  <c r="K202" i="6" s="1"/>
  <c r="L202" i="6" s="1"/>
  <c r="M202" i="6" s="1"/>
  <c r="N202" i="6" s="1"/>
  <c r="O202" i="6" s="1"/>
  <c r="P202" i="6" s="1"/>
  <c r="H202" i="6"/>
  <c r="G202" i="6"/>
  <c r="F202" i="6"/>
  <c r="E193" i="6"/>
  <c r="I577" i="6"/>
  <c r="H577" i="6"/>
  <c r="N192" i="6"/>
  <c r="M192" i="6"/>
  <c r="M187" i="6"/>
  <c r="N187" i="6" s="1"/>
  <c r="O187" i="6" s="1"/>
  <c r="P187" i="6" s="1"/>
  <c r="M183" i="6"/>
  <c r="N183" i="6" s="1"/>
  <c r="O183" i="6" s="1"/>
  <c r="P183" i="6" s="1"/>
  <c r="E181" i="6"/>
  <c r="I181" i="6"/>
  <c r="K181" i="6" s="1"/>
  <c r="K180" i="6" s="1"/>
  <c r="H181" i="6"/>
  <c r="G181" i="6"/>
  <c r="M185" i="6"/>
  <c r="I174" i="6"/>
  <c r="H174" i="6"/>
  <c r="G174" i="6"/>
  <c r="F174" i="6"/>
  <c r="I173" i="6"/>
  <c r="I581" i="6" s="1"/>
  <c r="H173" i="6"/>
  <c r="H581" i="6" s="1"/>
  <c r="G173" i="6"/>
  <c r="G581" i="6" s="1"/>
  <c r="G580" i="6" s="1"/>
  <c r="F173" i="6"/>
  <c r="F581" i="6" s="1"/>
  <c r="F580" i="6" s="1"/>
  <c r="E173" i="6"/>
  <c r="E581" i="6" s="1"/>
  <c r="E580" i="6" s="1"/>
  <c r="L185" i="6"/>
  <c r="G569" i="6"/>
  <c r="F569" i="6"/>
  <c r="L160" i="6"/>
  <c r="M160" i="6" s="1"/>
  <c r="N160" i="6" s="1"/>
  <c r="O160" i="6" s="1"/>
  <c r="P160" i="6" s="1"/>
  <c r="J152" i="6"/>
  <c r="K152" i="6" s="1"/>
  <c r="J150" i="6"/>
  <c r="K150" i="6" s="1"/>
  <c r="P147" i="6"/>
  <c r="G143" i="6"/>
  <c r="G141" i="6" s="1"/>
  <c r="E143" i="6"/>
  <c r="E137" i="6"/>
  <c r="F134" i="6" s="1"/>
  <c r="F137" i="6" s="1"/>
  <c r="I136" i="6"/>
  <c r="H136" i="6"/>
  <c r="G136" i="6"/>
  <c r="I135" i="6"/>
  <c r="H135" i="6"/>
  <c r="G135" i="6"/>
  <c r="G124" i="6"/>
  <c r="I124" i="6"/>
  <c r="J125" i="6" s="1"/>
  <c r="H124" i="6"/>
  <c r="H60" i="6" s="1"/>
  <c r="H12" i="6" s="1"/>
  <c r="H25" i="2" s="1"/>
  <c r="P118" i="6"/>
  <c r="P112" i="6"/>
  <c r="L99" i="6"/>
  <c r="K99" i="6"/>
  <c r="I99" i="6"/>
  <c r="H99" i="6"/>
  <c r="F99" i="6"/>
  <c r="P99" i="6"/>
  <c r="O99" i="6"/>
  <c r="N99" i="6"/>
  <c r="M99" i="6"/>
  <c r="H97" i="6"/>
  <c r="K96" i="6"/>
  <c r="K273" i="6" s="1"/>
  <c r="I273" i="6"/>
  <c r="H273" i="6"/>
  <c r="G273" i="6"/>
  <c r="F273" i="6"/>
  <c r="P86" i="6"/>
  <c r="L86" i="6"/>
  <c r="M86" i="6" s="1"/>
  <c r="N86" i="6" s="1"/>
  <c r="O85" i="6"/>
  <c r="F86" i="6"/>
  <c r="H78" i="6"/>
  <c r="I79" i="6"/>
  <c r="H79" i="6"/>
  <c r="G79" i="6"/>
  <c r="F79" i="6"/>
  <c r="E79" i="6"/>
  <c r="I78" i="6"/>
  <c r="G78" i="6"/>
  <c r="F78" i="6"/>
  <c r="E78" i="6"/>
  <c r="E88" i="6" s="1"/>
  <c r="G520" i="6"/>
  <c r="E73" i="6"/>
  <c r="E520" i="6" s="1"/>
  <c r="Q67" i="6"/>
  <c r="K66" i="6"/>
  <c r="K18" i="6" s="1"/>
  <c r="I66" i="6"/>
  <c r="H66" i="6"/>
  <c r="H18" i="6" s="1"/>
  <c r="H666" i="6" s="1"/>
  <c r="G66" i="6"/>
  <c r="G18" i="6" s="1"/>
  <c r="G666" i="6" s="1"/>
  <c r="F66" i="6"/>
  <c r="E66" i="6"/>
  <c r="E18" i="6" s="1"/>
  <c r="E666" i="6" s="1"/>
  <c r="I65" i="6"/>
  <c r="H65" i="6"/>
  <c r="H17" i="6" s="1"/>
  <c r="G65" i="6"/>
  <c r="F65" i="6"/>
  <c r="E65" i="6"/>
  <c r="I64" i="6"/>
  <c r="H64" i="6"/>
  <c r="G64" i="6"/>
  <c r="G16" i="6" s="1"/>
  <c r="F64" i="6"/>
  <c r="E64" i="6"/>
  <c r="H62" i="6"/>
  <c r="G62" i="6"/>
  <c r="F62" i="6"/>
  <c r="E62" i="6"/>
  <c r="H61" i="6"/>
  <c r="G61" i="6"/>
  <c r="G13" i="6" s="1"/>
  <c r="F61" i="6"/>
  <c r="E61" i="6"/>
  <c r="E13" i="6" s="1"/>
  <c r="G60" i="6"/>
  <c r="F60" i="6"/>
  <c r="K59" i="6"/>
  <c r="J59" i="6"/>
  <c r="I59" i="6"/>
  <c r="H59" i="6"/>
  <c r="H11" i="6" s="1"/>
  <c r="G59" i="6"/>
  <c r="F59" i="6"/>
  <c r="E59" i="6"/>
  <c r="E11" i="6" s="1"/>
  <c r="I58" i="6"/>
  <c r="I10" i="6" s="1"/>
  <c r="H58" i="6"/>
  <c r="H10" i="6" s="1"/>
  <c r="G58" i="6"/>
  <c r="F58" i="6"/>
  <c r="I36" i="6"/>
  <c r="H36" i="6"/>
  <c r="G36" i="6"/>
  <c r="F36" i="6"/>
  <c r="E36" i="6"/>
  <c r="E34" i="6"/>
  <c r="H33" i="6"/>
  <c r="G33" i="6"/>
  <c r="E32" i="6"/>
  <c r="E31" i="6"/>
  <c r="E86" i="2" s="1"/>
  <c r="I28" i="6"/>
  <c r="H28" i="6"/>
  <c r="G28" i="6"/>
  <c r="G63" i="2" s="1"/>
  <c r="H27" i="6"/>
  <c r="H62" i="2" s="1"/>
  <c r="G27" i="6"/>
  <c r="G62" i="2" s="1"/>
  <c r="F27" i="6"/>
  <c r="E27" i="6"/>
  <c r="F23" i="6"/>
  <c r="F58" i="2" s="1"/>
  <c r="E23" i="6"/>
  <c r="F22" i="6"/>
  <c r="K19" i="6"/>
  <c r="I18" i="6"/>
  <c r="F18" i="6"/>
  <c r="F666" i="6" s="1"/>
  <c r="I17" i="6"/>
  <c r="G17" i="6"/>
  <c r="F17" i="6"/>
  <c r="E17" i="6"/>
  <c r="I16" i="6"/>
  <c r="H16" i="6"/>
  <c r="F16" i="6"/>
  <c r="I14" i="6"/>
  <c r="H14" i="6"/>
  <c r="G14" i="6"/>
  <c r="F14" i="6"/>
  <c r="E14" i="6"/>
  <c r="H13" i="6"/>
  <c r="F13" i="6"/>
  <c r="G12" i="6"/>
  <c r="F12" i="6"/>
  <c r="F632" i="6" s="1"/>
  <c r="K11" i="6"/>
  <c r="J11" i="6"/>
  <c r="G11" i="6"/>
  <c r="F11" i="6"/>
  <c r="G10" i="6"/>
  <c r="I456" i="5"/>
  <c r="H456" i="5"/>
  <c r="G456" i="5"/>
  <c r="F456" i="5"/>
  <c r="E456" i="5"/>
  <c r="E451" i="5"/>
  <c r="C440" i="5"/>
  <c r="C441" i="5" s="1"/>
  <c r="C442" i="5" s="1"/>
  <c r="C443" i="5" s="1"/>
  <c r="C444" i="5" s="1"/>
  <c r="C430" i="5"/>
  <c r="C431" i="5" s="1"/>
  <c r="C432" i="5" s="1"/>
  <c r="C433" i="5" s="1"/>
  <c r="C434" i="5" s="1"/>
  <c r="E422" i="5"/>
  <c r="I421" i="5"/>
  <c r="H421" i="5"/>
  <c r="F421" i="5"/>
  <c r="I416" i="5"/>
  <c r="I415" i="5" s="1"/>
  <c r="H416" i="5"/>
  <c r="H415" i="5" s="1"/>
  <c r="H377" i="5" s="1"/>
  <c r="G416" i="5"/>
  <c r="G415" i="5" s="1"/>
  <c r="G377" i="5" s="1"/>
  <c r="F416" i="5"/>
  <c r="E416" i="5"/>
  <c r="E415" i="5" s="1"/>
  <c r="E377" i="5" s="1"/>
  <c r="F415" i="5"/>
  <c r="F377" i="5" s="1"/>
  <c r="E409" i="5"/>
  <c r="E410" i="5" s="1"/>
  <c r="H404" i="5"/>
  <c r="G404" i="5"/>
  <c r="F404" i="5"/>
  <c r="I399" i="5"/>
  <c r="I400" i="5"/>
  <c r="H400" i="5"/>
  <c r="H398" i="5" s="1"/>
  <c r="H375" i="5" s="1"/>
  <c r="G400" i="5"/>
  <c r="G398" i="5" s="1"/>
  <c r="G375" i="5" s="1"/>
  <c r="F400" i="5"/>
  <c r="H399" i="5"/>
  <c r="G399" i="5"/>
  <c r="F399" i="5"/>
  <c r="F398" i="5"/>
  <c r="F375" i="5" s="1"/>
  <c r="I391" i="5"/>
  <c r="G391" i="5"/>
  <c r="F391" i="5"/>
  <c r="F393" i="5" s="1"/>
  <c r="E391" i="5"/>
  <c r="E393" i="5" s="1"/>
  <c r="I389" i="5"/>
  <c r="G389" i="5"/>
  <c r="F389" i="5"/>
  <c r="E389" i="5"/>
  <c r="E26" i="5" s="1"/>
  <c r="C388" i="5"/>
  <c r="C385" i="5"/>
  <c r="E375" i="5"/>
  <c r="E376" i="5" s="1"/>
  <c r="E20" i="7" s="1"/>
  <c r="E367" i="5"/>
  <c r="E368" i="5" s="1"/>
  <c r="E359" i="5"/>
  <c r="L323" i="5"/>
  <c r="M323" i="5" s="1"/>
  <c r="N323" i="5" s="1"/>
  <c r="I322" i="5"/>
  <c r="H322" i="5"/>
  <c r="G322" i="5"/>
  <c r="F322" i="5"/>
  <c r="J320" i="5"/>
  <c r="G317" i="5"/>
  <c r="F317" i="5"/>
  <c r="E317" i="5"/>
  <c r="E316" i="5" s="1"/>
  <c r="E302" i="5" s="1"/>
  <c r="G318" i="5"/>
  <c r="F318" i="5"/>
  <c r="F319" i="5" s="1"/>
  <c r="I309" i="5"/>
  <c r="G309" i="5"/>
  <c r="F309" i="5"/>
  <c r="E309" i="5"/>
  <c r="H308" i="5"/>
  <c r="G308" i="5"/>
  <c r="G306" i="5" s="1"/>
  <c r="F308" i="5"/>
  <c r="F306" i="5" s="1"/>
  <c r="E308" i="5"/>
  <c r="E306" i="5" s="1"/>
  <c r="Q306" i="5"/>
  <c r="H306" i="5"/>
  <c r="K305" i="5"/>
  <c r="H305" i="5"/>
  <c r="G305" i="5"/>
  <c r="F305" i="5"/>
  <c r="F300" i="5" s="1"/>
  <c r="F453" i="5" s="1"/>
  <c r="E305" i="5"/>
  <c r="I304" i="5"/>
  <c r="H304" i="5"/>
  <c r="G304" i="5"/>
  <c r="F304" i="5"/>
  <c r="E304" i="5"/>
  <c r="I303" i="5"/>
  <c r="H303" i="5"/>
  <c r="H300" i="5" s="1"/>
  <c r="H453" i="5" s="1"/>
  <c r="G303" i="5"/>
  <c r="F303" i="5"/>
  <c r="E303" i="5"/>
  <c r="I302" i="5"/>
  <c r="H302" i="5"/>
  <c r="G302" i="5"/>
  <c r="G300" i="5" s="1"/>
  <c r="F302" i="5"/>
  <c r="Q300" i="5"/>
  <c r="Q310" i="5" s="1"/>
  <c r="E292" i="5"/>
  <c r="H292" i="5"/>
  <c r="K292" i="5" s="1"/>
  <c r="L292" i="5" s="1"/>
  <c r="M292" i="5" s="1"/>
  <c r="N292" i="5" s="1"/>
  <c r="O292" i="5" s="1"/>
  <c r="P292" i="5" s="1"/>
  <c r="G293" i="5"/>
  <c r="F293" i="5"/>
  <c r="E287" i="5"/>
  <c r="E285" i="5"/>
  <c r="H278" i="5"/>
  <c r="G287" i="5"/>
  <c r="F278" i="5"/>
  <c r="H279" i="5"/>
  <c r="G279" i="5"/>
  <c r="F279" i="5"/>
  <c r="F177" i="5" s="1"/>
  <c r="E279" i="5"/>
  <c r="G278" i="5"/>
  <c r="G280" i="5" s="1"/>
  <c r="E278" i="5"/>
  <c r="G271" i="5"/>
  <c r="F271" i="5"/>
  <c r="J270" i="5"/>
  <c r="I270" i="5"/>
  <c r="K270" i="5" s="1"/>
  <c r="L270" i="5" s="1"/>
  <c r="M270" i="5" s="1"/>
  <c r="N270" i="5" s="1"/>
  <c r="O270" i="5" s="1"/>
  <c r="P270" i="5" s="1"/>
  <c r="G269" i="5"/>
  <c r="F269" i="5"/>
  <c r="K268" i="5"/>
  <c r="L268" i="5" s="1"/>
  <c r="M268" i="5" s="1"/>
  <c r="N268" i="5" s="1"/>
  <c r="O268" i="5" s="1"/>
  <c r="P268" i="5" s="1"/>
  <c r="G267" i="5"/>
  <c r="F267" i="5"/>
  <c r="K266" i="5"/>
  <c r="L266" i="5" s="1"/>
  <c r="M266" i="5" s="1"/>
  <c r="N266" i="5" s="1"/>
  <c r="O266" i="5" s="1"/>
  <c r="P266" i="5" s="1"/>
  <c r="G265" i="5"/>
  <c r="F265" i="5"/>
  <c r="K264" i="5"/>
  <c r="L264" i="5" s="1"/>
  <c r="M264" i="5" s="1"/>
  <c r="N264" i="5" s="1"/>
  <c r="O264" i="5" s="1"/>
  <c r="P264" i="5" s="1"/>
  <c r="G263" i="5"/>
  <c r="F263" i="5"/>
  <c r="K262" i="5"/>
  <c r="L262" i="5" s="1"/>
  <c r="M262" i="5" s="1"/>
  <c r="N262" i="5" s="1"/>
  <c r="O262" i="5" s="1"/>
  <c r="P262" i="5" s="1"/>
  <c r="G261" i="5"/>
  <c r="F261" i="5"/>
  <c r="K260" i="5"/>
  <c r="L260" i="5" s="1"/>
  <c r="M260" i="5" s="1"/>
  <c r="N260" i="5" s="1"/>
  <c r="O260" i="5" s="1"/>
  <c r="P260" i="5" s="1"/>
  <c r="G259" i="5"/>
  <c r="F259" i="5"/>
  <c r="K258" i="5"/>
  <c r="L258" i="5" s="1"/>
  <c r="M258" i="5" s="1"/>
  <c r="N258" i="5" s="1"/>
  <c r="O258" i="5" s="1"/>
  <c r="P258" i="5" s="1"/>
  <c r="G253" i="5"/>
  <c r="H254" i="5" s="1"/>
  <c r="F253" i="5"/>
  <c r="F240" i="5" s="1"/>
  <c r="F172" i="5" s="1"/>
  <c r="E253" i="5"/>
  <c r="E240" i="5" s="1"/>
  <c r="E172" i="5" s="1"/>
  <c r="E17" i="5" s="1"/>
  <c r="E41" i="2" s="1"/>
  <c r="H251" i="5"/>
  <c r="J250" i="5"/>
  <c r="K250" i="5" s="1"/>
  <c r="G251" i="5"/>
  <c r="E247" i="5"/>
  <c r="E246" i="5"/>
  <c r="J245" i="5"/>
  <c r="H247" i="5"/>
  <c r="H248" i="5" s="1"/>
  <c r="G247" i="5"/>
  <c r="F247" i="5"/>
  <c r="H240" i="5"/>
  <c r="G240" i="5"/>
  <c r="G172" i="5" s="1"/>
  <c r="G17" i="5" s="1"/>
  <c r="G41" i="2" s="1"/>
  <c r="J239" i="5"/>
  <c r="I239" i="5"/>
  <c r="H239" i="5"/>
  <c r="G239" i="5"/>
  <c r="F239" i="5"/>
  <c r="E239" i="5"/>
  <c r="E171" i="5" s="1"/>
  <c r="E16" i="5" s="1"/>
  <c r="E40" i="2" s="1"/>
  <c r="I238" i="5"/>
  <c r="I170" i="5" s="1"/>
  <c r="I15" i="5" s="1"/>
  <c r="I39" i="2" s="1"/>
  <c r="H238" i="5"/>
  <c r="H241" i="5" s="1"/>
  <c r="G238" i="5"/>
  <c r="F238" i="5"/>
  <c r="E238" i="5"/>
  <c r="E233" i="5"/>
  <c r="H232" i="5"/>
  <c r="G232" i="5"/>
  <c r="F232" i="5"/>
  <c r="I228" i="5"/>
  <c r="I231" i="5" s="1"/>
  <c r="J231" i="5" s="1"/>
  <c r="K231" i="5" s="1"/>
  <c r="H227" i="5"/>
  <c r="H190" i="5" s="1"/>
  <c r="G227" i="5"/>
  <c r="G190" i="5" s="1"/>
  <c r="F227" i="5"/>
  <c r="E227" i="5"/>
  <c r="E225" i="5"/>
  <c r="H224" i="5"/>
  <c r="G224" i="5"/>
  <c r="F224" i="5"/>
  <c r="J220" i="5"/>
  <c r="H219" i="5"/>
  <c r="H189" i="5" s="1"/>
  <c r="G219" i="5"/>
  <c r="G189" i="5" s="1"/>
  <c r="F219" i="5"/>
  <c r="E219" i="5"/>
  <c r="E216" i="5"/>
  <c r="H215" i="5"/>
  <c r="G215" i="5"/>
  <c r="F215" i="5"/>
  <c r="G210" i="5"/>
  <c r="G188" i="5" s="1"/>
  <c r="F210" i="5"/>
  <c r="F188" i="5" s="1"/>
  <c r="H210" i="5"/>
  <c r="E210" i="5"/>
  <c r="E188" i="5" s="1"/>
  <c r="E208" i="5"/>
  <c r="H207" i="5"/>
  <c r="G207" i="5"/>
  <c r="F207" i="5"/>
  <c r="P205" i="5"/>
  <c r="J203" i="5"/>
  <c r="H202" i="5"/>
  <c r="G202" i="5"/>
  <c r="G187" i="5" s="1"/>
  <c r="F202" i="5"/>
  <c r="F187" i="5" s="1"/>
  <c r="E202" i="5"/>
  <c r="E187" i="5" s="1"/>
  <c r="E200" i="5"/>
  <c r="P207" i="5"/>
  <c r="P215" i="5" s="1"/>
  <c r="P224" i="5" s="1"/>
  <c r="P232" i="5" s="1"/>
  <c r="O207" i="5"/>
  <c r="O215" i="5" s="1"/>
  <c r="O224" i="5" s="1"/>
  <c r="O232" i="5" s="1"/>
  <c r="N207" i="5"/>
  <c r="N215" i="5" s="1"/>
  <c r="N224" i="5" s="1"/>
  <c r="N232" i="5" s="1"/>
  <c r="M207" i="5"/>
  <c r="M215" i="5" s="1"/>
  <c r="M224" i="5" s="1"/>
  <c r="M232" i="5" s="1"/>
  <c r="L207" i="5"/>
  <c r="L215" i="5" s="1"/>
  <c r="L224" i="5" s="1"/>
  <c r="L232" i="5" s="1"/>
  <c r="H199" i="5"/>
  <c r="G199" i="5"/>
  <c r="F199" i="5"/>
  <c r="J195" i="5"/>
  <c r="H246" i="5"/>
  <c r="I246" i="5" s="1"/>
  <c r="J246" i="5" s="1"/>
  <c r="K246" i="5" s="1"/>
  <c r="L246" i="5" s="1"/>
  <c r="M246" i="5" s="1"/>
  <c r="N246" i="5" s="1"/>
  <c r="O246" i="5" s="1"/>
  <c r="P246" i="5" s="1"/>
  <c r="G194" i="5"/>
  <c r="G186" i="5" s="1"/>
  <c r="F194" i="5"/>
  <c r="F186" i="5" s="1"/>
  <c r="I198" i="5"/>
  <c r="J198" i="5" s="1"/>
  <c r="K198" i="5" s="1"/>
  <c r="H194" i="5"/>
  <c r="E194" i="5"/>
  <c r="E186" i="5" s="1"/>
  <c r="E191" i="5" s="1"/>
  <c r="E169" i="5" s="1"/>
  <c r="I190" i="5"/>
  <c r="F190" i="5"/>
  <c r="E190" i="5"/>
  <c r="I189" i="5"/>
  <c r="F189" i="5"/>
  <c r="E189" i="5"/>
  <c r="I188" i="5"/>
  <c r="H188" i="5"/>
  <c r="I187" i="5"/>
  <c r="H187" i="5"/>
  <c r="I186" i="5"/>
  <c r="H186" i="5"/>
  <c r="Q179" i="5"/>
  <c r="H178" i="5"/>
  <c r="G178" i="5"/>
  <c r="F178" i="5"/>
  <c r="E178" i="5"/>
  <c r="H177" i="5"/>
  <c r="G177" i="5"/>
  <c r="E177" i="5"/>
  <c r="E176" i="5"/>
  <c r="E174" i="5"/>
  <c r="H173" i="5"/>
  <c r="G173" i="5"/>
  <c r="G18" i="5" s="1"/>
  <c r="F173" i="5"/>
  <c r="E173" i="5"/>
  <c r="H172" i="5"/>
  <c r="J171" i="5"/>
  <c r="I171" i="5"/>
  <c r="I16" i="5" s="1"/>
  <c r="I40" i="2" s="1"/>
  <c r="H171" i="5"/>
  <c r="G171" i="5"/>
  <c r="F171" i="5"/>
  <c r="G170" i="5"/>
  <c r="F170" i="5"/>
  <c r="F15" i="5" s="1"/>
  <c r="F39" i="2" s="1"/>
  <c r="E170" i="5"/>
  <c r="E156" i="5"/>
  <c r="E155" i="5" s="1"/>
  <c r="H156" i="5"/>
  <c r="H155" i="5" s="1"/>
  <c r="G156" i="5"/>
  <c r="G155" i="5" s="1"/>
  <c r="F285" i="5"/>
  <c r="E149" i="5"/>
  <c r="O367" i="5"/>
  <c r="N367" i="5"/>
  <c r="M367" i="5"/>
  <c r="L367" i="5"/>
  <c r="K367" i="5"/>
  <c r="H367" i="5"/>
  <c r="G367" i="5"/>
  <c r="F367" i="5"/>
  <c r="F368" i="5" s="1"/>
  <c r="H422" i="5"/>
  <c r="L422" i="5" s="1"/>
  <c r="F422" i="5"/>
  <c r="E143" i="5"/>
  <c r="E160" i="5" s="1"/>
  <c r="I142" i="5"/>
  <c r="I143" i="5" s="1"/>
  <c r="I160" i="5" s="1"/>
  <c r="H142" i="5"/>
  <c r="H143" i="5" s="1"/>
  <c r="H160" i="5" s="1"/>
  <c r="H159" i="5" s="1"/>
  <c r="G142" i="5"/>
  <c r="F142" i="5"/>
  <c r="E133" i="5"/>
  <c r="G122" i="5"/>
  <c r="K121" i="5"/>
  <c r="L121" i="5" s="1"/>
  <c r="M121" i="5" s="1"/>
  <c r="N121" i="5" s="1"/>
  <c r="O121" i="5" s="1"/>
  <c r="P121" i="5" s="1"/>
  <c r="I122" i="5"/>
  <c r="H122" i="5"/>
  <c r="F122" i="5"/>
  <c r="H120" i="5"/>
  <c r="F344" i="5" a="1"/>
  <c r="E114" i="5"/>
  <c r="E115" i="5" s="1"/>
  <c r="J113" i="5"/>
  <c r="I112" i="5"/>
  <c r="K112" i="5"/>
  <c r="L112" i="5" s="1"/>
  <c r="M112" i="5" s="1"/>
  <c r="N112" i="5" s="1"/>
  <c r="O112" i="5" s="1"/>
  <c r="P112" i="5" s="1"/>
  <c r="J108" i="5"/>
  <c r="H110" i="5"/>
  <c r="F109" i="5"/>
  <c r="F110" i="5" s="1"/>
  <c r="E109" i="5"/>
  <c r="E110" i="5" s="1"/>
  <c r="F106" i="5"/>
  <c r="G102" i="5" s="1"/>
  <c r="G106" i="5" s="1"/>
  <c r="H102" i="5" s="1"/>
  <c r="H115" i="5" s="1"/>
  <c r="E106" i="5"/>
  <c r="K105" i="5"/>
  <c r="G109" i="5"/>
  <c r="G110" i="5" s="1"/>
  <c r="F102" i="5"/>
  <c r="F115" i="5" s="1"/>
  <c r="I126" i="5"/>
  <c r="H126" i="5"/>
  <c r="I124" i="5"/>
  <c r="H124" i="5"/>
  <c r="G93" i="5"/>
  <c r="J92" i="5"/>
  <c r="K92" i="5"/>
  <c r="K93" i="5" s="1"/>
  <c r="H93" i="5"/>
  <c r="F93" i="5"/>
  <c r="I91" i="5"/>
  <c r="G91" i="5"/>
  <c r="J90" i="5"/>
  <c r="K90" i="5"/>
  <c r="H91" i="5"/>
  <c r="F91" i="5"/>
  <c r="I89" i="5"/>
  <c r="E85" i="5"/>
  <c r="E86" i="5" s="1"/>
  <c r="H81" i="5"/>
  <c r="E80" i="5"/>
  <c r="E81" i="5" s="1"/>
  <c r="E77" i="5"/>
  <c r="G80" i="5"/>
  <c r="G81" i="5" s="1"/>
  <c r="G82" i="5" s="1"/>
  <c r="F80" i="5"/>
  <c r="F81" i="5" s="1"/>
  <c r="F73" i="5"/>
  <c r="F77" i="5" s="1"/>
  <c r="H68" i="5"/>
  <c r="E69" i="5"/>
  <c r="H66" i="5"/>
  <c r="G66" i="5"/>
  <c r="F66" i="5"/>
  <c r="E66" i="5"/>
  <c r="G65" i="5"/>
  <c r="F65" i="5"/>
  <c r="F67" i="5" s="1"/>
  <c r="E65" i="5"/>
  <c r="E64" i="5"/>
  <c r="E63" i="5"/>
  <c r="H62" i="5"/>
  <c r="E62" i="5"/>
  <c r="H61" i="5"/>
  <c r="F61" i="5"/>
  <c r="E61" i="5"/>
  <c r="E60" i="5"/>
  <c r="I68" i="5"/>
  <c r="K68" i="5" s="1"/>
  <c r="F59" i="5"/>
  <c r="F68" i="5" s="1"/>
  <c r="E59" i="5"/>
  <c r="E405" i="5" s="1"/>
  <c r="E53" i="5"/>
  <c r="I52" i="5"/>
  <c r="H52" i="5"/>
  <c r="G52" i="5"/>
  <c r="F52" i="5"/>
  <c r="E52" i="5"/>
  <c r="E51" i="5"/>
  <c r="I50" i="5"/>
  <c r="H50" i="5"/>
  <c r="H11" i="5" s="1"/>
  <c r="G50" i="5"/>
  <c r="F50" i="5"/>
  <c r="F11" i="5" s="1"/>
  <c r="I49" i="5"/>
  <c r="G49" i="5"/>
  <c r="F49" i="5"/>
  <c r="Q48" i="5"/>
  <c r="Q53" i="5" s="1"/>
  <c r="G48" i="5"/>
  <c r="G451" i="5" s="1"/>
  <c r="I26" i="5"/>
  <c r="H26" i="5"/>
  <c r="G26" i="5"/>
  <c r="F26" i="5"/>
  <c r="I24" i="5"/>
  <c r="H24" i="5"/>
  <c r="G24" i="5"/>
  <c r="G76" i="2" s="1"/>
  <c r="F24" i="5"/>
  <c r="E24" i="5"/>
  <c r="K23" i="5"/>
  <c r="H23" i="5"/>
  <c r="G23" i="5"/>
  <c r="E23" i="5"/>
  <c r="I22" i="5"/>
  <c r="I74" i="2" s="1"/>
  <c r="G22" i="5"/>
  <c r="F22" i="5"/>
  <c r="E22" i="5"/>
  <c r="H21" i="5"/>
  <c r="G21" i="5"/>
  <c r="F21" i="5"/>
  <c r="E21" i="5"/>
  <c r="E73" i="2" s="1"/>
  <c r="I18" i="5"/>
  <c r="I42" i="2" s="1"/>
  <c r="H18" i="5"/>
  <c r="F18" i="5"/>
  <c r="F30" i="5" s="1"/>
  <c r="E18" i="5"/>
  <c r="E42" i="2" s="1"/>
  <c r="H17" i="5"/>
  <c r="J16" i="5"/>
  <c r="J40" i="2" s="1"/>
  <c r="H16" i="5"/>
  <c r="G16" i="5"/>
  <c r="F16" i="5"/>
  <c r="F40" i="2" s="1"/>
  <c r="G15" i="5"/>
  <c r="E15" i="5"/>
  <c r="E39" i="2" s="1"/>
  <c r="I12" i="5"/>
  <c r="H12" i="5"/>
  <c r="H307" i="5" s="1"/>
  <c r="G12" i="5"/>
  <c r="F12" i="5"/>
  <c r="E12" i="5"/>
  <c r="I11" i="5"/>
  <c r="G11" i="5"/>
  <c r="G10" i="5"/>
  <c r="F10" i="5"/>
  <c r="E9" i="5"/>
  <c r="E401" i="5" s="1"/>
  <c r="G264" i="4"/>
  <c r="K263" i="4"/>
  <c r="G258" i="4"/>
  <c r="F261" i="4"/>
  <c r="E261" i="4"/>
  <c r="I260" i="4"/>
  <c r="J260" i="4" s="1"/>
  <c r="G261" i="4"/>
  <c r="H261" i="4"/>
  <c r="K261" i="4" s="1"/>
  <c r="F258" i="4"/>
  <c r="E258" i="4"/>
  <c r="K253" i="4"/>
  <c r="J253" i="4"/>
  <c r="H254" i="4"/>
  <c r="G254" i="4"/>
  <c r="F254" i="4"/>
  <c r="E251" i="4"/>
  <c r="F250" i="4"/>
  <c r="J249" i="4"/>
  <c r="G251" i="4"/>
  <c r="G252" i="4" s="1"/>
  <c r="P248" i="4"/>
  <c r="P247" i="4" s="1"/>
  <c r="O248" i="4"/>
  <c r="N248" i="4"/>
  <c r="M248" i="4"/>
  <c r="M247" i="4" s="1"/>
  <c r="L248" i="4"/>
  <c r="H251" i="4"/>
  <c r="F251" i="4"/>
  <c r="F252" i="4" s="1"/>
  <c r="O247" i="4"/>
  <c r="N247" i="4"/>
  <c r="L247" i="4"/>
  <c r="I247" i="4"/>
  <c r="G247" i="4"/>
  <c r="F247" i="4"/>
  <c r="E247" i="4"/>
  <c r="J242" i="4"/>
  <c r="K242" i="4" s="1"/>
  <c r="H240" i="4"/>
  <c r="K240" i="4" s="1"/>
  <c r="E240" i="4"/>
  <c r="F240" i="4"/>
  <c r="G240" i="4"/>
  <c r="H237" i="4"/>
  <c r="F237" i="4"/>
  <c r="E237" i="4"/>
  <c r="K232" i="4"/>
  <c r="G230" i="4"/>
  <c r="G228" i="4"/>
  <c r="J227" i="4"/>
  <c r="I230" i="4"/>
  <c r="J230" i="4" s="1"/>
  <c r="K230" i="4" s="1"/>
  <c r="H230" i="4"/>
  <c r="G225" i="4"/>
  <c r="H225" i="4"/>
  <c r="F225" i="4"/>
  <c r="E225" i="4"/>
  <c r="J220" i="4"/>
  <c r="K220" i="4" s="1"/>
  <c r="L220" i="4" s="1"/>
  <c r="M220" i="4" s="1"/>
  <c r="N220" i="4" s="1"/>
  <c r="O220" i="4" s="1"/>
  <c r="P220" i="4" s="1"/>
  <c r="K218" i="4"/>
  <c r="H218" i="4"/>
  <c r="K216" i="4"/>
  <c r="J215" i="4"/>
  <c r="K215" i="4" s="1"/>
  <c r="H213" i="4"/>
  <c r="F213" i="4"/>
  <c r="E213" i="4"/>
  <c r="J208" i="4"/>
  <c r="K206" i="4"/>
  <c r="J204" i="4"/>
  <c r="K204" i="4" s="1"/>
  <c r="H202" i="4"/>
  <c r="G202" i="4"/>
  <c r="F202" i="4"/>
  <c r="E202" i="4"/>
  <c r="H197" i="4"/>
  <c r="G197" i="4"/>
  <c r="G26" i="4" s="1"/>
  <c r="G83" i="2" s="1"/>
  <c r="F197" i="4"/>
  <c r="E197" i="4"/>
  <c r="E26" i="4" s="1"/>
  <c r="E83" i="2" s="1"/>
  <c r="H196" i="4"/>
  <c r="H25" i="4" s="1"/>
  <c r="F196" i="4"/>
  <c r="F25" i="4" s="1"/>
  <c r="F82" i="2" s="1"/>
  <c r="E196" i="4"/>
  <c r="E25" i="4" s="1"/>
  <c r="E82" i="2" s="1"/>
  <c r="H192" i="4"/>
  <c r="G192" i="4"/>
  <c r="K191" i="4"/>
  <c r="L191" i="4" s="1"/>
  <c r="M191" i="4" s="1"/>
  <c r="N191" i="4" s="1"/>
  <c r="O191" i="4" s="1"/>
  <c r="P191" i="4" s="1"/>
  <c r="L190" i="4"/>
  <c r="M190" i="4" s="1"/>
  <c r="N190" i="4" s="1"/>
  <c r="O190" i="4" s="1"/>
  <c r="P190" i="4" s="1"/>
  <c r="I185" i="4"/>
  <c r="G186" i="4"/>
  <c r="G187" i="4"/>
  <c r="F187" i="4"/>
  <c r="E181" i="4"/>
  <c r="H177" i="4"/>
  <c r="G177" i="4"/>
  <c r="F177" i="4"/>
  <c r="I177" i="4"/>
  <c r="E175" i="4"/>
  <c r="P174" i="4"/>
  <c r="O174" i="4"/>
  <c r="N174" i="4"/>
  <c r="M174" i="4"/>
  <c r="L174" i="4"/>
  <c r="H172" i="4"/>
  <c r="G172" i="4"/>
  <c r="E172" i="4"/>
  <c r="J171" i="4"/>
  <c r="K171" i="4" s="1"/>
  <c r="F172" i="4"/>
  <c r="F173" i="4" s="1"/>
  <c r="E169" i="4"/>
  <c r="G167" i="4"/>
  <c r="I167" i="4"/>
  <c r="H167" i="4"/>
  <c r="E167" i="4"/>
  <c r="J162" i="4"/>
  <c r="K162" i="4" s="1"/>
  <c r="K163" i="4" s="1"/>
  <c r="E161" i="4"/>
  <c r="E158" i="4"/>
  <c r="P157" i="4"/>
  <c r="F157" i="4"/>
  <c r="J156" i="4"/>
  <c r="K156" i="4" s="1"/>
  <c r="H158" i="4"/>
  <c r="K158" i="4" s="1"/>
  <c r="G157" i="4"/>
  <c r="F158" i="4"/>
  <c r="F159" i="4" s="1"/>
  <c r="I154" i="4"/>
  <c r="J154" i="4" s="1"/>
  <c r="K154" i="4" s="1"/>
  <c r="L154" i="4" s="1"/>
  <c r="M154" i="4" s="1"/>
  <c r="N154" i="4" s="1"/>
  <c r="O154" i="4" s="1"/>
  <c r="P154" i="4" s="1"/>
  <c r="E154" i="4"/>
  <c r="F152" i="4"/>
  <c r="H152" i="4"/>
  <c r="G152" i="4"/>
  <c r="E152" i="4"/>
  <c r="H148" i="4"/>
  <c r="K147" i="4"/>
  <c r="L147" i="4" s="1"/>
  <c r="M147" i="4" s="1"/>
  <c r="N147" i="4" s="1"/>
  <c r="O147" i="4" s="1"/>
  <c r="P147" i="4" s="1"/>
  <c r="H146" i="4"/>
  <c r="H143" i="4"/>
  <c r="G143" i="4"/>
  <c r="G141" i="4"/>
  <c r="J140" i="4"/>
  <c r="I138" i="4"/>
  <c r="J138" i="4" s="1"/>
  <c r="K138" i="4" s="1"/>
  <c r="L138" i="4" s="1"/>
  <c r="M138" i="4" s="1"/>
  <c r="N138" i="4" s="1"/>
  <c r="O138" i="4" s="1"/>
  <c r="P138" i="4" s="1"/>
  <c r="F136" i="4"/>
  <c r="E136" i="4"/>
  <c r="J131" i="4"/>
  <c r="K131" i="4" s="1"/>
  <c r="P130" i="4"/>
  <c r="J123" i="4"/>
  <c r="H126" i="4"/>
  <c r="K126" i="4" s="1"/>
  <c r="L126" i="4" s="1"/>
  <c r="M126" i="4" s="1"/>
  <c r="G119" i="4"/>
  <c r="H119" i="4"/>
  <c r="F119" i="4"/>
  <c r="E119" i="4"/>
  <c r="G111" i="4"/>
  <c r="I115" i="4"/>
  <c r="F111" i="4"/>
  <c r="E111" i="4"/>
  <c r="H105" i="4"/>
  <c r="H21" i="4" s="1"/>
  <c r="H53" i="2" s="1"/>
  <c r="G105" i="4"/>
  <c r="F105" i="4"/>
  <c r="F21" i="4" s="1"/>
  <c r="F53" i="2" s="1"/>
  <c r="E105" i="4"/>
  <c r="E21" i="4" s="1"/>
  <c r="E53" i="2" s="1"/>
  <c r="H104" i="4"/>
  <c r="H20" i="4" s="1"/>
  <c r="H52" i="2" s="1"/>
  <c r="G104" i="4"/>
  <c r="G20" i="4" s="1"/>
  <c r="G52" i="2" s="1"/>
  <c r="F104" i="4"/>
  <c r="E104" i="4"/>
  <c r="H103" i="4"/>
  <c r="H19" i="4" s="1"/>
  <c r="H51" i="2" s="1"/>
  <c r="F103" i="4"/>
  <c r="F19" i="4" s="1"/>
  <c r="F51" i="2" s="1"/>
  <c r="E103" i="4"/>
  <c r="E19" i="4" s="1"/>
  <c r="E51" i="2" s="1"/>
  <c r="G102" i="4"/>
  <c r="G18" i="4" s="1"/>
  <c r="G50" i="2" s="1"/>
  <c r="E102" i="4"/>
  <c r="E18" i="4" s="1"/>
  <c r="E50" i="2" s="1"/>
  <c r="J96" i="4"/>
  <c r="K96" i="4" s="1"/>
  <c r="K97" i="4" s="1"/>
  <c r="K94" i="4"/>
  <c r="I93" i="4"/>
  <c r="H95" i="4"/>
  <c r="G95" i="4"/>
  <c r="F93" i="4"/>
  <c r="F16" i="4" s="1"/>
  <c r="E93" i="4"/>
  <c r="E16" i="4" s="1"/>
  <c r="H175" i="4"/>
  <c r="G175" i="4"/>
  <c r="F175" i="4"/>
  <c r="P90" i="4"/>
  <c r="I90" i="4"/>
  <c r="J89" i="4"/>
  <c r="J153" i="4" s="1"/>
  <c r="I161" i="4"/>
  <c r="J161" i="4" s="1"/>
  <c r="K161" i="4" s="1"/>
  <c r="L161" i="4" s="1"/>
  <c r="M161" i="4" s="1"/>
  <c r="N161" i="4" s="1"/>
  <c r="O161" i="4" s="1"/>
  <c r="P161" i="4" s="1"/>
  <c r="H154" i="4"/>
  <c r="F90" i="4"/>
  <c r="P82" i="4"/>
  <c r="K81" i="4"/>
  <c r="L81" i="4" s="1"/>
  <c r="H83" i="4"/>
  <c r="J83" i="4" s="1"/>
  <c r="G83" i="4"/>
  <c r="I228" i="4"/>
  <c r="J228" i="4" s="1"/>
  <c r="K228" i="4" s="1"/>
  <c r="H228" i="4"/>
  <c r="G138" i="4"/>
  <c r="H76" i="4"/>
  <c r="P75" i="4"/>
  <c r="P74" i="4" s="1"/>
  <c r="P72" i="4" s="1"/>
  <c r="O74" i="4"/>
  <c r="O72" i="4" s="1"/>
  <c r="N74" i="4"/>
  <c r="P73" i="4"/>
  <c r="N72" i="4"/>
  <c r="L74" i="4"/>
  <c r="K74" i="4"/>
  <c r="K72" i="4" s="1"/>
  <c r="K71" i="4" s="1"/>
  <c r="I72" i="4"/>
  <c r="I205" i="4" s="1"/>
  <c r="J205" i="4" s="1"/>
  <c r="K205" i="4" s="1"/>
  <c r="L205" i="4" s="1"/>
  <c r="M205" i="4" s="1"/>
  <c r="N205" i="4" s="1"/>
  <c r="O205" i="4" s="1"/>
  <c r="P205" i="4" s="1"/>
  <c r="H72" i="4"/>
  <c r="H205" i="4" s="1"/>
  <c r="G72" i="4"/>
  <c r="L62" i="4"/>
  <c r="I216" i="4"/>
  <c r="J216" i="4" s="1"/>
  <c r="G216" i="4"/>
  <c r="I66" i="4"/>
  <c r="J66" i="4" s="1"/>
  <c r="K66" i="4" s="1"/>
  <c r="L66" i="4" s="1"/>
  <c r="M66" i="4" s="1"/>
  <c r="H55" i="4"/>
  <c r="I54" i="4"/>
  <c r="I53" i="4" s="1"/>
  <c r="H54" i="4"/>
  <c r="H53" i="4" s="1"/>
  <c r="G54" i="4"/>
  <c r="G53" i="4" s="1"/>
  <c r="I52" i="4"/>
  <c r="H115" i="4"/>
  <c r="G115" i="4"/>
  <c r="G113" i="4" s="1"/>
  <c r="G56" i="4" s="1"/>
  <c r="H48" i="4"/>
  <c r="H10" i="4" s="1"/>
  <c r="G55" i="4"/>
  <c r="F48" i="4"/>
  <c r="F10" i="4" s="1"/>
  <c r="G49" i="4"/>
  <c r="G129" i="4" s="1"/>
  <c r="F49" i="4"/>
  <c r="E49" i="4"/>
  <c r="E11" i="4" s="1"/>
  <c r="I48" i="4"/>
  <c r="G48" i="4"/>
  <c r="E48" i="4"/>
  <c r="E10" i="4" s="1"/>
  <c r="E47" i="4"/>
  <c r="R30" i="4"/>
  <c r="R29" i="4"/>
  <c r="K29" i="4"/>
  <c r="Q27" i="4"/>
  <c r="P27" i="4"/>
  <c r="O27" i="4"/>
  <c r="N27" i="4"/>
  <c r="M27" i="4"/>
  <c r="L27" i="4"/>
  <c r="K27" i="4"/>
  <c r="K84" i="2" s="1"/>
  <c r="H27" i="4"/>
  <c r="G27" i="4"/>
  <c r="F27" i="4"/>
  <c r="E27" i="4"/>
  <c r="H26" i="4"/>
  <c r="H83" i="2" s="1"/>
  <c r="F26" i="4"/>
  <c r="Q22" i="4"/>
  <c r="P22" i="4"/>
  <c r="O22" i="4"/>
  <c r="N22" i="4"/>
  <c r="M22" i="4"/>
  <c r="L22" i="4"/>
  <c r="K22" i="4"/>
  <c r="H22" i="4"/>
  <c r="G22" i="4"/>
  <c r="F22" i="4"/>
  <c r="E22" i="4"/>
  <c r="G21" i="4"/>
  <c r="G53" i="2" s="1"/>
  <c r="F20" i="4"/>
  <c r="F52" i="2" s="1"/>
  <c r="E20" i="4"/>
  <c r="Q15" i="4"/>
  <c r="P15" i="4"/>
  <c r="O15" i="4"/>
  <c r="N15" i="4"/>
  <c r="M15" i="4"/>
  <c r="L15" i="4"/>
  <c r="H15" i="4"/>
  <c r="G15" i="4"/>
  <c r="F15" i="4"/>
  <c r="E15" i="4"/>
  <c r="J14" i="4"/>
  <c r="I14" i="4"/>
  <c r="H14" i="4"/>
  <c r="F14" i="4"/>
  <c r="E14" i="4"/>
  <c r="I12" i="4"/>
  <c r="H12" i="4"/>
  <c r="G12" i="4"/>
  <c r="F12" i="4"/>
  <c r="E12" i="4"/>
  <c r="G11" i="4"/>
  <c r="F11" i="4"/>
  <c r="K353" i="3"/>
  <c r="F354" i="3"/>
  <c r="G351" i="3"/>
  <c r="J348" i="3"/>
  <c r="H346" i="3"/>
  <c r="G346" i="3"/>
  <c r="E346" i="3"/>
  <c r="G342" i="3"/>
  <c r="F342" i="3"/>
  <c r="K341" i="3"/>
  <c r="I339" i="3"/>
  <c r="J339" i="3" s="1"/>
  <c r="K339" i="3" s="1"/>
  <c r="P338" i="3"/>
  <c r="J337" i="3"/>
  <c r="H339" i="3"/>
  <c r="G335" i="3"/>
  <c r="F335" i="3"/>
  <c r="E335" i="3"/>
  <c r="G331" i="3"/>
  <c r="F331" i="3"/>
  <c r="K330" i="3"/>
  <c r="I328" i="3"/>
  <c r="J328" i="3" s="1"/>
  <c r="J325" i="3"/>
  <c r="K325" i="3" s="1"/>
  <c r="H328" i="3"/>
  <c r="G323" i="3"/>
  <c r="F323" i="3"/>
  <c r="H323" i="3"/>
  <c r="E323" i="3"/>
  <c r="F319" i="3"/>
  <c r="K318" i="3"/>
  <c r="G319" i="3"/>
  <c r="I316" i="3"/>
  <c r="J316" i="3" s="1"/>
  <c r="K316" i="3" s="1"/>
  <c r="H316" i="3"/>
  <c r="J313" i="3"/>
  <c r="G316" i="3"/>
  <c r="F311" i="3"/>
  <c r="H311" i="3"/>
  <c r="G311" i="3"/>
  <c r="E311" i="3"/>
  <c r="F307" i="3"/>
  <c r="H307" i="3"/>
  <c r="G307" i="3"/>
  <c r="J304" i="3"/>
  <c r="K304" i="3" s="1"/>
  <c r="I304" i="3"/>
  <c r="H304" i="3"/>
  <c r="J301" i="3"/>
  <c r="G304" i="3"/>
  <c r="F299" i="3"/>
  <c r="H299" i="3"/>
  <c r="G299" i="3"/>
  <c r="E299" i="3"/>
  <c r="F295" i="3"/>
  <c r="H295" i="3"/>
  <c r="G295" i="3"/>
  <c r="I292" i="3"/>
  <c r="J292" i="3" s="1"/>
  <c r="K292" i="3" s="1"/>
  <c r="H292" i="3"/>
  <c r="J289" i="3"/>
  <c r="G292" i="3"/>
  <c r="F287" i="3"/>
  <c r="H287" i="3"/>
  <c r="G287" i="3"/>
  <c r="E287" i="3"/>
  <c r="P282" i="3"/>
  <c r="Q282" i="3" s="1"/>
  <c r="Q32" i="3" s="1"/>
  <c r="O282" i="3"/>
  <c r="O32" i="3" s="1"/>
  <c r="O80" i="2" s="1"/>
  <c r="N282" i="3"/>
  <c r="N32" i="3" s="1"/>
  <c r="N80" i="2" s="1"/>
  <c r="M282" i="3"/>
  <c r="M32" i="3" s="1"/>
  <c r="M80" i="2" s="1"/>
  <c r="L282" i="3"/>
  <c r="K282" i="3"/>
  <c r="K32" i="3" s="1"/>
  <c r="J282" i="3"/>
  <c r="I282" i="3"/>
  <c r="H282" i="3"/>
  <c r="H32" i="3" s="1"/>
  <c r="H80" i="2" s="1"/>
  <c r="G282" i="3"/>
  <c r="G32" i="3" s="1"/>
  <c r="G80" i="2" s="1"/>
  <c r="F282" i="3"/>
  <c r="F32" i="3" s="1"/>
  <c r="E282" i="3"/>
  <c r="E32" i="3" s="1"/>
  <c r="E80" i="2" s="1"/>
  <c r="H281" i="3"/>
  <c r="G281" i="3"/>
  <c r="F281" i="3"/>
  <c r="E281" i="3"/>
  <c r="E31" i="3" s="1"/>
  <c r="E79" i="2" s="1"/>
  <c r="I280" i="3"/>
  <c r="I30" i="3" s="1"/>
  <c r="I78" i="2" s="1"/>
  <c r="H280" i="3"/>
  <c r="H30" i="3" s="1"/>
  <c r="H78" i="2" s="1"/>
  <c r="G280" i="3"/>
  <c r="G30" i="3" s="1"/>
  <c r="F280" i="3"/>
  <c r="E280" i="3"/>
  <c r="K275" i="3"/>
  <c r="L273" i="3"/>
  <c r="M273" i="3" s="1"/>
  <c r="N273" i="3" s="1"/>
  <c r="O273" i="3" s="1"/>
  <c r="P273" i="3" s="1"/>
  <c r="K271" i="3"/>
  <c r="J272" i="3"/>
  <c r="I272" i="3"/>
  <c r="K270" i="3"/>
  <c r="I270" i="3" s="1"/>
  <c r="H267" i="3"/>
  <c r="G267" i="3"/>
  <c r="F267" i="3"/>
  <c r="E267" i="3"/>
  <c r="G263" i="3"/>
  <c r="F263" i="3"/>
  <c r="L262" i="3"/>
  <c r="M262" i="3" s="1"/>
  <c r="N262" i="3" s="1"/>
  <c r="O262" i="3" s="1"/>
  <c r="P262" i="3" s="1"/>
  <c r="K262" i="3"/>
  <c r="I262" i="3" s="1"/>
  <c r="J255" i="3"/>
  <c r="G258" i="3"/>
  <c r="I258" i="3"/>
  <c r="J258" i="3" s="1"/>
  <c r="K258" i="3" s="1"/>
  <c r="H258" i="3"/>
  <c r="G251" i="3"/>
  <c r="F251" i="3"/>
  <c r="E251" i="3"/>
  <c r="K246" i="3"/>
  <c r="H247" i="3"/>
  <c r="G247" i="3"/>
  <c r="F247" i="3"/>
  <c r="I238" i="3"/>
  <c r="H238" i="3"/>
  <c r="J237" i="3"/>
  <c r="I242" i="3"/>
  <c r="J242" i="3" s="1"/>
  <c r="K242" i="3" s="1"/>
  <c r="H242" i="3"/>
  <c r="G242" i="3"/>
  <c r="H233" i="3"/>
  <c r="G233" i="3"/>
  <c r="E233" i="3"/>
  <c r="K228" i="3"/>
  <c r="G229" i="3"/>
  <c r="F229" i="3"/>
  <c r="H224" i="3"/>
  <c r="G224" i="3"/>
  <c r="I223" i="3"/>
  <c r="H223" i="3"/>
  <c r="P222" i="3"/>
  <c r="O223" i="3"/>
  <c r="N223" i="3"/>
  <c r="M223" i="3"/>
  <c r="J222" i="3"/>
  <c r="I224" i="3"/>
  <c r="J224" i="3" s="1"/>
  <c r="K224" i="3" s="1"/>
  <c r="E219" i="3"/>
  <c r="H215" i="3"/>
  <c r="G215" i="3"/>
  <c r="F215" i="3"/>
  <c r="E215" i="3"/>
  <c r="H211" i="3"/>
  <c r="G211" i="3"/>
  <c r="F211" i="3"/>
  <c r="K210" i="3"/>
  <c r="E206" i="3"/>
  <c r="E208" i="3" s="1"/>
  <c r="E201" i="3"/>
  <c r="E203" i="3" s="1"/>
  <c r="P199" i="3"/>
  <c r="E199" i="3"/>
  <c r="H197" i="3"/>
  <c r="G197" i="3"/>
  <c r="E197" i="3"/>
  <c r="F193" i="3"/>
  <c r="E183" i="3"/>
  <c r="E185" i="3" s="1"/>
  <c r="P181" i="3"/>
  <c r="E181" i="3"/>
  <c r="E179" i="3"/>
  <c r="M169" i="3"/>
  <c r="P168" i="3"/>
  <c r="P169" i="3" s="1"/>
  <c r="O169" i="3"/>
  <c r="N169" i="3"/>
  <c r="J168" i="3"/>
  <c r="K168" i="3" s="1"/>
  <c r="K169" i="3" s="1"/>
  <c r="H169" i="3"/>
  <c r="G170" i="3"/>
  <c r="H164" i="3"/>
  <c r="F164" i="3"/>
  <c r="E164" i="3"/>
  <c r="H159" i="3"/>
  <c r="H26" i="3" s="1"/>
  <c r="H47" i="2" s="1"/>
  <c r="G159" i="3"/>
  <c r="F159" i="3"/>
  <c r="F26" i="3" s="1"/>
  <c r="F47" i="2" s="1"/>
  <c r="E159" i="3"/>
  <c r="E26" i="3" s="1"/>
  <c r="E47" i="2" s="1"/>
  <c r="I158" i="3"/>
  <c r="I25" i="3" s="1"/>
  <c r="I46" i="2" s="1"/>
  <c r="H158" i="3"/>
  <c r="H25" i="3" s="1"/>
  <c r="H46" i="2" s="1"/>
  <c r="G158" i="3"/>
  <c r="G25" i="3" s="1"/>
  <c r="G46" i="2" s="1"/>
  <c r="F158" i="3"/>
  <c r="E158" i="3"/>
  <c r="E25" i="3" s="1"/>
  <c r="E46" i="2" s="1"/>
  <c r="H157" i="3"/>
  <c r="H24" i="3" s="1"/>
  <c r="H45" i="2" s="1"/>
  <c r="G157" i="3"/>
  <c r="G24" i="3" s="1"/>
  <c r="F157" i="3"/>
  <c r="F24" i="3" s="1"/>
  <c r="F45" i="2" s="1"/>
  <c r="E157" i="3"/>
  <c r="E24" i="3" s="1"/>
  <c r="E45" i="2" s="1"/>
  <c r="I156" i="3"/>
  <c r="I23" i="3" s="1"/>
  <c r="I44" i="2" s="1"/>
  <c r="H156" i="3"/>
  <c r="H23" i="3" s="1"/>
  <c r="H44" i="2" s="1"/>
  <c r="G156" i="3"/>
  <c r="F156" i="3"/>
  <c r="F23" i="3" s="1"/>
  <c r="E156" i="3"/>
  <c r="E23" i="3" s="1"/>
  <c r="E44" i="2" s="1"/>
  <c r="M150" i="3"/>
  <c r="P149" i="3"/>
  <c r="P148" i="3"/>
  <c r="P147" i="3"/>
  <c r="N145" i="3"/>
  <c r="M145" i="3"/>
  <c r="O145" i="3"/>
  <c r="L145" i="3"/>
  <c r="L144" i="3" s="1"/>
  <c r="L143" i="3" s="1"/>
  <c r="K272" i="3"/>
  <c r="L272" i="3" s="1"/>
  <c r="M272" i="3" s="1"/>
  <c r="N272" i="3" s="1"/>
  <c r="O272" i="3" s="1"/>
  <c r="P272" i="3" s="1"/>
  <c r="L141" i="3"/>
  <c r="J139" i="3"/>
  <c r="K139" i="3" s="1"/>
  <c r="K21" i="3" s="1"/>
  <c r="K18" i="2" s="1"/>
  <c r="H269" i="3"/>
  <c r="P135" i="3"/>
  <c r="G135" i="3"/>
  <c r="F135" i="3"/>
  <c r="J134" i="3"/>
  <c r="K134" i="3" s="1"/>
  <c r="I349" i="3"/>
  <c r="J349" i="3" s="1"/>
  <c r="K349" i="3" s="1"/>
  <c r="H349" i="3"/>
  <c r="F253" i="3"/>
  <c r="H132" i="3"/>
  <c r="E132" i="3"/>
  <c r="P131" i="3"/>
  <c r="O129" i="3"/>
  <c r="P129" i="3" s="1"/>
  <c r="P128" i="3" s="1"/>
  <c r="N129" i="3"/>
  <c r="I127" i="3"/>
  <c r="J126" i="3"/>
  <c r="K126" i="3" s="1"/>
  <c r="K130" i="3" s="1"/>
  <c r="L130" i="3" s="1"/>
  <c r="M130" i="3" s="1"/>
  <c r="N130" i="3" s="1"/>
  <c r="I132" i="3"/>
  <c r="H127" i="3"/>
  <c r="G132" i="3"/>
  <c r="F132" i="3"/>
  <c r="G123" i="3"/>
  <c r="E123" i="3"/>
  <c r="P122" i="3"/>
  <c r="H122" i="3"/>
  <c r="I239" i="3"/>
  <c r="I240" i="3" s="1"/>
  <c r="H239" i="3"/>
  <c r="H240" i="3" s="1"/>
  <c r="G122" i="3"/>
  <c r="F123" i="3"/>
  <c r="H117" i="3"/>
  <c r="H18" i="3" s="1"/>
  <c r="I119" i="3"/>
  <c r="I256" i="3" s="1"/>
  <c r="G119" i="3"/>
  <c r="G20" i="3" s="1"/>
  <c r="F119" i="3"/>
  <c r="F261" i="3" s="1"/>
  <c r="E119" i="3"/>
  <c r="I118" i="3"/>
  <c r="H118" i="3"/>
  <c r="F118" i="3"/>
  <c r="E118" i="3"/>
  <c r="E19" i="3" s="1"/>
  <c r="E17" i="3" s="1"/>
  <c r="E17" i="2" s="1"/>
  <c r="G117" i="3"/>
  <c r="F117" i="3"/>
  <c r="F18" i="3" s="1"/>
  <c r="F17" i="3" s="1"/>
  <c r="F17" i="2" s="1"/>
  <c r="E117" i="3"/>
  <c r="G112" i="3"/>
  <c r="E112" i="3"/>
  <c r="I112" i="3"/>
  <c r="J112" i="3" s="1"/>
  <c r="K112" i="3" s="1"/>
  <c r="H112" i="3"/>
  <c r="P110" i="3"/>
  <c r="I108" i="3"/>
  <c r="E108" i="3"/>
  <c r="P107" i="3"/>
  <c r="F107" i="3"/>
  <c r="J106" i="3"/>
  <c r="K106" i="3" s="1"/>
  <c r="K107" i="3" s="1"/>
  <c r="I107" i="3"/>
  <c r="H107" i="3"/>
  <c r="H108" i="3"/>
  <c r="G108" i="3"/>
  <c r="F108" i="3"/>
  <c r="F109" i="3" s="1"/>
  <c r="I104" i="3"/>
  <c r="G104" i="3"/>
  <c r="F104" i="3"/>
  <c r="F16" i="3" s="1"/>
  <c r="E104" i="3"/>
  <c r="I103" i="3"/>
  <c r="I218" i="3" s="1"/>
  <c r="J218" i="3" s="1"/>
  <c r="K218" i="3" s="1"/>
  <c r="L218" i="3" s="1"/>
  <c r="M218" i="3" s="1"/>
  <c r="N218" i="3" s="1"/>
  <c r="O218" i="3" s="1"/>
  <c r="P218" i="3" s="1"/>
  <c r="H103" i="3"/>
  <c r="H218" i="3" s="1"/>
  <c r="E103" i="3"/>
  <c r="E218" i="3" s="1"/>
  <c r="I206" i="3"/>
  <c r="H206" i="3"/>
  <c r="G206" i="3"/>
  <c r="F206" i="3"/>
  <c r="F207" i="3" s="1"/>
  <c r="I201" i="3"/>
  <c r="H201" i="3"/>
  <c r="H202" i="3" s="1"/>
  <c r="G201" i="3"/>
  <c r="F201" i="3"/>
  <c r="F202" i="3" s="1"/>
  <c r="P89" i="3"/>
  <c r="G88" i="3"/>
  <c r="G93" i="3" s="1"/>
  <c r="E88" i="3"/>
  <c r="E93" i="3" s="1"/>
  <c r="I85" i="3"/>
  <c r="I86" i="3" s="1"/>
  <c r="I95" i="3" s="1"/>
  <c r="H85" i="3"/>
  <c r="G85" i="3"/>
  <c r="E85" i="3"/>
  <c r="E86" i="3" s="1"/>
  <c r="E95" i="3" s="1"/>
  <c r="E98" i="3" s="1"/>
  <c r="H199" i="3"/>
  <c r="G199" i="3"/>
  <c r="F199" i="3"/>
  <c r="H74" i="3"/>
  <c r="H78" i="3" s="1"/>
  <c r="E74" i="3"/>
  <c r="E78" i="3" s="1"/>
  <c r="E73" i="3"/>
  <c r="E188" i="3" s="1"/>
  <c r="E190" i="3" s="1"/>
  <c r="H72" i="3"/>
  <c r="E72" i="3"/>
  <c r="K183" i="3"/>
  <c r="I183" i="3"/>
  <c r="H183" i="3"/>
  <c r="H185" i="3" s="1"/>
  <c r="G72" i="3"/>
  <c r="F72" i="3"/>
  <c r="P70" i="3"/>
  <c r="F70" i="3"/>
  <c r="I73" i="3"/>
  <c r="I188" i="3" s="1"/>
  <c r="H70" i="3"/>
  <c r="G70" i="3"/>
  <c r="F73" i="3"/>
  <c r="F188" i="3" s="1"/>
  <c r="I302" i="3"/>
  <c r="J302" i="3" s="1"/>
  <c r="K302" i="3" s="1"/>
  <c r="H302" i="3"/>
  <c r="G302" i="3"/>
  <c r="F74" i="3"/>
  <c r="G66" i="3"/>
  <c r="G67" i="3" s="1"/>
  <c r="G76" i="3" s="1"/>
  <c r="F66" i="3"/>
  <c r="F67" i="3" s="1"/>
  <c r="F76" i="3" s="1"/>
  <c r="E66" i="3"/>
  <c r="E67" i="3" s="1"/>
  <c r="E76" i="3" s="1"/>
  <c r="I61" i="3"/>
  <c r="F61" i="3"/>
  <c r="H61" i="3"/>
  <c r="G61" i="3"/>
  <c r="F58" i="3"/>
  <c r="F59" i="3" s="1"/>
  <c r="P57" i="3"/>
  <c r="I57" i="3"/>
  <c r="J56" i="3"/>
  <c r="K56" i="3" s="1"/>
  <c r="K57" i="3" s="1"/>
  <c r="I290" i="3"/>
  <c r="J290" i="3" s="1"/>
  <c r="K290" i="3" s="1"/>
  <c r="H290" i="3"/>
  <c r="G290" i="3"/>
  <c r="F57" i="3"/>
  <c r="I58" i="3"/>
  <c r="H58" i="3"/>
  <c r="G58" i="3"/>
  <c r="F53" i="3"/>
  <c r="E55" i="3"/>
  <c r="H54" i="3"/>
  <c r="H11" i="3" s="1"/>
  <c r="G54" i="3"/>
  <c r="F54" i="3"/>
  <c r="F11" i="3" s="1"/>
  <c r="E54" i="3"/>
  <c r="E52" i="3" s="1"/>
  <c r="I53" i="3"/>
  <c r="H53" i="3"/>
  <c r="K34" i="3"/>
  <c r="K102" i="2" s="1"/>
  <c r="L32" i="3"/>
  <c r="L80" i="2" s="1"/>
  <c r="H31" i="3"/>
  <c r="H79" i="2" s="1"/>
  <c r="G31" i="3"/>
  <c r="G79" i="2" s="1"/>
  <c r="F31" i="3"/>
  <c r="F79" i="2" s="1"/>
  <c r="F30" i="3"/>
  <c r="F78" i="2" s="1"/>
  <c r="E30" i="3"/>
  <c r="Q27" i="3"/>
  <c r="Q48" i="2" s="1"/>
  <c r="P27" i="3"/>
  <c r="O27" i="3"/>
  <c r="N27" i="3"/>
  <c r="N48" i="2" s="1"/>
  <c r="M27" i="3"/>
  <c r="M48" i="2" s="1"/>
  <c r="L27" i="3"/>
  <c r="K27" i="3"/>
  <c r="K48" i="2" s="1"/>
  <c r="H27" i="3"/>
  <c r="G27" i="3"/>
  <c r="F27" i="3"/>
  <c r="E27" i="3"/>
  <c r="G26" i="3"/>
  <c r="G47" i="2" s="1"/>
  <c r="F25" i="3"/>
  <c r="G23" i="3"/>
  <c r="G44" i="2" s="1"/>
  <c r="I21" i="3"/>
  <c r="H21" i="3"/>
  <c r="G21" i="3"/>
  <c r="G18" i="2" s="1"/>
  <c r="F21" i="3"/>
  <c r="E21" i="3"/>
  <c r="I20" i="3"/>
  <c r="F20" i="3"/>
  <c r="E20" i="3"/>
  <c r="I19" i="3"/>
  <c r="H19" i="3"/>
  <c r="F19" i="3"/>
  <c r="G18" i="3"/>
  <c r="E18" i="3"/>
  <c r="I16" i="3"/>
  <c r="G16" i="3"/>
  <c r="E16" i="3"/>
  <c r="E14" i="3" s="1"/>
  <c r="E16" i="2" s="1"/>
  <c r="E15" i="3"/>
  <c r="I13" i="3"/>
  <c r="H13" i="3"/>
  <c r="G13" i="3"/>
  <c r="F13" i="3"/>
  <c r="E13" i="3"/>
  <c r="I12" i="3"/>
  <c r="H12" i="3"/>
  <c r="G12" i="3"/>
  <c r="F12" i="3"/>
  <c r="E12" i="3"/>
  <c r="G11" i="3"/>
  <c r="I10" i="3"/>
  <c r="H10" i="3"/>
  <c r="E10" i="3"/>
  <c r="I136" i="2"/>
  <c r="H136" i="2"/>
  <c r="H68" i="2" s="1"/>
  <c r="H67" i="2" s="1"/>
  <c r="G136" i="2"/>
  <c r="F136" i="2"/>
  <c r="F100" i="2" s="1"/>
  <c r="F81" i="7" s="1"/>
  <c r="E136" i="2"/>
  <c r="I133" i="2"/>
  <c r="I112" i="2" s="1"/>
  <c r="H133" i="2"/>
  <c r="H112" i="2" s="1"/>
  <c r="G133" i="2"/>
  <c r="G112" i="2" s="1"/>
  <c r="F133" i="2"/>
  <c r="E133" i="2"/>
  <c r="E112" i="2" s="1"/>
  <c r="P117" i="2"/>
  <c r="O117" i="2"/>
  <c r="N117" i="2"/>
  <c r="M117" i="2"/>
  <c r="L117" i="2"/>
  <c r="K117" i="2"/>
  <c r="Q115" i="2"/>
  <c r="P115" i="2"/>
  <c r="O115" i="2"/>
  <c r="N115" i="2"/>
  <c r="M115" i="2"/>
  <c r="L115" i="2"/>
  <c r="K115" i="2"/>
  <c r="J115" i="2"/>
  <c r="Q114" i="2"/>
  <c r="P114" i="2"/>
  <c r="O114" i="2"/>
  <c r="N114" i="2"/>
  <c r="M114" i="2"/>
  <c r="L114" i="2"/>
  <c r="K114" i="2"/>
  <c r="J114" i="2"/>
  <c r="Q112" i="2"/>
  <c r="F112" i="2"/>
  <c r="P110" i="2"/>
  <c r="Q110" i="2" s="1"/>
  <c r="O110" i="2"/>
  <c r="N110" i="2"/>
  <c r="M110" i="2"/>
  <c r="L110" i="2"/>
  <c r="K110" i="2"/>
  <c r="J110" i="2"/>
  <c r="P109" i="2"/>
  <c r="O109" i="2"/>
  <c r="N109" i="2"/>
  <c r="M109" i="2"/>
  <c r="L109" i="2"/>
  <c r="K109" i="2"/>
  <c r="K108" i="2"/>
  <c r="K107" i="2"/>
  <c r="K106" i="2"/>
  <c r="O105" i="2"/>
  <c r="K105" i="2"/>
  <c r="P103" i="2"/>
  <c r="O103" i="2"/>
  <c r="N103" i="2"/>
  <c r="M103" i="2"/>
  <c r="L103" i="2"/>
  <c r="K103" i="2"/>
  <c r="J103" i="2"/>
  <c r="P102" i="2"/>
  <c r="O102" i="2"/>
  <c r="N102" i="2"/>
  <c r="M102" i="2"/>
  <c r="L102" i="2"/>
  <c r="J102" i="2"/>
  <c r="I100" i="2"/>
  <c r="I81" i="7" s="1"/>
  <c r="G100" i="2"/>
  <c r="G81" i="7" s="1"/>
  <c r="E100" i="2"/>
  <c r="E81" i="7" s="1"/>
  <c r="Q97" i="2"/>
  <c r="I97" i="2"/>
  <c r="H97" i="2"/>
  <c r="G97" i="2"/>
  <c r="F97" i="2"/>
  <c r="E97" i="2"/>
  <c r="I96" i="2"/>
  <c r="H96" i="2"/>
  <c r="G96" i="2"/>
  <c r="F96" i="2"/>
  <c r="P95" i="2"/>
  <c r="O95" i="2"/>
  <c r="N95" i="2"/>
  <c r="M95" i="2"/>
  <c r="L95" i="2"/>
  <c r="K95" i="2"/>
  <c r="J95" i="2"/>
  <c r="P94" i="2"/>
  <c r="O94" i="2"/>
  <c r="N94" i="2"/>
  <c r="M94" i="2"/>
  <c r="L94" i="2"/>
  <c r="K94" i="2"/>
  <c r="J94" i="2"/>
  <c r="K93" i="2"/>
  <c r="J93" i="2"/>
  <c r="I93" i="2"/>
  <c r="H93" i="2"/>
  <c r="G93" i="2"/>
  <c r="F93" i="2"/>
  <c r="P92" i="2"/>
  <c r="O92" i="2"/>
  <c r="N92" i="2"/>
  <c r="M92" i="2"/>
  <c r="L92" i="2"/>
  <c r="K92" i="2"/>
  <c r="H92" i="2"/>
  <c r="G92" i="2"/>
  <c r="F92" i="2"/>
  <c r="E92" i="2"/>
  <c r="K91" i="2"/>
  <c r="H91" i="2"/>
  <c r="G91" i="2"/>
  <c r="F91" i="2"/>
  <c r="E89" i="2"/>
  <c r="H88" i="2"/>
  <c r="G88" i="2"/>
  <c r="E87" i="2"/>
  <c r="Q84" i="2"/>
  <c r="P84" i="2"/>
  <c r="O84" i="2"/>
  <c r="N84" i="2"/>
  <c r="M84" i="2"/>
  <c r="L84" i="2"/>
  <c r="I84" i="2"/>
  <c r="H84" i="2"/>
  <c r="G84" i="2"/>
  <c r="F84" i="2"/>
  <c r="E84" i="2"/>
  <c r="F83" i="2"/>
  <c r="I80" i="2"/>
  <c r="E78" i="2"/>
  <c r="I76" i="2"/>
  <c r="H76" i="2"/>
  <c r="F76" i="2"/>
  <c r="E76" i="2"/>
  <c r="K75" i="2"/>
  <c r="H75" i="2"/>
  <c r="G75" i="2"/>
  <c r="E75" i="2"/>
  <c r="G74" i="2"/>
  <c r="F74" i="2"/>
  <c r="E74" i="2"/>
  <c r="H73" i="2"/>
  <c r="G73" i="2"/>
  <c r="F73" i="2"/>
  <c r="I68" i="2"/>
  <c r="I67" i="2" s="1"/>
  <c r="G68" i="2"/>
  <c r="G67" i="2" s="1"/>
  <c r="E68" i="2"/>
  <c r="E67" i="2" s="1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I63" i="2"/>
  <c r="I62" i="2"/>
  <c r="F62" i="2"/>
  <c r="E62" i="2"/>
  <c r="E58" i="2"/>
  <c r="F57" i="2"/>
  <c r="Q54" i="2"/>
  <c r="P54" i="2"/>
  <c r="O54" i="2"/>
  <c r="M54" i="2"/>
  <c r="L54" i="2"/>
  <c r="K54" i="2"/>
  <c r="I54" i="2"/>
  <c r="H54" i="2"/>
  <c r="G54" i="2"/>
  <c r="F54" i="2"/>
  <c r="E54" i="2"/>
  <c r="E52" i="2"/>
  <c r="P48" i="2"/>
  <c r="O48" i="2"/>
  <c r="L48" i="2"/>
  <c r="I48" i="2"/>
  <c r="H48" i="2"/>
  <c r="F48" i="2"/>
  <c r="E48" i="2"/>
  <c r="F46" i="2"/>
  <c r="H42" i="2"/>
  <c r="H41" i="2"/>
  <c r="H40" i="2"/>
  <c r="G40" i="2"/>
  <c r="G39" i="2"/>
  <c r="E35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I27" i="2"/>
  <c r="F27" i="2"/>
  <c r="G25" i="2"/>
  <c r="F25" i="2"/>
  <c r="I21" i="2"/>
  <c r="H21" i="2"/>
  <c r="G21" i="2"/>
  <c r="F21" i="2"/>
  <c r="E21" i="2"/>
  <c r="I18" i="2"/>
  <c r="H18" i="2"/>
  <c r="F18" i="2"/>
  <c r="E18" i="2"/>
  <c r="I15" i="2"/>
  <c r="H15" i="2"/>
  <c r="G15" i="2"/>
  <c r="F15" i="2"/>
  <c r="E15" i="2"/>
  <c r="I14" i="2"/>
  <c r="H14" i="2"/>
  <c r="G14" i="2"/>
  <c r="F14" i="2"/>
  <c r="E14" i="2"/>
  <c r="I11" i="2"/>
  <c r="G11" i="2"/>
  <c r="F11" i="2"/>
  <c r="E11" i="2"/>
  <c r="E10" i="2"/>
  <c r="F36" i="1"/>
  <c r="F33" i="1"/>
  <c r="N32" i="1"/>
  <c r="O32" i="1" s="1"/>
  <c r="L32" i="1"/>
  <c r="K32" i="1"/>
  <c r="L19" i="1"/>
  <c r="M18" i="1"/>
  <c r="N18" i="1" s="1"/>
  <c r="L18" i="1"/>
  <c r="J18" i="1"/>
  <c r="I17" i="1"/>
  <c r="I54" i="7" l="1"/>
  <c r="F54" i="7"/>
  <c r="E26" i="7"/>
  <c r="M32" i="7"/>
  <c r="M105" i="2" s="1"/>
  <c r="N32" i="7"/>
  <c r="N105" i="2" s="1"/>
  <c r="K38" i="7"/>
  <c r="H26" i="7"/>
  <c r="E48" i="7"/>
  <c r="E60" i="7" s="1"/>
  <c r="H48" i="7"/>
  <c r="H60" i="7" s="1"/>
  <c r="I48" i="7"/>
  <c r="F48" i="7"/>
  <c r="F60" i="7" s="1"/>
  <c r="G60" i="7"/>
  <c r="I26" i="7"/>
  <c r="F26" i="7"/>
  <c r="E25" i="6"/>
  <c r="E60" i="2" s="1"/>
  <c r="G378" i="6"/>
  <c r="G668" i="6" s="1"/>
  <c r="H373" i="6"/>
  <c r="H652" i="6" s="1"/>
  <c r="F378" i="6"/>
  <c r="F668" i="6" s="1"/>
  <c r="G15" i="6"/>
  <c r="G26" i="2" s="1"/>
  <c r="E365" i="6"/>
  <c r="F33" i="6"/>
  <c r="F88" i="2" s="1"/>
  <c r="F32" i="6"/>
  <c r="F87" i="2" s="1"/>
  <c r="G34" i="6"/>
  <c r="G89" i="2" s="1"/>
  <c r="G27" i="2"/>
  <c r="E241" i="6"/>
  <c r="E633" i="6" s="1"/>
  <c r="H436" i="6"/>
  <c r="G25" i="6"/>
  <c r="G60" i="2" s="1"/>
  <c r="I60" i="6"/>
  <c r="J66" i="6"/>
  <c r="J18" i="6" s="1"/>
  <c r="E63" i="6"/>
  <c r="E67" i="6" s="1"/>
  <c r="P85" i="6"/>
  <c r="I59" i="2"/>
  <c r="I34" i="6"/>
  <c r="I89" i="2" s="1"/>
  <c r="G57" i="6"/>
  <c r="H57" i="6"/>
  <c r="H400" i="6" s="1"/>
  <c r="F15" i="6"/>
  <c r="F26" i="2" s="1"/>
  <c r="E58" i="6"/>
  <c r="E10" i="6" s="1"/>
  <c r="F63" i="6"/>
  <c r="F67" i="6" s="1"/>
  <c r="G137" i="6"/>
  <c r="F57" i="6"/>
  <c r="G63" i="6"/>
  <c r="E373" i="6"/>
  <c r="E652" i="6" s="1"/>
  <c r="H513" i="6"/>
  <c r="H490" i="6" s="1"/>
  <c r="F26" i="6"/>
  <c r="F61" i="2" s="1"/>
  <c r="G370" i="6"/>
  <c r="G634" i="6" s="1"/>
  <c r="F373" i="6"/>
  <c r="F652" i="6" s="1"/>
  <c r="P505" i="6"/>
  <c r="P251" i="6" s="1"/>
  <c r="H25" i="6"/>
  <c r="H60" i="2" s="1"/>
  <c r="H370" i="6"/>
  <c r="H634" i="6" s="1"/>
  <c r="E28" i="6"/>
  <c r="F365" i="6"/>
  <c r="H9" i="6"/>
  <c r="H615" i="6" s="1"/>
  <c r="E57" i="6"/>
  <c r="E26" i="6"/>
  <c r="E61" i="2" s="1"/>
  <c r="F28" i="6"/>
  <c r="F63" i="2" s="1"/>
  <c r="F216" i="6"/>
  <c r="G213" i="6" s="1"/>
  <c r="H32" i="6"/>
  <c r="H87" i="2" s="1"/>
  <c r="E60" i="6"/>
  <c r="H34" i="6"/>
  <c r="H89" i="2" s="1"/>
  <c r="F241" i="6"/>
  <c r="F633" i="6" s="1"/>
  <c r="F237" i="6"/>
  <c r="F21" i="6"/>
  <c r="F56" i="2" s="1"/>
  <c r="G26" i="6"/>
  <c r="G61" i="2" s="1"/>
  <c r="G241" i="6"/>
  <c r="G633" i="6" s="1"/>
  <c r="E63" i="2"/>
  <c r="E237" i="6"/>
  <c r="E21" i="6"/>
  <c r="E56" i="2" s="1"/>
  <c r="G31" i="6"/>
  <c r="G365" i="6"/>
  <c r="F370" i="6"/>
  <c r="F634" i="6" s="1"/>
  <c r="F31" i="6"/>
  <c r="F86" i="2" s="1"/>
  <c r="F85" i="2" s="1"/>
  <c r="G373" i="6"/>
  <c r="G652" i="6" s="1"/>
  <c r="G32" i="6"/>
  <c r="G87" i="2" s="1"/>
  <c r="K666" i="6"/>
  <c r="K27" i="2"/>
  <c r="E33" i="6"/>
  <c r="E88" i="2" s="1"/>
  <c r="E85" i="2" s="1"/>
  <c r="E252" i="6"/>
  <c r="E667" i="6" s="1"/>
  <c r="E669" i="6" s="1"/>
  <c r="E672" i="6" s="1"/>
  <c r="L505" i="6"/>
  <c r="L251" i="6" s="1"/>
  <c r="E27" i="2"/>
  <c r="H15" i="6"/>
  <c r="H26" i="2" s="1"/>
  <c r="I63" i="6"/>
  <c r="I58" i="2"/>
  <c r="I57" i="2"/>
  <c r="K504" i="6"/>
  <c r="K655" i="6" s="1"/>
  <c r="L506" i="6"/>
  <c r="L377" i="6" s="1"/>
  <c r="H24" i="2"/>
  <c r="G146" i="6"/>
  <c r="G252" i="6"/>
  <c r="G667" i="6" s="1"/>
  <c r="H237" i="6"/>
  <c r="H241" i="6"/>
  <c r="I57" i="6"/>
  <c r="I491" i="6" s="1"/>
  <c r="H63" i="6"/>
  <c r="G9" i="6"/>
  <c r="G24" i="2" s="1"/>
  <c r="G23" i="2" s="1"/>
  <c r="I666" i="6"/>
  <c r="H365" i="6"/>
  <c r="H378" i="6"/>
  <c r="H668" i="6" s="1"/>
  <c r="G436" i="6"/>
  <c r="E9" i="6"/>
  <c r="E24" i="2" s="1"/>
  <c r="F10" i="6"/>
  <c r="F9" i="6" s="1"/>
  <c r="I11" i="6"/>
  <c r="E16" i="6"/>
  <c r="E15" i="6" s="1"/>
  <c r="G237" i="6"/>
  <c r="G21" i="6"/>
  <c r="G56" i="2" s="1"/>
  <c r="I15" i="6"/>
  <c r="F244" i="6"/>
  <c r="F651" i="6" s="1"/>
  <c r="G216" i="6"/>
  <c r="I213" i="6" s="1"/>
  <c r="I216" i="6" s="1"/>
  <c r="J213" i="6" s="1"/>
  <c r="J216" i="6" s="1"/>
  <c r="H244" i="6"/>
  <c r="H651" i="6" s="1"/>
  <c r="P506" i="6"/>
  <c r="P377" i="6" s="1"/>
  <c r="H27" i="2"/>
  <c r="E12" i="6"/>
  <c r="E80" i="6"/>
  <c r="F77" i="6" s="1"/>
  <c r="F88" i="6" s="1"/>
  <c r="F89" i="6" s="1"/>
  <c r="E244" i="6"/>
  <c r="E651" i="6" s="1"/>
  <c r="F252" i="6"/>
  <c r="F667" i="6" s="1"/>
  <c r="F669" i="6" s="1"/>
  <c r="F672" i="6" s="1"/>
  <c r="F42" i="2"/>
  <c r="J32" i="3"/>
  <c r="J80" i="2" s="1"/>
  <c r="K80" i="2"/>
  <c r="P204" i="4"/>
  <c r="J18" i="7"/>
  <c r="J92" i="2" s="1"/>
  <c r="H63" i="2"/>
  <c r="I92" i="2"/>
  <c r="F60" i="2"/>
  <c r="G30" i="5"/>
  <c r="G42" i="2"/>
  <c r="E16" i="7"/>
  <c r="E91" i="2" s="1"/>
  <c r="E93" i="2"/>
  <c r="E167" i="5"/>
  <c r="E14" i="5"/>
  <c r="E38" i="2" s="1"/>
  <c r="E37" i="2" s="1"/>
  <c r="F17" i="5"/>
  <c r="F41" i="2" s="1"/>
  <c r="I377" i="5"/>
  <c r="H22" i="5"/>
  <c r="H74" i="2" s="1"/>
  <c r="H72" i="2" s="1"/>
  <c r="F82" i="5"/>
  <c r="G241" i="5"/>
  <c r="E280" i="5"/>
  <c r="F286" i="5"/>
  <c r="I191" i="5"/>
  <c r="G319" i="5"/>
  <c r="I398" i="5"/>
  <c r="E30" i="5"/>
  <c r="F23" i="5"/>
  <c r="F75" i="2" s="1"/>
  <c r="E159" i="5"/>
  <c r="H170" i="5"/>
  <c r="H15" i="5" s="1"/>
  <c r="H39" i="2" s="1"/>
  <c r="E379" i="5"/>
  <c r="E27" i="5" s="1"/>
  <c r="H20" i="5"/>
  <c r="E378" i="5"/>
  <c r="E24" i="7" s="1"/>
  <c r="E300" i="5"/>
  <c r="H11" i="2"/>
  <c r="E20" i="5"/>
  <c r="F378" i="5"/>
  <c r="G191" i="5"/>
  <c r="F248" i="5"/>
  <c r="F369" i="5"/>
  <c r="G176" i="5"/>
  <c r="G174" i="5" s="1"/>
  <c r="F9" i="5"/>
  <c r="F10" i="2" s="1"/>
  <c r="F9" i="2" s="1"/>
  <c r="F241" i="5"/>
  <c r="E81" i="2"/>
  <c r="F81" i="2"/>
  <c r="F24" i="4"/>
  <c r="E9" i="4"/>
  <c r="E20" i="2" s="1"/>
  <c r="H24" i="4"/>
  <c r="H82" i="2"/>
  <c r="H81" i="2" s="1"/>
  <c r="G241" i="4"/>
  <c r="E49" i="2"/>
  <c r="I191" i="4"/>
  <c r="E13" i="4"/>
  <c r="E17" i="4"/>
  <c r="J191" i="4"/>
  <c r="E24" i="4"/>
  <c r="N204" i="4"/>
  <c r="N54" i="2"/>
  <c r="L162" i="4"/>
  <c r="M162" i="4" s="1"/>
  <c r="N162" i="4" s="1"/>
  <c r="O162" i="4" s="1"/>
  <c r="P162" i="4" s="1"/>
  <c r="G188" i="4"/>
  <c r="G58" i="4"/>
  <c r="E110" i="4"/>
  <c r="F9" i="4"/>
  <c r="F20" i="2" s="1"/>
  <c r="O204" i="4"/>
  <c r="K93" i="4"/>
  <c r="F110" i="4"/>
  <c r="K119" i="3"/>
  <c r="K20" i="3" s="1"/>
  <c r="L134" i="3"/>
  <c r="L119" i="3" s="1"/>
  <c r="L20" i="3" s="1"/>
  <c r="E11" i="3"/>
  <c r="E9" i="3" s="1"/>
  <c r="K184" i="3"/>
  <c r="P145" i="3"/>
  <c r="P146" i="3" s="1"/>
  <c r="J119" i="3"/>
  <c r="J20" i="3" s="1"/>
  <c r="I202" i="3"/>
  <c r="E102" i="3"/>
  <c r="F124" i="3"/>
  <c r="J21" i="3"/>
  <c r="J18" i="2" s="1"/>
  <c r="G133" i="3"/>
  <c r="H15" i="3"/>
  <c r="H207" i="3"/>
  <c r="P32" i="3"/>
  <c r="P80" i="2" s="1"/>
  <c r="G22" i="3"/>
  <c r="G45" i="2"/>
  <c r="G43" i="2" s="1"/>
  <c r="F22" i="3"/>
  <c r="F44" i="2"/>
  <c r="F43" i="2" s="1"/>
  <c r="G29" i="3"/>
  <c r="G78" i="2"/>
  <c r="G77" i="2" s="1"/>
  <c r="F29" i="3"/>
  <c r="F80" i="2"/>
  <c r="F77" i="2" s="1"/>
  <c r="J288" i="3"/>
  <c r="K288" i="3" s="1"/>
  <c r="J312" i="3"/>
  <c r="H9" i="3"/>
  <c r="H13" i="2" s="1"/>
  <c r="H22" i="3"/>
  <c r="I207" i="3"/>
  <c r="E8" i="3"/>
  <c r="E22" i="3"/>
  <c r="E41" i="3" s="1"/>
  <c r="E29" i="3"/>
  <c r="G202" i="3"/>
  <c r="H43" i="2"/>
  <c r="I15" i="3"/>
  <c r="I14" i="3" s="1"/>
  <c r="I16" i="2" s="1"/>
  <c r="H52" i="3"/>
  <c r="H166" i="3" s="1"/>
  <c r="G59" i="3"/>
  <c r="I102" i="3"/>
  <c r="I220" i="3" s="1"/>
  <c r="J220" i="3" s="1"/>
  <c r="K220" i="3" s="1"/>
  <c r="L220" i="3" s="1"/>
  <c r="M220" i="3" s="1"/>
  <c r="N220" i="3" s="1"/>
  <c r="O220" i="3" s="1"/>
  <c r="P220" i="3" s="1"/>
  <c r="J300" i="3"/>
  <c r="K300" i="3" s="1"/>
  <c r="E13" i="2"/>
  <c r="G48" i="2"/>
  <c r="E77" i="3"/>
  <c r="F189" i="3"/>
  <c r="G124" i="3"/>
  <c r="H29" i="3"/>
  <c r="E91" i="3"/>
  <c r="I109" i="3"/>
  <c r="F133" i="3"/>
  <c r="H77" i="2"/>
  <c r="F90" i="2"/>
  <c r="E72" i="2"/>
  <c r="F72" i="2"/>
  <c r="Q105" i="2"/>
  <c r="H100" i="2"/>
  <c r="E43" i="2"/>
  <c r="E9" i="2"/>
  <c r="G90" i="2"/>
  <c r="H90" i="2"/>
  <c r="F68" i="2"/>
  <c r="F67" i="2" s="1"/>
  <c r="E90" i="2"/>
  <c r="E77" i="2"/>
  <c r="H85" i="2"/>
  <c r="Q109" i="2"/>
  <c r="G72" i="2"/>
  <c r="E12" i="2"/>
  <c r="Q80" i="2"/>
  <c r="O18" i="1"/>
  <c r="N19" i="1"/>
  <c r="M19" i="1"/>
  <c r="J19" i="1"/>
  <c r="Q103" i="2"/>
  <c r="G109" i="3"/>
  <c r="L271" i="3"/>
  <c r="L270" i="3" s="1"/>
  <c r="L139" i="3"/>
  <c r="M141" i="3"/>
  <c r="L142" i="3"/>
  <c r="F10" i="3"/>
  <c r="F9" i="3" s="1"/>
  <c r="F52" i="3"/>
  <c r="F173" i="3" s="1"/>
  <c r="H109" i="3"/>
  <c r="O146" i="3"/>
  <c r="I190" i="3"/>
  <c r="J190" i="3" s="1"/>
  <c r="K190" i="3" s="1"/>
  <c r="L126" i="3"/>
  <c r="H59" i="3"/>
  <c r="F78" i="3"/>
  <c r="F75" i="3"/>
  <c r="K185" i="3"/>
  <c r="H79" i="3"/>
  <c r="M126" i="3"/>
  <c r="J27" i="3"/>
  <c r="I59" i="3"/>
  <c r="J58" i="3"/>
  <c r="J55" i="3" s="1"/>
  <c r="M146" i="3"/>
  <c r="M144" i="3"/>
  <c r="M143" i="3" s="1"/>
  <c r="M139" i="3" s="1"/>
  <c r="N150" i="3"/>
  <c r="J132" i="3"/>
  <c r="K132" i="3" s="1"/>
  <c r="L132" i="3" s="1"/>
  <c r="M132" i="3" s="1"/>
  <c r="N132" i="3" s="1"/>
  <c r="O132" i="3" s="1"/>
  <c r="P132" i="3" s="1"/>
  <c r="I133" i="3"/>
  <c r="N146" i="3"/>
  <c r="N144" i="3"/>
  <c r="N143" i="3" s="1"/>
  <c r="F166" i="3"/>
  <c r="Q102" i="2"/>
  <c r="H133" i="3"/>
  <c r="H245" i="3"/>
  <c r="H235" i="3"/>
  <c r="N126" i="3"/>
  <c r="O130" i="3"/>
  <c r="J256" i="3"/>
  <c r="K256" i="3" s="1"/>
  <c r="I181" i="3"/>
  <c r="J181" i="3" s="1"/>
  <c r="K181" i="3" s="1"/>
  <c r="F183" i="3"/>
  <c r="F184" i="3" s="1"/>
  <c r="I199" i="3"/>
  <c r="J199" i="3" s="1"/>
  <c r="K199" i="3" s="1"/>
  <c r="H203" i="3"/>
  <c r="H208" i="3"/>
  <c r="H253" i="3"/>
  <c r="J80" i="4"/>
  <c r="K83" i="4"/>
  <c r="I54" i="3"/>
  <c r="I72" i="3"/>
  <c r="I74" i="3"/>
  <c r="F85" i="3"/>
  <c r="F96" i="3" s="1"/>
  <c r="F97" i="3" s="1"/>
  <c r="G207" i="3"/>
  <c r="H104" i="3"/>
  <c r="H16" i="3" s="1"/>
  <c r="J108" i="3"/>
  <c r="K108" i="3" s="1"/>
  <c r="L108" i="3" s="1"/>
  <c r="M108" i="3" s="1"/>
  <c r="N108" i="3" s="1"/>
  <c r="O108" i="3" s="1"/>
  <c r="P108" i="3" s="1"/>
  <c r="G118" i="3"/>
  <c r="G19" i="3" s="1"/>
  <c r="G17" i="3" s="1"/>
  <c r="G17" i="2" s="1"/>
  <c r="J121" i="3"/>
  <c r="H123" i="3"/>
  <c r="H124" i="3" s="1"/>
  <c r="L129" i="3"/>
  <c r="K350" i="3"/>
  <c r="L349" i="3"/>
  <c r="M349" i="3" s="1"/>
  <c r="N349" i="3" s="1"/>
  <c r="O349" i="3" s="1"/>
  <c r="P349" i="3" s="1"/>
  <c r="G164" i="3"/>
  <c r="I169" i="3"/>
  <c r="F185" i="3"/>
  <c r="G183" i="3"/>
  <c r="H184" i="3" s="1"/>
  <c r="I203" i="3"/>
  <c r="J203" i="3" s="1"/>
  <c r="K203" i="3" s="1"/>
  <c r="I208" i="3"/>
  <c r="J208" i="3" s="1"/>
  <c r="K208" i="3" s="1"/>
  <c r="L210" i="3"/>
  <c r="M210" i="3" s="1"/>
  <c r="N210" i="3" s="1"/>
  <c r="O210" i="3" s="1"/>
  <c r="P210" i="3" s="1"/>
  <c r="I210" i="3"/>
  <c r="I197" i="3" s="1"/>
  <c r="K243" i="3"/>
  <c r="L242" i="3"/>
  <c r="M242" i="3" s="1"/>
  <c r="N242" i="3" s="1"/>
  <c r="O242" i="3" s="1"/>
  <c r="P242" i="3" s="1"/>
  <c r="I253" i="3"/>
  <c r="J253" i="3" s="1"/>
  <c r="K253" i="3" s="1"/>
  <c r="L253" i="3" s="1"/>
  <c r="M253" i="3" s="1"/>
  <c r="N253" i="3" s="1"/>
  <c r="O253" i="3" s="1"/>
  <c r="P253" i="3" s="1"/>
  <c r="K255" i="3"/>
  <c r="J254" i="3"/>
  <c r="K254" i="3" s="1"/>
  <c r="L292" i="3"/>
  <c r="M292" i="3" s="1"/>
  <c r="N292" i="3" s="1"/>
  <c r="O292" i="3" s="1"/>
  <c r="P292" i="3" s="1"/>
  <c r="K293" i="3"/>
  <c r="G53" i="3"/>
  <c r="L290" i="3"/>
  <c r="M290" i="3" s="1"/>
  <c r="N290" i="3" s="1"/>
  <c r="O290" i="3" s="1"/>
  <c r="P290" i="3" s="1"/>
  <c r="K291" i="3"/>
  <c r="G314" i="3"/>
  <c r="G326" i="3"/>
  <c r="F103" i="3"/>
  <c r="E235" i="3"/>
  <c r="I123" i="3"/>
  <c r="G127" i="3"/>
  <c r="M129" i="3"/>
  <c r="L169" i="3"/>
  <c r="H173" i="3"/>
  <c r="F175" i="3"/>
  <c r="G193" i="3"/>
  <c r="G179" i="3"/>
  <c r="E220" i="3"/>
  <c r="L224" i="3"/>
  <c r="K225" i="3"/>
  <c r="J236" i="3"/>
  <c r="K236" i="3" s="1"/>
  <c r="K237" i="3"/>
  <c r="K238" i="3" s="1"/>
  <c r="G57" i="3"/>
  <c r="I70" i="3"/>
  <c r="G73" i="3"/>
  <c r="G188" i="3" s="1"/>
  <c r="G189" i="3" s="1"/>
  <c r="H326" i="3"/>
  <c r="H314" i="3"/>
  <c r="G103" i="3"/>
  <c r="G107" i="3"/>
  <c r="F112" i="3"/>
  <c r="P112" i="3" s="1"/>
  <c r="L112" i="3" s="1"/>
  <c r="M112" i="3" s="1"/>
  <c r="N112" i="3" s="1"/>
  <c r="O112" i="3" s="1"/>
  <c r="F245" i="3"/>
  <c r="F235" i="3"/>
  <c r="I122" i="3"/>
  <c r="H193" i="3"/>
  <c r="K192" i="3"/>
  <c r="J221" i="3"/>
  <c r="K222" i="3"/>
  <c r="I269" i="3"/>
  <c r="J269" i="3" s="1"/>
  <c r="K269" i="3" s="1"/>
  <c r="L269" i="3" s="1"/>
  <c r="M269" i="3" s="1"/>
  <c r="N269" i="3" s="1"/>
  <c r="O269" i="3" s="1"/>
  <c r="P269" i="3" s="1"/>
  <c r="L275" i="3"/>
  <c r="M275" i="3" s="1"/>
  <c r="N275" i="3" s="1"/>
  <c r="O275" i="3" s="1"/>
  <c r="P275" i="3" s="1"/>
  <c r="I275" i="3"/>
  <c r="J275" i="3" s="1"/>
  <c r="L304" i="3"/>
  <c r="M304" i="3" s="1"/>
  <c r="N304" i="3" s="1"/>
  <c r="O304" i="3" s="1"/>
  <c r="P304" i="3" s="1"/>
  <c r="K305" i="3"/>
  <c r="L339" i="3"/>
  <c r="M339" i="3" s="1"/>
  <c r="N339" i="3" s="1"/>
  <c r="O339" i="3" s="1"/>
  <c r="P339" i="3" s="1"/>
  <c r="K340" i="3"/>
  <c r="L341" i="3"/>
  <c r="M341" i="3" s="1"/>
  <c r="N341" i="3" s="1"/>
  <c r="O341" i="3" s="1"/>
  <c r="P341" i="3" s="1"/>
  <c r="I341" i="3"/>
  <c r="I335" i="3" s="1"/>
  <c r="E175" i="3"/>
  <c r="E173" i="3"/>
  <c r="H57" i="3"/>
  <c r="H73" i="3"/>
  <c r="H188" i="3" s="1"/>
  <c r="I314" i="3"/>
  <c r="J314" i="3" s="1"/>
  <c r="K314" i="3" s="1"/>
  <c r="I326" i="3"/>
  <c r="J326" i="3" s="1"/>
  <c r="K326" i="3" s="1"/>
  <c r="F88" i="3"/>
  <c r="E227" i="3"/>
  <c r="E253" i="3"/>
  <c r="E261" i="3"/>
  <c r="L348" i="3"/>
  <c r="H135" i="3"/>
  <c r="H175" i="3"/>
  <c r="F181" i="3"/>
  <c r="F190" i="3"/>
  <c r="F191" i="3" s="1"/>
  <c r="L223" i="3"/>
  <c r="L228" i="3"/>
  <c r="M228" i="3" s="1"/>
  <c r="N228" i="3" s="1"/>
  <c r="O228" i="3" s="1"/>
  <c r="P228" i="3" s="1"/>
  <c r="I228" i="3"/>
  <c r="I215" i="3" s="1"/>
  <c r="I353" i="3"/>
  <c r="J353" i="3" s="1"/>
  <c r="L353" i="3"/>
  <c r="M353" i="3" s="1"/>
  <c r="N353" i="3" s="1"/>
  <c r="O353" i="3" s="1"/>
  <c r="P353" i="3" s="1"/>
  <c r="L56" i="3"/>
  <c r="J60" i="3"/>
  <c r="J54" i="3" s="1"/>
  <c r="J11" i="3" s="1"/>
  <c r="H66" i="3"/>
  <c r="H67" i="3" s="1"/>
  <c r="H76" i="3" s="1"/>
  <c r="H77" i="3" s="1"/>
  <c r="L302" i="3"/>
  <c r="M302" i="3" s="1"/>
  <c r="N302" i="3" s="1"/>
  <c r="O302" i="3" s="1"/>
  <c r="P302" i="3" s="1"/>
  <c r="K303" i="3"/>
  <c r="I184" i="3"/>
  <c r="G96" i="3"/>
  <c r="L106" i="3"/>
  <c r="E116" i="3"/>
  <c r="K127" i="3"/>
  <c r="M134" i="3"/>
  <c r="I135" i="3"/>
  <c r="H170" i="3"/>
  <c r="H171" i="3" s="1"/>
  <c r="G190" i="3"/>
  <c r="I246" i="3"/>
  <c r="I233" i="3" s="1"/>
  <c r="L246" i="3"/>
  <c r="M246" i="3" s="1"/>
  <c r="N246" i="3" s="1"/>
  <c r="O246" i="3" s="1"/>
  <c r="P246" i="3" s="1"/>
  <c r="L316" i="3"/>
  <c r="M316" i="3" s="1"/>
  <c r="N316" i="3" s="1"/>
  <c r="O316" i="3" s="1"/>
  <c r="P316" i="3" s="1"/>
  <c r="K317" i="3"/>
  <c r="L318" i="3"/>
  <c r="M318" i="3" s="1"/>
  <c r="N318" i="3" s="1"/>
  <c r="O318" i="3" s="1"/>
  <c r="P318" i="3" s="1"/>
  <c r="I318" i="3"/>
  <c r="I311" i="3" s="1"/>
  <c r="J324" i="3"/>
  <c r="K328" i="3"/>
  <c r="L330" i="3"/>
  <c r="M330" i="3" s="1"/>
  <c r="N330" i="3" s="1"/>
  <c r="O330" i="3" s="1"/>
  <c r="P330" i="3" s="1"/>
  <c r="I330" i="3"/>
  <c r="I323" i="3" s="1"/>
  <c r="K337" i="3"/>
  <c r="J336" i="3"/>
  <c r="K348" i="3"/>
  <c r="I66" i="3"/>
  <c r="I67" i="3" s="1"/>
  <c r="I76" i="3" s="1"/>
  <c r="G86" i="3"/>
  <c r="G95" i="3" s="1"/>
  <c r="G98" i="3" s="1"/>
  <c r="H88" i="3"/>
  <c r="H89" i="3" s="1"/>
  <c r="G91" i="3"/>
  <c r="H96" i="3"/>
  <c r="H97" i="3" s="1"/>
  <c r="F116" i="3"/>
  <c r="I117" i="3"/>
  <c r="G261" i="3"/>
  <c r="G256" i="3"/>
  <c r="G239" i="3"/>
  <c r="G240" i="3" s="1"/>
  <c r="O144" i="3"/>
  <c r="O143" i="3" s="1"/>
  <c r="I170" i="3"/>
  <c r="G181" i="3"/>
  <c r="F203" i="3"/>
  <c r="F204" i="3" s="1"/>
  <c r="F197" i="3"/>
  <c r="K259" i="3"/>
  <c r="L258" i="3"/>
  <c r="M258" i="3" s="1"/>
  <c r="N258" i="3" s="1"/>
  <c r="O258" i="3" s="1"/>
  <c r="P258" i="3" s="1"/>
  <c r="I267" i="3"/>
  <c r="J71" i="4"/>
  <c r="J54" i="4" s="1"/>
  <c r="K76" i="4"/>
  <c r="K64" i="4" s="1"/>
  <c r="K65" i="4" s="1"/>
  <c r="K54" i="4"/>
  <c r="K53" i="4" s="1"/>
  <c r="L53" i="4" s="1"/>
  <c r="L71" i="4"/>
  <c r="G74" i="3"/>
  <c r="H75" i="3" s="1"/>
  <c r="H86" i="3"/>
  <c r="H95" i="3" s="1"/>
  <c r="I88" i="3"/>
  <c r="I93" i="3" s="1"/>
  <c r="I96" i="3"/>
  <c r="H102" i="3"/>
  <c r="H119" i="3"/>
  <c r="H116" i="3" s="1"/>
  <c r="G253" i="3"/>
  <c r="G349" i="3"/>
  <c r="E166" i="3"/>
  <c r="H179" i="3"/>
  <c r="H181" i="3"/>
  <c r="G203" i="3"/>
  <c r="G208" i="3"/>
  <c r="F208" i="3"/>
  <c r="F209" i="3" s="1"/>
  <c r="I261" i="3"/>
  <c r="J261" i="3" s="1"/>
  <c r="K261" i="3" s="1"/>
  <c r="L261" i="3" s="1"/>
  <c r="M261" i="3" s="1"/>
  <c r="N261" i="3" s="1"/>
  <c r="O261" i="3" s="1"/>
  <c r="P261" i="3" s="1"/>
  <c r="P223" i="3"/>
  <c r="F233" i="3"/>
  <c r="J262" i="3"/>
  <c r="J270" i="3"/>
  <c r="I175" i="4"/>
  <c r="J175" i="4" s="1"/>
  <c r="K175" i="4" s="1"/>
  <c r="I92" i="4"/>
  <c r="I88" i="4"/>
  <c r="I15" i="4"/>
  <c r="I13" i="4" s="1"/>
  <c r="I22" i="2" s="1"/>
  <c r="J91" i="4"/>
  <c r="K91" i="4" s="1"/>
  <c r="K189" i="4"/>
  <c r="K16" i="4"/>
  <c r="I143" i="4"/>
  <c r="J143" i="4" s="1"/>
  <c r="K143" i="4" s="1"/>
  <c r="G213" i="4"/>
  <c r="G218" i="4"/>
  <c r="G196" i="4"/>
  <c r="G25" i="4" s="1"/>
  <c r="K243" i="4"/>
  <c r="L242" i="4"/>
  <c r="M242" i="4" s="1"/>
  <c r="N242" i="4" s="1"/>
  <c r="O242" i="4" s="1"/>
  <c r="P242" i="4" s="1"/>
  <c r="K289" i="3"/>
  <c r="K301" i="3"/>
  <c r="K313" i="3"/>
  <c r="K312" i="3" s="1"/>
  <c r="K311" i="3" s="1"/>
  <c r="G339" i="3"/>
  <c r="G10" i="4"/>
  <c r="G9" i="4" s="1"/>
  <c r="G47" i="4"/>
  <c r="H216" i="4"/>
  <c r="H124" i="4"/>
  <c r="H102" i="4"/>
  <c r="H18" i="4" s="1"/>
  <c r="H136" i="4"/>
  <c r="H138" i="4"/>
  <c r="L156" i="4"/>
  <c r="K157" i="4"/>
  <c r="G59" i="5"/>
  <c r="G110" i="4"/>
  <c r="F169" i="4"/>
  <c r="F167" i="4"/>
  <c r="F102" i="4"/>
  <c r="F18" i="4" s="1"/>
  <c r="G173" i="4"/>
  <c r="F179" i="3"/>
  <c r="G354" i="3"/>
  <c r="G59" i="4"/>
  <c r="K52" i="4"/>
  <c r="J51" i="4"/>
  <c r="K115" i="4"/>
  <c r="K116" i="4" s="1"/>
  <c r="G154" i="4"/>
  <c r="H90" i="4"/>
  <c r="G90" i="4"/>
  <c r="G88" i="4"/>
  <c r="G161" i="4"/>
  <c r="G14" i="4"/>
  <c r="G158" i="4"/>
  <c r="G159" i="4" s="1"/>
  <c r="L230" i="4"/>
  <c r="M230" i="4" s="1"/>
  <c r="N230" i="4" s="1"/>
  <c r="O230" i="4" s="1"/>
  <c r="P230" i="4" s="1"/>
  <c r="K231" i="4"/>
  <c r="K91" i="5"/>
  <c r="L90" i="5"/>
  <c r="M90" i="5" s="1"/>
  <c r="N90" i="5" s="1"/>
  <c r="O90" i="5" s="1"/>
  <c r="P90" i="5" s="1"/>
  <c r="H251" i="3"/>
  <c r="K294" i="3"/>
  <c r="K306" i="3"/>
  <c r="F346" i="3"/>
  <c r="F13" i="4"/>
  <c r="F22" i="2" s="1"/>
  <c r="F19" i="2" s="1"/>
  <c r="J27" i="4"/>
  <c r="J84" i="2" s="1"/>
  <c r="M62" i="4"/>
  <c r="M81" i="4"/>
  <c r="J117" i="4"/>
  <c r="J139" i="4"/>
  <c r="K139" i="4" s="1"/>
  <c r="K140" i="4"/>
  <c r="G136" i="4"/>
  <c r="G146" i="4"/>
  <c r="F190" i="4"/>
  <c r="I251" i="3"/>
  <c r="F47" i="4"/>
  <c r="H66" i="4"/>
  <c r="K67" i="4" s="1"/>
  <c r="N126" i="4"/>
  <c r="O126" i="4" s="1"/>
  <c r="P126" i="4" s="1"/>
  <c r="L131" i="4"/>
  <c r="M131" i="4" s="1"/>
  <c r="N131" i="4" s="1"/>
  <c r="O131" i="4" s="1"/>
  <c r="P131" i="4" s="1"/>
  <c r="K132" i="4"/>
  <c r="I169" i="4"/>
  <c r="J169" i="4" s="1"/>
  <c r="K169" i="4" s="1"/>
  <c r="L169" i="4" s="1"/>
  <c r="H67" i="5"/>
  <c r="G328" i="3"/>
  <c r="I346" i="3"/>
  <c r="I351" i="3"/>
  <c r="J351" i="3" s="1"/>
  <c r="K351" i="3" s="1"/>
  <c r="I10" i="4"/>
  <c r="L228" i="4"/>
  <c r="M228" i="4" s="1"/>
  <c r="N228" i="4" s="1"/>
  <c r="O228" i="4" s="1"/>
  <c r="P228" i="4" s="1"/>
  <c r="K229" i="4"/>
  <c r="K153" i="4"/>
  <c r="G126" i="4"/>
  <c r="G103" i="4"/>
  <c r="G19" i="4" s="1"/>
  <c r="K217" i="4"/>
  <c r="L216" i="4"/>
  <c r="M216" i="4" s="1"/>
  <c r="N216" i="4" s="1"/>
  <c r="O216" i="4" s="1"/>
  <c r="P216" i="4" s="1"/>
  <c r="I10" i="5"/>
  <c r="I48" i="5"/>
  <c r="H335" i="3"/>
  <c r="H351" i="3"/>
  <c r="N66" i="4"/>
  <c r="O66" i="4" s="1"/>
  <c r="P66" i="4" s="1"/>
  <c r="M74" i="4"/>
  <c r="M72" i="4" s="1"/>
  <c r="M204" i="4" s="1"/>
  <c r="M203" i="4" s="1"/>
  <c r="I16" i="4"/>
  <c r="H113" i="4"/>
  <c r="J126" i="4"/>
  <c r="J122" i="4" s="1"/>
  <c r="I126" i="4"/>
  <c r="I122" i="4" s="1"/>
  <c r="I119" i="4" s="1"/>
  <c r="J158" i="4"/>
  <c r="J155" i="4" s="1"/>
  <c r="I158" i="4"/>
  <c r="L158" i="4"/>
  <c r="M158" i="4" s="1"/>
  <c r="N158" i="4" s="1"/>
  <c r="O158" i="4" s="1"/>
  <c r="P158" i="4" s="1"/>
  <c r="I55" i="4"/>
  <c r="L72" i="4"/>
  <c r="L204" i="4" s="1"/>
  <c r="I83" i="4"/>
  <c r="G93" i="4"/>
  <c r="G16" i="4" s="1"/>
  <c r="H141" i="4"/>
  <c r="H187" i="4"/>
  <c r="K187" i="4" s="1"/>
  <c r="H181" i="4"/>
  <c r="G190" i="4"/>
  <c r="F8" i="5"/>
  <c r="H65" i="5"/>
  <c r="E452" i="5"/>
  <c r="E168" i="5"/>
  <c r="E179" i="5"/>
  <c r="K239" i="5"/>
  <c r="K171" i="5" s="1"/>
  <c r="K16" i="5" s="1"/>
  <c r="K251" i="5"/>
  <c r="O323" i="5"/>
  <c r="J61" i="4"/>
  <c r="J60" i="4" s="1"/>
  <c r="H93" i="4"/>
  <c r="H88" i="4" s="1"/>
  <c r="H111" i="4"/>
  <c r="H110" i="4" s="1"/>
  <c r="I141" i="4"/>
  <c r="J141" i="4" s="1"/>
  <c r="K141" i="4" s="1"/>
  <c r="I146" i="4"/>
  <c r="J146" i="4" s="1"/>
  <c r="K146" i="4" s="1"/>
  <c r="L146" i="4" s="1"/>
  <c r="M146" i="4" s="1"/>
  <c r="N146" i="4" s="1"/>
  <c r="O146" i="4" s="1"/>
  <c r="P146" i="4" s="1"/>
  <c r="I155" i="4"/>
  <c r="F161" i="4"/>
  <c r="G169" i="4"/>
  <c r="H190" i="4"/>
  <c r="J239" i="4"/>
  <c r="K260" i="4"/>
  <c r="I30" i="5"/>
  <c r="F86" i="5"/>
  <c r="J22" i="4"/>
  <c r="R22" i="4"/>
  <c r="G66" i="4"/>
  <c r="F88" i="4"/>
  <c r="F92" i="4"/>
  <c r="G124" i="4"/>
  <c r="I147" i="4"/>
  <c r="J147" i="4" s="1"/>
  <c r="J160" i="4"/>
  <c r="H169" i="4"/>
  <c r="J248" i="4"/>
  <c r="J247" i="4" s="1"/>
  <c r="G20" i="5"/>
  <c r="G62" i="5"/>
  <c r="F62" i="5"/>
  <c r="F63" i="5" s="1"/>
  <c r="H106" i="5"/>
  <c r="I102" i="5" s="1"/>
  <c r="H49" i="4"/>
  <c r="H11" i="4" s="1"/>
  <c r="H9" i="4" s="1"/>
  <c r="H52" i="4"/>
  <c r="K89" i="4"/>
  <c r="G92" i="4"/>
  <c r="J93" i="4"/>
  <c r="H161" i="4"/>
  <c r="I172" i="4"/>
  <c r="J172" i="4" s="1"/>
  <c r="K172" i="4" s="1"/>
  <c r="K176" i="4"/>
  <c r="K177" i="4" s="1"/>
  <c r="J226" i="4"/>
  <c r="K227" i="4"/>
  <c r="J240" i="4"/>
  <c r="I240" i="4" s="1"/>
  <c r="I238" i="4" s="1"/>
  <c r="L240" i="4"/>
  <c r="M240" i="4" s="1"/>
  <c r="N240" i="4" s="1"/>
  <c r="O240" i="4" s="1"/>
  <c r="P240" i="4" s="1"/>
  <c r="L261" i="4"/>
  <c r="M261" i="4" s="1"/>
  <c r="N261" i="4" s="1"/>
  <c r="O261" i="4" s="1"/>
  <c r="P261" i="4" s="1"/>
  <c r="J261" i="4"/>
  <c r="J259" i="4" s="1"/>
  <c r="I261" i="4"/>
  <c r="I259" i="4" s="1"/>
  <c r="F221" i="5"/>
  <c r="F204" i="5"/>
  <c r="F196" i="5"/>
  <c r="F229" i="5"/>
  <c r="F212" i="5"/>
  <c r="G73" i="5"/>
  <c r="G77" i="5" s="1"/>
  <c r="I120" i="5"/>
  <c r="K119" i="5"/>
  <c r="J119" i="5"/>
  <c r="I49" i="4"/>
  <c r="I47" i="4" s="1"/>
  <c r="H92" i="4"/>
  <c r="I124" i="4"/>
  <c r="J124" i="4" s="1"/>
  <c r="K124" i="4" s="1"/>
  <c r="L124" i="4" s="1"/>
  <c r="M124" i="4" s="1"/>
  <c r="N124" i="4" s="1"/>
  <c r="O124" i="4" s="1"/>
  <c r="P124" i="4" s="1"/>
  <c r="F154" i="4"/>
  <c r="F183" i="4"/>
  <c r="F181" i="4"/>
  <c r="Q247" i="4"/>
  <c r="J112" i="5"/>
  <c r="I110" i="5"/>
  <c r="G121" i="4"/>
  <c r="G183" i="4"/>
  <c r="G181" i="4"/>
  <c r="L206" i="4"/>
  <c r="M206" i="4" s="1"/>
  <c r="N206" i="4" s="1"/>
  <c r="O206" i="4" s="1"/>
  <c r="P206" i="4" s="1"/>
  <c r="P203" i="4" s="1"/>
  <c r="J206" i="4"/>
  <c r="I206" i="4" s="1"/>
  <c r="I203" i="4" s="1"/>
  <c r="I263" i="4"/>
  <c r="J263" i="4" s="1"/>
  <c r="F48" i="5"/>
  <c r="J185" i="4"/>
  <c r="I190" i="4"/>
  <c r="I189" i="4" s="1"/>
  <c r="I104" i="4" s="1"/>
  <c r="I20" i="4" s="1"/>
  <c r="I52" i="2" s="1"/>
  <c r="J190" i="4"/>
  <c r="I218" i="4"/>
  <c r="I214" i="4" s="1"/>
  <c r="L218" i="4"/>
  <c r="M218" i="4" s="1"/>
  <c r="N218" i="4" s="1"/>
  <c r="O218" i="4" s="1"/>
  <c r="P218" i="4" s="1"/>
  <c r="J218" i="4"/>
  <c r="J214" i="4" s="1"/>
  <c r="J213" i="4" s="1"/>
  <c r="L232" i="4"/>
  <c r="M232" i="4" s="1"/>
  <c r="N232" i="4" s="1"/>
  <c r="O232" i="4" s="1"/>
  <c r="P232" i="4" s="1"/>
  <c r="F241" i="4"/>
  <c r="G262" i="4"/>
  <c r="L263" i="4"/>
  <c r="M263" i="4" s="1"/>
  <c r="N263" i="4" s="1"/>
  <c r="O263" i="4" s="1"/>
  <c r="P263" i="4" s="1"/>
  <c r="G67" i="5"/>
  <c r="H82" i="5"/>
  <c r="K143" i="6"/>
  <c r="K317" i="5"/>
  <c r="L83" i="5"/>
  <c r="G115" i="5"/>
  <c r="K208" i="4"/>
  <c r="I232" i="4"/>
  <c r="G237" i="4"/>
  <c r="H247" i="4"/>
  <c r="I251" i="4"/>
  <c r="J251" i="4" s="1"/>
  <c r="H258" i="4"/>
  <c r="H49" i="5"/>
  <c r="I409" i="5"/>
  <c r="I133" i="5"/>
  <c r="I134" i="5" s="1"/>
  <c r="I93" i="5"/>
  <c r="J158" i="5"/>
  <c r="I158" i="5" s="1"/>
  <c r="K195" i="5"/>
  <c r="J194" i="5"/>
  <c r="J186" i="5" s="1"/>
  <c r="F242" i="5"/>
  <c r="H280" i="5"/>
  <c r="H176" i="5"/>
  <c r="H174" i="5" s="1"/>
  <c r="H175" i="5" s="1"/>
  <c r="H63" i="5"/>
  <c r="J79" i="5"/>
  <c r="L93" i="5"/>
  <c r="L92" i="5" s="1"/>
  <c r="F120" i="5"/>
  <c r="H191" i="5"/>
  <c r="G250" i="4"/>
  <c r="F216" i="5"/>
  <c r="F225" i="5"/>
  <c r="F208" i="5"/>
  <c r="F200" i="5"/>
  <c r="F233" i="5"/>
  <c r="G53" i="5"/>
  <c r="M93" i="5"/>
  <c r="G120" i="5"/>
  <c r="C122" i="5"/>
  <c r="I169" i="5"/>
  <c r="F307" i="5"/>
  <c r="G225" i="5"/>
  <c r="G208" i="5"/>
  <c r="G200" i="5"/>
  <c r="G233" i="5"/>
  <c r="G216" i="5"/>
  <c r="N93" i="5"/>
  <c r="E175" i="5"/>
  <c r="K199" i="5"/>
  <c r="L198" i="5"/>
  <c r="M198" i="5" s="1"/>
  <c r="N198" i="5" s="1"/>
  <c r="O198" i="5" s="1"/>
  <c r="P198" i="5" s="1"/>
  <c r="G453" i="5"/>
  <c r="G310" i="5"/>
  <c r="G61" i="5"/>
  <c r="F409" i="5"/>
  <c r="F133" i="5"/>
  <c r="F134" i="5" s="1"/>
  <c r="F135" i="5" s="1"/>
  <c r="F330" i="5" a="1"/>
  <c r="F326" i="5" a="1"/>
  <c r="F326" i="5" s="1"/>
  <c r="O93" i="5"/>
  <c r="P93" i="5" s="1"/>
  <c r="G175" i="5"/>
  <c r="F191" i="5"/>
  <c r="G409" i="5"/>
  <c r="G410" i="5" s="1"/>
  <c r="G133" i="5"/>
  <c r="G134" i="5" s="1"/>
  <c r="E229" i="5"/>
  <c r="E212" i="5"/>
  <c r="E221" i="5"/>
  <c r="E204" i="5"/>
  <c r="E196" i="5"/>
  <c r="H143" i="6"/>
  <c r="H317" i="5"/>
  <c r="H318" i="5" s="1"/>
  <c r="H319" i="5" s="1"/>
  <c r="F347" i="5"/>
  <c r="F346" i="5"/>
  <c r="F345" i="5"/>
  <c r="F344" i="5"/>
  <c r="G169" i="5"/>
  <c r="K232" i="5"/>
  <c r="L231" i="5"/>
  <c r="M231" i="5" s="1"/>
  <c r="N231" i="5" s="1"/>
  <c r="O231" i="5" s="1"/>
  <c r="P231" i="5" s="1"/>
  <c r="F176" i="5"/>
  <c r="F174" i="5" s="1"/>
  <c r="F175" i="5" s="1"/>
  <c r="F280" i="5"/>
  <c r="E307" i="5"/>
  <c r="E8" i="5"/>
  <c r="G9" i="5"/>
  <c r="G301" i="5" s="1"/>
  <c r="E68" i="5"/>
  <c r="H409" i="5"/>
  <c r="H410" i="5" s="1"/>
  <c r="L410" i="5" s="1"/>
  <c r="M410" i="5" s="1"/>
  <c r="N410" i="5" s="1"/>
  <c r="O410" i="5" s="1"/>
  <c r="P410" i="5" s="1"/>
  <c r="H133" i="5"/>
  <c r="H134" i="5" s="1"/>
  <c r="I83" i="5"/>
  <c r="J160" i="5"/>
  <c r="K203" i="5"/>
  <c r="G248" i="5"/>
  <c r="G307" i="5"/>
  <c r="E453" i="5"/>
  <c r="E301" i="5"/>
  <c r="E310" i="5"/>
  <c r="I148" i="5"/>
  <c r="J211" i="5"/>
  <c r="K220" i="5"/>
  <c r="J228" i="5"/>
  <c r="J227" i="5" s="1"/>
  <c r="J190" i="5" s="1"/>
  <c r="F251" i="5"/>
  <c r="G285" i="5"/>
  <c r="G286" i="5" s="1"/>
  <c r="H293" i="5"/>
  <c r="I375" i="5"/>
  <c r="H378" i="5"/>
  <c r="G615" i="6"/>
  <c r="G8" i="6"/>
  <c r="F256" i="5"/>
  <c r="H285" i="5"/>
  <c r="H286" i="5" s="1"/>
  <c r="F310" i="5"/>
  <c r="F143" i="5"/>
  <c r="F160" i="5" s="1"/>
  <c r="F149" i="5"/>
  <c r="L228" i="5"/>
  <c r="G256" i="5"/>
  <c r="G143" i="5"/>
  <c r="G160" i="5" s="1"/>
  <c r="G159" i="5" s="1"/>
  <c r="G149" i="5"/>
  <c r="I245" i="5"/>
  <c r="I247" i="5" s="1"/>
  <c r="G376" i="5"/>
  <c r="H379" i="5"/>
  <c r="J121" i="5"/>
  <c r="H149" i="5"/>
  <c r="F156" i="5"/>
  <c r="I206" i="5"/>
  <c r="J206" i="5" s="1"/>
  <c r="K206" i="5" s="1"/>
  <c r="I223" i="5"/>
  <c r="J223" i="5" s="1"/>
  <c r="K223" i="5" s="1"/>
  <c r="F246" i="5"/>
  <c r="F287" i="5"/>
  <c r="F288" i="5" s="1"/>
  <c r="F359" i="5"/>
  <c r="G368" i="5"/>
  <c r="G369" i="5" s="1"/>
  <c r="F379" i="5"/>
  <c r="F376" i="5"/>
  <c r="F410" i="5"/>
  <c r="I153" i="5"/>
  <c r="I214" i="5"/>
  <c r="J214" i="5" s="1"/>
  <c r="K214" i="5" s="1"/>
  <c r="G246" i="5"/>
  <c r="F254" i="5"/>
  <c r="F292" i="5"/>
  <c r="F301" i="5"/>
  <c r="H368" i="5"/>
  <c r="F405" i="5"/>
  <c r="I422" i="5"/>
  <c r="J422" i="5" s="1"/>
  <c r="G254" i="5"/>
  <c r="H287" i="5"/>
  <c r="G292" i="5"/>
  <c r="H650" i="6"/>
  <c r="H317" i="6"/>
  <c r="H313" i="6"/>
  <c r="H8" i="6"/>
  <c r="M422" i="5"/>
  <c r="P148" i="5"/>
  <c r="K253" i="5"/>
  <c r="I378" i="5"/>
  <c r="H405" i="5"/>
  <c r="L405" i="5" s="1"/>
  <c r="M405" i="5" s="1"/>
  <c r="N405" i="5" s="1"/>
  <c r="O405" i="5" s="1"/>
  <c r="P405" i="5" s="1"/>
  <c r="G378" i="5"/>
  <c r="G379" i="5"/>
  <c r="G400" i="6"/>
  <c r="G67" i="6"/>
  <c r="I410" i="5"/>
  <c r="J410" i="5" s="1"/>
  <c r="K410" i="5" s="1"/>
  <c r="I650" i="6"/>
  <c r="I317" i="6"/>
  <c r="E15" i="7"/>
  <c r="F401" i="5"/>
  <c r="G422" i="5"/>
  <c r="F80" i="6"/>
  <c r="I357" i="5"/>
  <c r="G632" i="6"/>
  <c r="G297" i="6"/>
  <c r="G650" i="6"/>
  <c r="G317" i="6"/>
  <c r="G316" i="6"/>
  <c r="J357" i="5"/>
  <c r="I405" i="5"/>
  <c r="J405" i="5" s="1"/>
  <c r="K405" i="5" s="1"/>
  <c r="H632" i="6"/>
  <c r="H297" i="6"/>
  <c r="E20" i="6"/>
  <c r="G421" i="5"/>
  <c r="F650" i="6"/>
  <c r="F317" i="6"/>
  <c r="H525" i="6"/>
  <c r="H524" i="6" s="1"/>
  <c r="H269" i="6"/>
  <c r="H270" i="6" s="1"/>
  <c r="F400" i="6"/>
  <c r="F402" i="6" s="1"/>
  <c r="G86" i="6"/>
  <c r="G274" i="6"/>
  <c r="G99" i="6"/>
  <c r="H86" i="6"/>
  <c r="H274" i="6"/>
  <c r="H275" i="6" s="1"/>
  <c r="K98" i="6"/>
  <c r="G159" i="6"/>
  <c r="H134" i="6"/>
  <c r="M186" i="6"/>
  <c r="M175" i="6" s="1"/>
  <c r="M174" i="6"/>
  <c r="F635" i="6"/>
  <c r="F638" i="6" s="1"/>
  <c r="K85" i="6"/>
  <c r="I274" i="6"/>
  <c r="I275" i="6" s="1"/>
  <c r="F97" i="6"/>
  <c r="H141" i="6"/>
  <c r="D181" i="6"/>
  <c r="H67" i="6"/>
  <c r="I522" i="6"/>
  <c r="E530" i="6"/>
  <c r="E523" i="6"/>
  <c r="E269" i="6"/>
  <c r="E270" i="6" s="1"/>
  <c r="E92" i="6"/>
  <c r="J96" i="6"/>
  <c r="J273" i="6" s="1"/>
  <c r="G97" i="6"/>
  <c r="L150" i="6"/>
  <c r="M150" i="6" s="1"/>
  <c r="N150" i="6" s="1"/>
  <c r="O150" i="6" s="1"/>
  <c r="P150" i="6" s="1"/>
  <c r="L186" i="6"/>
  <c r="L175" i="6" s="1"/>
  <c r="L174" i="6"/>
  <c r="L181" i="6"/>
  <c r="H182" i="6"/>
  <c r="L221" i="6"/>
  <c r="P222" i="6"/>
  <c r="F525" i="6"/>
  <c r="F524" i="6" s="1"/>
  <c r="F269" i="6"/>
  <c r="F270" i="6" s="1"/>
  <c r="J180" i="6"/>
  <c r="J173" i="6" s="1"/>
  <c r="J581" i="6" s="1"/>
  <c r="K173" i="6"/>
  <c r="P185" i="6"/>
  <c r="K219" i="6"/>
  <c r="K214" i="6" s="1"/>
  <c r="E617" i="6"/>
  <c r="H617" i="6"/>
  <c r="G669" i="6"/>
  <c r="G672" i="6" s="1"/>
  <c r="G525" i="6"/>
  <c r="G524" i="6" s="1"/>
  <c r="G269" i="6"/>
  <c r="L96" i="6"/>
  <c r="I97" i="6"/>
  <c r="F617" i="6"/>
  <c r="I525" i="6"/>
  <c r="I269" i="6"/>
  <c r="I270" i="6" s="1"/>
  <c r="J270" i="6" s="1"/>
  <c r="K270" i="6" s="1"/>
  <c r="L270" i="6" s="1"/>
  <c r="M270" i="6" s="1"/>
  <c r="N270" i="6" s="1"/>
  <c r="O270" i="6" s="1"/>
  <c r="P270" i="6" s="1"/>
  <c r="F274" i="6"/>
  <c r="F275" i="6" s="1"/>
  <c r="K533" i="6"/>
  <c r="H569" i="6"/>
  <c r="H568" i="6" s="1"/>
  <c r="F181" i="6"/>
  <c r="F182" i="6" s="1"/>
  <c r="N185" i="6"/>
  <c r="D190" i="6"/>
  <c r="L190" i="6" s="1"/>
  <c r="F332" i="6"/>
  <c r="I569" i="6"/>
  <c r="I568" i="6" s="1"/>
  <c r="J568" i="6" s="1"/>
  <c r="I322" i="6"/>
  <c r="K322" i="6" s="1"/>
  <c r="O185" i="6"/>
  <c r="H316" i="6"/>
  <c r="K354" i="6"/>
  <c r="K254" i="6" s="1"/>
  <c r="L359" i="6"/>
  <c r="J359" i="6"/>
  <c r="J354" i="6" s="1"/>
  <c r="J254" i="6" s="1"/>
  <c r="H618" i="6"/>
  <c r="H382" i="6"/>
  <c r="H455" i="6"/>
  <c r="J168" i="6"/>
  <c r="F193" i="6"/>
  <c r="G201" i="6"/>
  <c r="P227" i="6"/>
  <c r="G475" i="6" s="1" a="1"/>
  <c r="O230" i="6"/>
  <c r="E274" i="6"/>
  <c r="F312" i="6"/>
  <c r="F315" i="6"/>
  <c r="H322" i="6"/>
  <c r="E176" i="6"/>
  <c r="G193" i="6"/>
  <c r="H201" i="6"/>
  <c r="F328" i="6"/>
  <c r="H633" i="6"/>
  <c r="H298" i="6"/>
  <c r="G312" i="6"/>
  <c r="G315" i="6"/>
  <c r="F618" i="6"/>
  <c r="F382" i="6"/>
  <c r="F176" i="6"/>
  <c r="J185" i="6"/>
  <c r="H193" i="6"/>
  <c r="K200" i="6"/>
  <c r="I201" i="6"/>
  <c r="G328" i="6"/>
  <c r="G326" i="6" s="1"/>
  <c r="H219" i="6"/>
  <c r="H214" i="6" s="1"/>
  <c r="H216" i="6" s="1"/>
  <c r="K213" i="6" s="1"/>
  <c r="P224" i="6"/>
  <c r="K285" i="6"/>
  <c r="K243" i="6" s="1"/>
  <c r="L292" i="6"/>
  <c r="H312" i="6"/>
  <c r="F314" i="6"/>
  <c r="H315" i="6"/>
  <c r="G332" i="6"/>
  <c r="I193" i="6"/>
  <c r="H328" i="6"/>
  <c r="H326" i="6" s="1"/>
  <c r="K537" i="6"/>
  <c r="G275" i="6"/>
  <c r="J292" i="6"/>
  <c r="J285" i="6" s="1"/>
  <c r="J243" i="6" s="1"/>
  <c r="I312" i="6"/>
  <c r="G314" i="6"/>
  <c r="H332" i="6"/>
  <c r="G341" i="6"/>
  <c r="G342" i="6" s="1"/>
  <c r="K190" i="6"/>
  <c r="I328" i="6"/>
  <c r="I326" i="6" s="1"/>
  <c r="K326" i="6" s="1"/>
  <c r="N228" i="6"/>
  <c r="G617" i="6"/>
  <c r="G298" i="6"/>
  <c r="H314" i="6"/>
  <c r="G322" i="6"/>
  <c r="F326" i="6"/>
  <c r="I332" i="6"/>
  <c r="K332" i="6" s="1"/>
  <c r="K341" i="6"/>
  <c r="L341" i="6" s="1"/>
  <c r="M341" i="6" s="1"/>
  <c r="N341" i="6" s="1"/>
  <c r="O341" i="6" s="1"/>
  <c r="P341" i="6" s="1"/>
  <c r="O192" i="6"/>
  <c r="O228" i="6"/>
  <c r="F313" i="6"/>
  <c r="I314" i="6"/>
  <c r="F316" i="6"/>
  <c r="G306" i="6"/>
  <c r="K345" i="6"/>
  <c r="J326" i="6"/>
  <c r="E618" i="6"/>
  <c r="E382" i="6"/>
  <c r="G455" i="6"/>
  <c r="I313" i="6"/>
  <c r="G618" i="6"/>
  <c r="G382" i="6"/>
  <c r="G444" i="6"/>
  <c r="I455" i="6"/>
  <c r="K455" i="6" s="1"/>
  <c r="J455" i="6" s="1"/>
  <c r="G491" i="6"/>
  <c r="J277" i="6"/>
  <c r="J264" i="6" s="1"/>
  <c r="J239" i="6" s="1"/>
  <c r="H354" i="6"/>
  <c r="H254" i="6" s="1"/>
  <c r="K416" i="6"/>
  <c r="K413" i="6"/>
  <c r="L425" i="6"/>
  <c r="J425" i="6"/>
  <c r="J413" i="6" s="1"/>
  <c r="J372" i="6" s="1"/>
  <c r="K440" i="6"/>
  <c r="L443" i="6"/>
  <c r="J443" i="6"/>
  <c r="I443" i="6" s="1"/>
  <c r="L467" i="6"/>
  <c r="L380" i="6" s="1"/>
  <c r="H491" i="6"/>
  <c r="G270" i="6"/>
  <c r="F437" i="6"/>
  <c r="K394" i="6"/>
  <c r="L397" i="6"/>
  <c r="G402" i="6"/>
  <c r="G437" i="6"/>
  <c r="H402" i="6"/>
  <c r="L458" i="6"/>
  <c r="K435" i="6"/>
  <c r="K376" i="6" s="1"/>
  <c r="J458" i="6"/>
  <c r="J435" i="6" s="1"/>
  <c r="J376" i="6" s="1"/>
  <c r="F491" i="6"/>
  <c r="F494" i="6"/>
  <c r="M405" i="6"/>
  <c r="L391" i="6"/>
  <c r="L368" i="6" s="1"/>
  <c r="L450" i="6"/>
  <c r="M450" i="6" s="1"/>
  <c r="N450" i="6" s="1"/>
  <c r="O450" i="6" s="1"/>
  <c r="P450" i="6" s="1"/>
  <c r="J450" i="6"/>
  <c r="I450" i="6"/>
  <c r="F455" i="6"/>
  <c r="N505" i="6"/>
  <c r="N251" i="6" s="1"/>
  <c r="N506" i="6"/>
  <c r="N377" i="6" s="1"/>
  <c r="F530" i="6"/>
  <c r="J467" i="6"/>
  <c r="J380" i="6" s="1"/>
  <c r="O505" i="6"/>
  <c r="O251" i="6" s="1"/>
  <c r="O506" i="6"/>
  <c r="O377" i="6" s="1"/>
  <c r="F521" i="6"/>
  <c r="G530" i="6"/>
  <c r="K530" i="6" s="1"/>
  <c r="L530" i="6" s="1"/>
  <c r="M530" i="6" s="1"/>
  <c r="N530" i="6" s="1"/>
  <c r="O530" i="6" s="1"/>
  <c r="P530" i="6" s="1"/>
  <c r="H576" i="6"/>
  <c r="L576" i="6" s="1"/>
  <c r="M576" i="6" s="1"/>
  <c r="N576" i="6" s="1"/>
  <c r="O576" i="6" s="1"/>
  <c r="P576" i="6" s="1"/>
  <c r="G521" i="6"/>
  <c r="I576" i="6"/>
  <c r="J576" i="6" s="1"/>
  <c r="K576" i="6" s="1"/>
  <c r="G494" i="6"/>
  <c r="H520" i="6"/>
  <c r="H580" i="6"/>
  <c r="J405" i="6"/>
  <c r="J391" i="6" s="1"/>
  <c r="J368" i="6" s="1"/>
  <c r="J33" i="6" s="1"/>
  <c r="H494" i="6"/>
  <c r="J505" i="6"/>
  <c r="J251" i="6" s="1"/>
  <c r="J506" i="6"/>
  <c r="J377" i="6" s="1"/>
  <c r="I580" i="6"/>
  <c r="K580" i="6" s="1"/>
  <c r="J401" i="6"/>
  <c r="M505" i="6"/>
  <c r="M251" i="6" s="1"/>
  <c r="M506" i="6"/>
  <c r="M377" i="6" s="1"/>
  <c r="G61" i="7"/>
  <c r="G120" i="2" s="1"/>
  <c r="H521" i="6"/>
  <c r="I524" i="6"/>
  <c r="K524" i="6" s="1"/>
  <c r="K538" i="6" s="1"/>
  <c r="I521" i="6"/>
  <c r="K521" i="6" s="1"/>
  <c r="K535" i="6" s="1"/>
  <c r="F520" i="6"/>
  <c r="F61" i="7"/>
  <c r="F120" i="2" s="1"/>
  <c r="I520" i="6"/>
  <c r="K520" i="6" s="1"/>
  <c r="K534" i="6" s="1"/>
  <c r="I16" i="7"/>
  <c r="J16" i="7" s="1"/>
  <c r="L20" i="7"/>
  <c r="I21" i="7"/>
  <c r="P109" i="7"/>
  <c r="H19" i="7"/>
  <c r="L16" i="7"/>
  <c r="F70" i="7"/>
  <c r="I60" i="7"/>
  <c r="G70" i="7"/>
  <c r="K39" i="7"/>
  <c r="K97" i="2" s="1"/>
  <c r="D163" i="7" a="1"/>
  <c r="G102" i="7"/>
  <c r="G29" i="7" s="1"/>
  <c r="G26" i="7" s="1"/>
  <c r="H61" i="7" l="1"/>
  <c r="H120" i="2" s="1"/>
  <c r="I61" i="7"/>
  <c r="I120" i="2" s="1"/>
  <c r="I359" i="6"/>
  <c r="I354" i="6" s="1"/>
  <c r="I254" i="6" s="1"/>
  <c r="E256" i="6"/>
  <c r="H619" i="6"/>
  <c r="H622" i="6" s="1"/>
  <c r="E30" i="6"/>
  <c r="E615" i="6"/>
  <c r="K506" i="6"/>
  <c r="K377" i="6" s="1"/>
  <c r="K505" i="6"/>
  <c r="K251" i="6" s="1"/>
  <c r="E55" i="2"/>
  <c r="F55" i="2"/>
  <c r="I400" i="6"/>
  <c r="I402" i="6" s="1"/>
  <c r="J666" i="6"/>
  <c r="J27" i="2"/>
  <c r="I12" i="6"/>
  <c r="H23" i="2"/>
  <c r="H30" i="6"/>
  <c r="H44" i="6" s="1"/>
  <c r="E650" i="6"/>
  <c r="E653" i="6" s="1"/>
  <c r="E656" i="6" s="1"/>
  <c r="E26" i="2"/>
  <c r="E8" i="6"/>
  <c r="E44" i="6" s="1"/>
  <c r="G299" i="6"/>
  <c r="F256" i="6"/>
  <c r="G30" i="6"/>
  <c r="G44" i="6" s="1"/>
  <c r="G86" i="2"/>
  <c r="G85" i="2" s="1"/>
  <c r="I67" i="6"/>
  <c r="I26" i="2"/>
  <c r="F20" i="6"/>
  <c r="I9" i="6"/>
  <c r="J88" i="2"/>
  <c r="I458" i="6"/>
  <c r="I435" i="6" s="1"/>
  <c r="I376" i="6" s="1"/>
  <c r="F30" i="6"/>
  <c r="F92" i="6"/>
  <c r="H318" i="6"/>
  <c r="D520" i="6"/>
  <c r="L520" i="6" s="1"/>
  <c r="D455" i="6"/>
  <c r="L455" i="6" s="1"/>
  <c r="M455" i="6" s="1"/>
  <c r="N455" i="6" s="1"/>
  <c r="O455" i="6" s="1"/>
  <c r="P455" i="6" s="1"/>
  <c r="E619" i="6"/>
  <c r="E632" i="6"/>
  <c r="E635" i="6" s="1"/>
  <c r="E638" i="6" s="1"/>
  <c r="E25" i="2"/>
  <c r="E23" i="2" s="1"/>
  <c r="E8" i="2" s="1"/>
  <c r="M92" i="5"/>
  <c r="N92" i="5" s="1"/>
  <c r="O92" i="5" s="1"/>
  <c r="P92" i="5" s="1"/>
  <c r="K227" i="5"/>
  <c r="K190" i="5" s="1"/>
  <c r="K61" i="4"/>
  <c r="D326" i="6"/>
  <c r="L326" i="6" s="1"/>
  <c r="M326" i="6" s="1"/>
  <c r="N326" i="6" s="1"/>
  <c r="O326" i="6" s="1"/>
  <c r="P326" i="6" s="1"/>
  <c r="G288" i="5"/>
  <c r="E13" i="5"/>
  <c r="E33" i="5" s="1"/>
  <c r="J210" i="5"/>
  <c r="J188" i="5" s="1"/>
  <c r="E454" i="5"/>
  <c r="E457" i="5" s="1"/>
  <c r="G150" i="5"/>
  <c r="J202" i="5"/>
  <c r="J187" i="5" s="1"/>
  <c r="I135" i="5"/>
  <c r="F230" i="5"/>
  <c r="F20" i="5"/>
  <c r="H150" i="5"/>
  <c r="G86" i="5"/>
  <c r="F205" i="5"/>
  <c r="F334" i="5" a="1"/>
  <c r="F335" i="5" s="1"/>
  <c r="E380" i="5"/>
  <c r="G63" i="5"/>
  <c r="G242" i="5"/>
  <c r="E80" i="7"/>
  <c r="E74" i="7" s="1"/>
  <c r="F80" i="7"/>
  <c r="F74" i="7" s="1"/>
  <c r="E8" i="4"/>
  <c r="E22" i="2"/>
  <c r="E19" i="2" s="1"/>
  <c r="E78" i="7" s="1"/>
  <c r="E85" i="7" s="1"/>
  <c r="J258" i="4"/>
  <c r="J152" i="4"/>
  <c r="G13" i="4"/>
  <c r="G22" i="2" s="1"/>
  <c r="H98" i="3"/>
  <c r="G245" i="3"/>
  <c r="I227" i="3"/>
  <c r="J227" i="3" s="1"/>
  <c r="K227" i="3" s="1"/>
  <c r="L227" i="3" s="1"/>
  <c r="M227" i="3" s="1"/>
  <c r="N227" i="3" s="1"/>
  <c r="O227" i="3" s="1"/>
  <c r="P227" i="3" s="1"/>
  <c r="P144" i="3"/>
  <c r="P143" i="3" s="1"/>
  <c r="G235" i="3"/>
  <c r="J125" i="3"/>
  <c r="G209" i="3"/>
  <c r="G116" i="3"/>
  <c r="G97" i="3"/>
  <c r="F86" i="3"/>
  <c r="F95" i="3" s="1"/>
  <c r="F98" i="3" s="1"/>
  <c r="H14" i="3"/>
  <c r="H16" i="2" s="1"/>
  <c r="J341" i="3"/>
  <c r="H189" i="3"/>
  <c r="H80" i="7"/>
  <c r="H74" i="7" s="1"/>
  <c r="E28" i="3"/>
  <c r="E33" i="3" s="1"/>
  <c r="J246" i="3"/>
  <c r="J268" i="3"/>
  <c r="K268" i="3" s="1"/>
  <c r="K267" i="3" s="1"/>
  <c r="H190" i="3"/>
  <c r="E42" i="3"/>
  <c r="K168" i="4"/>
  <c r="K15" i="4"/>
  <c r="I248" i="5"/>
  <c r="J247" i="5"/>
  <c r="G480" i="6"/>
  <c r="G479" i="6"/>
  <c r="G478" i="6"/>
  <c r="G477" i="6"/>
  <c r="G476" i="6"/>
  <c r="G475" i="6"/>
  <c r="I237" i="4"/>
  <c r="K536" i="6"/>
  <c r="J390" i="6"/>
  <c r="J367" i="6" s="1"/>
  <c r="D332" i="6"/>
  <c r="F653" i="6"/>
  <c r="F656" i="6" s="1"/>
  <c r="E19" i="5"/>
  <c r="E25" i="5" s="1"/>
  <c r="D163" i="7"/>
  <c r="D167" i="7"/>
  <c r="D166" i="7"/>
  <c r="D165" i="7"/>
  <c r="D164" i="7"/>
  <c r="D168" i="7"/>
  <c r="P168" i="7" s="1"/>
  <c r="H495" i="6"/>
  <c r="H37" i="6"/>
  <c r="I405" i="6"/>
  <c r="I391" i="6" s="1"/>
  <c r="I368" i="6" s="1"/>
  <c r="D521" i="6"/>
  <c r="L394" i="6"/>
  <c r="L389" i="6" s="1"/>
  <c r="L366" i="6" s="1"/>
  <c r="M397" i="6"/>
  <c r="K372" i="6"/>
  <c r="H342" i="6"/>
  <c r="K577" i="6"/>
  <c r="K575" i="6" s="1"/>
  <c r="K193" i="6"/>
  <c r="J190" i="6"/>
  <c r="P192" i="6"/>
  <c r="F318" i="6"/>
  <c r="P174" i="6"/>
  <c r="P186" i="6"/>
  <c r="P175" i="6" s="1"/>
  <c r="E524" i="6"/>
  <c r="E515" i="6"/>
  <c r="E513" i="6" s="1"/>
  <c r="E490" i="6" s="1"/>
  <c r="H635" i="6"/>
  <c r="G380" i="5"/>
  <c r="G27" i="5"/>
  <c r="D405" i="5"/>
  <c r="F27" i="5"/>
  <c r="I376" i="5"/>
  <c r="I379" i="5"/>
  <c r="G167" i="5"/>
  <c r="G14" i="5"/>
  <c r="F169" i="5"/>
  <c r="K209" i="4"/>
  <c r="K197" i="4"/>
  <c r="L208" i="4"/>
  <c r="L119" i="5"/>
  <c r="M119" i="5" s="1"/>
  <c r="N119" i="5" s="1"/>
  <c r="O119" i="5" s="1"/>
  <c r="P119" i="5" s="1"/>
  <c r="F222" i="5"/>
  <c r="J189" i="4"/>
  <c r="J16" i="4"/>
  <c r="K60" i="4"/>
  <c r="K49" i="4" s="1"/>
  <c r="K11" i="4" s="1"/>
  <c r="J49" i="4"/>
  <c r="K248" i="4"/>
  <c r="K247" i="4" s="1"/>
  <c r="L203" i="4"/>
  <c r="K113" i="4"/>
  <c r="H56" i="4"/>
  <c r="H58" i="4" s="1"/>
  <c r="H59" i="4" s="1"/>
  <c r="M169" i="4"/>
  <c r="L168" i="4"/>
  <c r="L294" i="3"/>
  <c r="K281" i="3"/>
  <c r="I294" i="3"/>
  <c r="H121" i="4"/>
  <c r="L143" i="4"/>
  <c r="M143" i="4" s="1"/>
  <c r="N143" i="4" s="1"/>
  <c r="O143" i="4" s="1"/>
  <c r="P143" i="4" s="1"/>
  <c r="K144" i="4"/>
  <c r="G204" i="3"/>
  <c r="M53" i="4"/>
  <c r="M106" i="3"/>
  <c r="L105" i="3"/>
  <c r="L103" i="3" s="1"/>
  <c r="L289" i="3"/>
  <c r="L288" i="3" s="1"/>
  <c r="M56" i="3"/>
  <c r="J267" i="3"/>
  <c r="K209" i="3"/>
  <c r="L208" i="3"/>
  <c r="M208" i="3" s="1"/>
  <c r="N208" i="3" s="1"/>
  <c r="O208" i="3" s="1"/>
  <c r="P208" i="3" s="1"/>
  <c r="J145" i="4"/>
  <c r="K145" i="4" s="1"/>
  <c r="J137" i="4"/>
  <c r="K80" i="4"/>
  <c r="K12" i="4" s="1"/>
  <c r="J12" i="4"/>
  <c r="J21" i="2" s="1"/>
  <c r="N125" i="3"/>
  <c r="N118" i="3" s="1"/>
  <c r="N19" i="3" s="1"/>
  <c r="N127" i="3"/>
  <c r="L185" i="3"/>
  <c r="M185" i="3" s="1"/>
  <c r="N185" i="3" s="1"/>
  <c r="O185" i="3" s="1"/>
  <c r="P185" i="3" s="1"/>
  <c r="J185" i="3"/>
  <c r="J79" i="3" s="1"/>
  <c r="K79" i="3"/>
  <c r="I185" i="3"/>
  <c r="G495" i="6"/>
  <c r="G37" i="6"/>
  <c r="L413" i="6"/>
  <c r="L372" i="6" s="1"/>
  <c r="M425" i="6"/>
  <c r="J394" i="6"/>
  <c r="J389" i="6" s="1"/>
  <c r="J366" i="6" s="1"/>
  <c r="K389" i="6"/>
  <c r="K366" i="6" s="1"/>
  <c r="M467" i="6"/>
  <c r="M380" i="6" s="1"/>
  <c r="I425" i="6"/>
  <c r="I413" i="6" s="1"/>
  <c r="I372" i="6" s="1"/>
  <c r="K223" i="6"/>
  <c r="K215" i="6" s="1"/>
  <c r="J569" i="6"/>
  <c r="J567" i="6" s="1"/>
  <c r="J571" i="6" s="1"/>
  <c r="J348" i="6" s="1"/>
  <c r="K168" i="6"/>
  <c r="J64" i="6"/>
  <c r="O174" i="6"/>
  <c r="O186" i="6"/>
  <c r="O175" i="6" s="1"/>
  <c r="K581" i="6"/>
  <c r="H146" i="6"/>
  <c r="H137" i="6"/>
  <c r="P367" i="5"/>
  <c r="G401" i="5"/>
  <c r="K215" i="5"/>
  <c r="L214" i="5"/>
  <c r="M214" i="5" s="1"/>
  <c r="N214" i="5" s="1"/>
  <c r="O214" i="5" s="1"/>
  <c r="P214" i="5" s="1"/>
  <c r="F150" i="5"/>
  <c r="J143" i="5"/>
  <c r="J203" i="4"/>
  <c r="C120" i="5"/>
  <c r="K214" i="4"/>
  <c r="K213" i="4" s="1"/>
  <c r="I213" i="4"/>
  <c r="F451" i="5"/>
  <c r="F53" i="5"/>
  <c r="J170" i="4"/>
  <c r="K170" i="4" s="1"/>
  <c r="H47" i="4"/>
  <c r="H227" i="3"/>
  <c r="H220" i="3"/>
  <c r="J330" i="3"/>
  <c r="J323" i="3" s="1"/>
  <c r="G191" i="3"/>
  <c r="F8" i="4"/>
  <c r="J228" i="3"/>
  <c r="K223" i="3"/>
  <c r="K221" i="3"/>
  <c r="L203" i="3"/>
  <c r="M203" i="3" s="1"/>
  <c r="N203" i="3" s="1"/>
  <c r="O203" i="3" s="1"/>
  <c r="P203" i="3" s="1"/>
  <c r="K204" i="3"/>
  <c r="N139" i="3"/>
  <c r="O150" i="3"/>
  <c r="L127" i="3"/>
  <c r="L125" i="3"/>
  <c r="L118" i="3" s="1"/>
  <c r="L19" i="3" s="1"/>
  <c r="K412" i="6"/>
  <c r="J416" i="6"/>
  <c r="J412" i="6" s="1"/>
  <c r="J371" i="6" s="1"/>
  <c r="J370" i="6" s="1"/>
  <c r="J634" i="6" s="1"/>
  <c r="L354" i="6"/>
  <c r="L254" i="6" s="1"/>
  <c r="M359" i="6"/>
  <c r="E43" i="6"/>
  <c r="G77" i="6"/>
  <c r="H369" i="5"/>
  <c r="K368" i="5"/>
  <c r="I143" i="6"/>
  <c r="I141" i="6" s="1"/>
  <c r="I317" i="5"/>
  <c r="I318" i="5" s="1"/>
  <c r="J83" i="5"/>
  <c r="K155" i="4"/>
  <c r="I152" i="4"/>
  <c r="P323" i="5"/>
  <c r="G17" i="4"/>
  <c r="G51" i="2"/>
  <c r="G49" i="2" s="1"/>
  <c r="J105" i="4"/>
  <c r="J21" i="4" s="1"/>
  <c r="J53" i="2" s="1"/>
  <c r="J53" i="4"/>
  <c r="J115" i="4"/>
  <c r="F17" i="4"/>
  <c r="F36" i="4" s="1"/>
  <c r="F50" i="2"/>
  <c r="F49" i="2" s="1"/>
  <c r="G405" i="5"/>
  <c r="G68" i="5"/>
  <c r="C68" i="5" s="1"/>
  <c r="R16" i="4"/>
  <c r="I97" i="3"/>
  <c r="F89" i="3"/>
  <c r="F91" i="3"/>
  <c r="G89" i="3"/>
  <c r="M224" i="3"/>
  <c r="L221" i="3"/>
  <c r="G184" i="3"/>
  <c r="G185" i="3"/>
  <c r="L256" i="3"/>
  <c r="P271" i="3"/>
  <c r="P270" i="3" s="1"/>
  <c r="M268" i="3"/>
  <c r="M21" i="3"/>
  <c r="M18" i="2" s="1"/>
  <c r="J48" i="2"/>
  <c r="H93" i="3"/>
  <c r="D580" i="6"/>
  <c r="L580" i="6"/>
  <c r="L577" i="6"/>
  <c r="L575" i="6" s="1"/>
  <c r="L193" i="6"/>
  <c r="M190" i="6"/>
  <c r="M221" i="6"/>
  <c r="L219" i="6"/>
  <c r="L214" i="6" s="1"/>
  <c r="H288" i="5"/>
  <c r="K287" i="5"/>
  <c r="H10" i="5"/>
  <c r="H48" i="5"/>
  <c r="L94" i="5"/>
  <c r="K226" i="4"/>
  <c r="K225" i="4" s="1"/>
  <c r="K90" i="4"/>
  <c r="L89" i="4"/>
  <c r="K14" i="4"/>
  <c r="K160" i="4"/>
  <c r="K88" i="4"/>
  <c r="M391" i="6"/>
  <c r="M368" i="6" s="1"/>
  <c r="N405" i="6"/>
  <c r="I292" i="6"/>
  <c r="I285" i="6" s="1"/>
  <c r="I243" i="6" s="1"/>
  <c r="I467" i="6"/>
  <c r="I380" i="6" s="1"/>
  <c r="N186" i="6"/>
  <c r="N175" i="6" s="1"/>
  <c r="N174" i="6"/>
  <c r="L535" i="6"/>
  <c r="K532" i="6"/>
  <c r="K529" i="6" s="1"/>
  <c r="K522" i="6"/>
  <c r="L85" i="6"/>
  <c r="J85" i="6"/>
  <c r="L98" i="6"/>
  <c r="M98" i="6" s="1"/>
  <c r="N98" i="6" s="1"/>
  <c r="O98" i="6" s="1"/>
  <c r="P98" i="6" s="1"/>
  <c r="J98" i="6"/>
  <c r="J305" i="5"/>
  <c r="J23" i="5" s="1"/>
  <c r="J75" i="2" s="1"/>
  <c r="N422" i="5"/>
  <c r="G359" i="5"/>
  <c r="H135" i="5"/>
  <c r="K134" i="5"/>
  <c r="L134" i="5" s="1"/>
  <c r="M134" i="5" s="1"/>
  <c r="N134" i="5" s="1"/>
  <c r="O134" i="5" s="1"/>
  <c r="P134" i="5" s="1"/>
  <c r="E34" i="5"/>
  <c r="G196" i="5"/>
  <c r="G197" i="5" s="1"/>
  <c r="G229" i="5"/>
  <c r="G230" i="5" s="1"/>
  <c r="G212" i="5"/>
  <c r="G213" i="5" s="1"/>
  <c r="G221" i="5"/>
  <c r="G222" i="5" s="1"/>
  <c r="G204" i="5"/>
  <c r="G205" i="5" s="1"/>
  <c r="H73" i="5"/>
  <c r="K259" i="4"/>
  <c r="K258" i="4" s="1"/>
  <c r="L260" i="4"/>
  <c r="K352" i="3"/>
  <c r="L351" i="3"/>
  <c r="M351" i="3" s="1"/>
  <c r="N351" i="3" s="1"/>
  <c r="O351" i="3" s="1"/>
  <c r="P351" i="3" s="1"/>
  <c r="H129" i="4"/>
  <c r="K117" i="4"/>
  <c r="R27" i="4"/>
  <c r="H91" i="3"/>
  <c r="K91" i="3" s="1"/>
  <c r="I235" i="3"/>
  <c r="J235" i="3" s="1"/>
  <c r="I245" i="3"/>
  <c r="J245" i="3" s="1"/>
  <c r="I116" i="3"/>
  <c r="I18" i="3"/>
  <c r="I17" i="3" s="1"/>
  <c r="I17" i="2" s="1"/>
  <c r="L328" i="3"/>
  <c r="M328" i="3" s="1"/>
  <c r="N328" i="3" s="1"/>
  <c r="O328" i="3" s="1"/>
  <c r="P328" i="3" s="1"/>
  <c r="K329" i="3"/>
  <c r="K287" i="3"/>
  <c r="L326" i="3"/>
  <c r="M326" i="3" s="1"/>
  <c r="N326" i="3" s="1"/>
  <c r="O326" i="3" s="1"/>
  <c r="P326" i="3" s="1"/>
  <c r="K327" i="3"/>
  <c r="L192" i="3"/>
  <c r="M192" i="3" s="1"/>
  <c r="N192" i="3" s="1"/>
  <c r="O192" i="3" s="1"/>
  <c r="P192" i="3" s="1"/>
  <c r="J192" i="3"/>
  <c r="I192" i="3" s="1"/>
  <c r="I124" i="3"/>
  <c r="J123" i="3"/>
  <c r="J120" i="3" s="1"/>
  <c r="G10" i="3"/>
  <c r="G9" i="3" s="1"/>
  <c r="G52" i="3"/>
  <c r="F186" i="3"/>
  <c r="F79" i="3"/>
  <c r="J239" i="3"/>
  <c r="J240" i="3" s="1"/>
  <c r="K121" i="3"/>
  <c r="I75" i="3"/>
  <c r="J74" i="3"/>
  <c r="I78" i="3"/>
  <c r="H204" i="3"/>
  <c r="M271" i="3"/>
  <c r="M270" i="3" s="1"/>
  <c r="N141" i="3"/>
  <c r="M142" i="3"/>
  <c r="L190" i="3"/>
  <c r="M190" i="3" s="1"/>
  <c r="N190" i="3" s="1"/>
  <c r="O190" i="3" s="1"/>
  <c r="P190" i="3" s="1"/>
  <c r="K191" i="3"/>
  <c r="L273" i="6"/>
  <c r="L117" i="6"/>
  <c r="L119" i="6" s="1"/>
  <c r="L106" i="6" s="1"/>
  <c r="M96" i="6"/>
  <c r="M16" i="7"/>
  <c r="L91" i="2"/>
  <c r="L534" i="6"/>
  <c r="M520" i="6"/>
  <c r="K579" i="6"/>
  <c r="J579" i="6" s="1"/>
  <c r="K401" i="6"/>
  <c r="L440" i="6"/>
  <c r="M443" i="6"/>
  <c r="H252" i="6"/>
  <c r="H26" i="6"/>
  <c r="L345" i="6"/>
  <c r="J345" i="6"/>
  <c r="J309" i="6" s="1"/>
  <c r="L285" i="6"/>
  <c r="L243" i="6" s="1"/>
  <c r="M292" i="6"/>
  <c r="L200" i="6"/>
  <c r="K204" i="6"/>
  <c r="P228" i="6"/>
  <c r="M181" i="6"/>
  <c r="L180" i="6"/>
  <c r="L173" i="6" s="1"/>
  <c r="L581" i="6" s="1"/>
  <c r="G635" i="6"/>
  <c r="G638" i="6" s="1"/>
  <c r="H42" i="6"/>
  <c r="K194" i="5"/>
  <c r="K186" i="5" s="1"/>
  <c r="I367" i="5"/>
  <c r="I149" i="5"/>
  <c r="J148" i="5"/>
  <c r="J219" i="5"/>
  <c r="G135" i="5"/>
  <c r="F333" i="5"/>
  <c r="F332" i="5"/>
  <c r="F331" i="5"/>
  <c r="F330" i="5"/>
  <c r="L143" i="6"/>
  <c r="L317" i="5"/>
  <c r="M83" i="5"/>
  <c r="K185" i="4"/>
  <c r="K110" i="5"/>
  <c r="J110" i="5"/>
  <c r="F213" i="5"/>
  <c r="I258" i="4"/>
  <c r="L172" i="4"/>
  <c r="K173" i="4"/>
  <c r="H20" i="2"/>
  <c r="L141" i="4"/>
  <c r="M141" i="4" s="1"/>
  <c r="N141" i="4" s="1"/>
  <c r="O141" i="4" s="1"/>
  <c r="P141" i="4" s="1"/>
  <c r="K142" i="4"/>
  <c r="L187" i="4"/>
  <c r="M187" i="4" s="1"/>
  <c r="N187" i="4" s="1"/>
  <c r="O187" i="4" s="1"/>
  <c r="P187" i="4" s="1"/>
  <c r="J187" i="4"/>
  <c r="J184" i="4" s="1"/>
  <c r="I187" i="4"/>
  <c r="I184" i="4" s="1"/>
  <c r="I451" i="5"/>
  <c r="I53" i="5"/>
  <c r="M156" i="4"/>
  <c r="L155" i="4"/>
  <c r="N203" i="4"/>
  <c r="K299" i="3"/>
  <c r="I89" i="3"/>
  <c r="I91" i="3"/>
  <c r="J88" i="3"/>
  <c r="J347" i="3"/>
  <c r="K324" i="3"/>
  <c r="K323" i="3" s="1"/>
  <c r="K280" i="3"/>
  <c r="L314" i="3"/>
  <c r="M314" i="3" s="1"/>
  <c r="N314" i="3" s="1"/>
  <c r="O314" i="3" s="1"/>
  <c r="P314" i="3" s="1"/>
  <c r="K315" i="3"/>
  <c r="J260" i="3"/>
  <c r="K260" i="3" s="1"/>
  <c r="J105" i="3"/>
  <c r="J118" i="3"/>
  <c r="J19" i="3" s="1"/>
  <c r="K125" i="3"/>
  <c r="K118" i="3" s="1"/>
  <c r="K19" i="3" s="1"/>
  <c r="I189" i="3"/>
  <c r="J53" i="3"/>
  <c r="K55" i="3"/>
  <c r="E79" i="7"/>
  <c r="D524" i="6"/>
  <c r="L524" i="6" s="1"/>
  <c r="F495" i="6"/>
  <c r="F37" i="6"/>
  <c r="G313" i="6"/>
  <c r="G318" i="6" s="1"/>
  <c r="G247" i="6"/>
  <c r="K568" i="6"/>
  <c r="D422" i="5"/>
  <c r="K224" i="5"/>
  <c r="L223" i="5"/>
  <c r="M223" i="5" s="1"/>
  <c r="N223" i="5" s="1"/>
  <c r="O223" i="5" s="1"/>
  <c r="P223" i="5" s="1"/>
  <c r="K211" i="5"/>
  <c r="I106" i="5"/>
  <c r="J102" i="5" s="1"/>
  <c r="K102" i="5"/>
  <c r="I115" i="5"/>
  <c r="D116" i="5" s="1"/>
  <c r="I136" i="4"/>
  <c r="I105" i="4"/>
  <c r="I21" i="4" s="1"/>
  <c r="I53" i="2" s="1"/>
  <c r="J238" i="4"/>
  <c r="J237" i="4" s="1"/>
  <c r="K239" i="4"/>
  <c r="L239" i="4" s="1"/>
  <c r="K40" i="2"/>
  <c r="I9" i="5"/>
  <c r="K152" i="4"/>
  <c r="N81" i="4"/>
  <c r="F337" i="5"/>
  <c r="F336" i="5"/>
  <c r="F338" i="5"/>
  <c r="G24" i="4"/>
  <c r="G37" i="4" s="1"/>
  <c r="G82" i="2"/>
  <c r="G81" i="2" s="1"/>
  <c r="J168" i="4"/>
  <c r="J174" i="4"/>
  <c r="K174" i="4" s="1"/>
  <c r="J88" i="4"/>
  <c r="J15" i="4"/>
  <c r="J13" i="4" s="1"/>
  <c r="J22" i="2" s="1"/>
  <c r="J170" i="3"/>
  <c r="I171" i="3"/>
  <c r="K347" i="3"/>
  <c r="K346" i="3" s="1"/>
  <c r="M348" i="3"/>
  <c r="N134" i="3"/>
  <c r="M119" i="3"/>
  <c r="J252" i="3"/>
  <c r="I11" i="3"/>
  <c r="I9" i="3" s="1"/>
  <c r="I52" i="3"/>
  <c r="F93" i="3"/>
  <c r="I98" i="3"/>
  <c r="J98" i="3" s="1"/>
  <c r="K98" i="3" s="1"/>
  <c r="L98" i="3" s="1"/>
  <c r="M98" i="3" s="1"/>
  <c r="N98" i="3" s="1"/>
  <c r="O98" i="3" s="1"/>
  <c r="P98" i="3" s="1"/>
  <c r="N271" i="3"/>
  <c r="N270" i="3" s="1"/>
  <c r="O141" i="3"/>
  <c r="O142" i="3" s="1"/>
  <c r="N142" i="3"/>
  <c r="M458" i="6"/>
  <c r="L435" i="6"/>
  <c r="L376" i="6" s="1"/>
  <c r="J91" i="2"/>
  <c r="J440" i="6"/>
  <c r="I440" i="6" s="1"/>
  <c r="M20" i="7"/>
  <c r="L93" i="2"/>
  <c r="D270" i="6"/>
  <c r="I277" i="6"/>
  <c r="I264" i="6" s="1"/>
  <c r="I239" i="6" s="1"/>
  <c r="J186" i="6"/>
  <c r="J174" i="6"/>
  <c r="H299" i="6"/>
  <c r="I299" i="6" s="1"/>
  <c r="D322" i="6"/>
  <c r="L322" i="6" s="1"/>
  <c r="M322" i="6" s="1"/>
  <c r="N322" i="6" s="1"/>
  <c r="O322" i="6" s="1"/>
  <c r="P322" i="6" s="1"/>
  <c r="G182" i="6"/>
  <c r="K185" i="6"/>
  <c r="K174" i="6" s="1"/>
  <c r="D410" i="5"/>
  <c r="K207" i="5"/>
  <c r="L206" i="5"/>
  <c r="M206" i="5" s="1"/>
  <c r="N206" i="5" s="1"/>
  <c r="O206" i="5" s="1"/>
  <c r="P206" i="5" s="1"/>
  <c r="H27" i="5"/>
  <c r="L227" i="5"/>
  <c r="L190" i="5" s="1"/>
  <c r="M228" i="5"/>
  <c r="E29" i="6"/>
  <c r="E35" i="6" s="1"/>
  <c r="G619" i="6"/>
  <c r="G8" i="5"/>
  <c r="G34" i="5" s="1"/>
  <c r="G10" i="2"/>
  <c r="G9" i="2" s="1"/>
  <c r="K202" i="5"/>
  <c r="K187" i="5" s="1"/>
  <c r="I11" i="4"/>
  <c r="I9" i="4" s="1"/>
  <c r="I121" i="4"/>
  <c r="J121" i="4" s="1"/>
  <c r="K121" i="4" s="1"/>
  <c r="L121" i="4" s="1"/>
  <c r="M121" i="4" s="1"/>
  <c r="N121" i="4" s="1"/>
  <c r="O121" i="4" s="1"/>
  <c r="P121" i="4" s="1"/>
  <c r="I129" i="4"/>
  <c r="J129" i="4" s="1"/>
  <c r="K129" i="4" s="1"/>
  <c r="L129" i="4" s="1"/>
  <c r="M129" i="4" s="1"/>
  <c r="N129" i="4" s="1"/>
  <c r="O129" i="4" s="1"/>
  <c r="P129" i="4" s="1"/>
  <c r="F197" i="5"/>
  <c r="J54" i="2"/>
  <c r="F32" i="5"/>
  <c r="K122" i="4"/>
  <c r="O203" i="4"/>
  <c r="G8" i="4"/>
  <c r="G20" i="2"/>
  <c r="G19" i="2" s="1"/>
  <c r="G78" i="3"/>
  <c r="G75" i="3"/>
  <c r="O271" i="3"/>
  <c r="O270" i="3" s="1"/>
  <c r="P141" i="3"/>
  <c r="P142" i="3" s="1"/>
  <c r="J335" i="3"/>
  <c r="J318" i="3"/>
  <c r="J311" i="3" s="1"/>
  <c r="G218" i="3"/>
  <c r="G102" i="3"/>
  <c r="G15" i="3"/>
  <c r="G14" i="3" s="1"/>
  <c r="G16" i="2" s="1"/>
  <c r="F218" i="3"/>
  <c r="F102" i="3"/>
  <c r="F15" i="3"/>
  <c r="F14" i="3" s="1"/>
  <c r="F16" i="2" s="1"/>
  <c r="J210" i="3"/>
  <c r="M127" i="3"/>
  <c r="M125" i="3"/>
  <c r="M118" i="3" s="1"/>
  <c r="M19" i="3" s="1"/>
  <c r="K60" i="3"/>
  <c r="L260" i="3"/>
  <c r="F8" i="3"/>
  <c r="F13" i="2"/>
  <c r="P18" i="1"/>
  <c r="O19" i="1"/>
  <c r="I17" i="7"/>
  <c r="I15" i="7"/>
  <c r="I91" i="2"/>
  <c r="P474" i="6"/>
  <c r="F448" i="6"/>
  <c r="F338" i="6"/>
  <c r="F339" i="6" s="1"/>
  <c r="G172" i="6"/>
  <c r="G176" i="6" s="1"/>
  <c r="I359" i="5"/>
  <c r="I305" i="5"/>
  <c r="F615" i="6"/>
  <c r="F8" i="6"/>
  <c r="G42" i="6" s="1"/>
  <c r="F24" i="2"/>
  <c r="F23" i="2" s="1"/>
  <c r="J253" i="5"/>
  <c r="I253" i="5"/>
  <c r="K255" i="5" s="1"/>
  <c r="K240" i="5"/>
  <c r="K172" i="5" s="1"/>
  <c r="H653" i="6"/>
  <c r="K422" i="5"/>
  <c r="F155" i="5"/>
  <c r="F159" i="5" s="1"/>
  <c r="C156" i="5"/>
  <c r="E620" i="6"/>
  <c r="E622" i="6"/>
  <c r="H169" i="5"/>
  <c r="I197" i="4"/>
  <c r="I26" i="4" s="1"/>
  <c r="I83" i="2" s="1"/>
  <c r="J232" i="4"/>
  <c r="J197" i="4" s="1"/>
  <c r="J26" i="4" s="1"/>
  <c r="J83" i="2" s="1"/>
  <c r="I225" i="4"/>
  <c r="K203" i="4"/>
  <c r="I196" i="4"/>
  <c r="I25" i="4" s="1"/>
  <c r="I82" i="2" s="1"/>
  <c r="I202" i="4"/>
  <c r="H183" i="4"/>
  <c r="I183" i="4" s="1"/>
  <c r="H16" i="4"/>
  <c r="H13" i="4" s="1"/>
  <c r="H22" i="2" s="1"/>
  <c r="N62" i="4"/>
  <c r="L306" i="3"/>
  <c r="M306" i="3" s="1"/>
  <c r="N306" i="3" s="1"/>
  <c r="O306" i="3" s="1"/>
  <c r="P306" i="3" s="1"/>
  <c r="I306" i="3"/>
  <c r="I299" i="3" s="1"/>
  <c r="I81" i="5"/>
  <c r="H17" i="4"/>
  <c r="H50" i="2"/>
  <c r="H49" i="2" s="1"/>
  <c r="H261" i="3"/>
  <c r="H256" i="3"/>
  <c r="K257" i="3" s="1"/>
  <c r="H20" i="3"/>
  <c r="H17" i="3" s="1"/>
  <c r="H17" i="2" s="1"/>
  <c r="H12" i="2" s="1"/>
  <c r="L76" i="4"/>
  <c r="L64" i="4" s="1"/>
  <c r="L54" i="4"/>
  <c r="M71" i="4"/>
  <c r="K336" i="3"/>
  <c r="K335" i="3" s="1"/>
  <c r="L337" i="3"/>
  <c r="I175" i="3"/>
  <c r="J175" i="3" s="1"/>
  <c r="D175" i="3"/>
  <c r="K175" i="3" s="1"/>
  <c r="L175" i="3" s="1"/>
  <c r="M175" i="3" s="1"/>
  <c r="N175" i="3" s="1"/>
  <c r="O175" i="3" s="1"/>
  <c r="P175" i="3" s="1"/>
  <c r="D83" i="4"/>
  <c r="L83" i="4" s="1"/>
  <c r="P130" i="3"/>
  <c r="P126" i="3" s="1"/>
  <c r="O126" i="3"/>
  <c r="L252" i="3"/>
  <c r="L268" i="3"/>
  <c r="L267" i="3" s="1"/>
  <c r="L21" i="3"/>
  <c r="L18" i="2" s="1"/>
  <c r="L33" i="6" l="1"/>
  <c r="L88" i="2" s="1"/>
  <c r="I25" i="2"/>
  <c r="I632" i="6"/>
  <c r="I297" i="6"/>
  <c r="I298" i="6" s="1"/>
  <c r="I615" i="6"/>
  <c r="I24" i="2"/>
  <c r="I8" i="6"/>
  <c r="F44" i="6"/>
  <c r="E455" i="5"/>
  <c r="J167" i="4"/>
  <c r="K210" i="5"/>
  <c r="F339" i="5"/>
  <c r="F34" i="5"/>
  <c r="F334" i="5"/>
  <c r="H8" i="4"/>
  <c r="E23" i="4"/>
  <c r="E28" i="4" s="1"/>
  <c r="E36" i="4"/>
  <c r="E37" i="4"/>
  <c r="M347" i="3"/>
  <c r="M346" i="3" s="1"/>
  <c r="E36" i="3"/>
  <c r="E44" i="3" s="1"/>
  <c r="E43" i="3"/>
  <c r="M267" i="3"/>
  <c r="F12" i="2"/>
  <c r="I81" i="2"/>
  <c r="E109" i="7"/>
  <c r="E112" i="7"/>
  <c r="E142" i="2"/>
  <c r="E106" i="7"/>
  <c r="E127" i="2"/>
  <c r="E7" i="1"/>
  <c r="J183" i="4"/>
  <c r="I182" i="4"/>
  <c r="J117" i="3"/>
  <c r="J234" i="3" s="1"/>
  <c r="K120" i="3"/>
  <c r="I8" i="4"/>
  <c r="I20" i="2"/>
  <c r="I19" i="2" s="1"/>
  <c r="P125" i="3"/>
  <c r="P127" i="3"/>
  <c r="J306" i="3"/>
  <c r="J299" i="3" s="1"/>
  <c r="G220" i="3"/>
  <c r="G227" i="3"/>
  <c r="D222" i="3"/>
  <c r="K109" i="5"/>
  <c r="L110" i="5"/>
  <c r="N181" i="6"/>
  <c r="M180" i="6"/>
  <c r="M173" i="6" s="1"/>
  <c r="M581" i="6" s="1"/>
  <c r="G175" i="3"/>
  <c r="G173" i="3"/>
  <c r="G166" i="3"/>
  <c r="J244" i="3"/>
  <c r="K244" i="3" s="1"/>
  <c r="K245" i="3"/>
  <c r="L245" i="3" s="1"/>
  <c r="M260" i="4"/>
  <c r="L259" i="4"/>
  <c r="L258" i="4" s="1"/>
  <c r="R14" i="4"/>
  <c r="K13" i="4"/>
  <c r="H200" i="5"/>
  <c r="H233" i="5"/>
  <c r="H216" i="5"/>
  <c r="H225" i="5"/>
  <c r="H208" i="5"/>
  <c r="H9" i="5"/>
  <c r="N224" i="3"/>
  <c r="M221" i="3"/>
  <c r="K80" i="3"/>
  <c r="L79" i="3"/>
  <c r="L217" i="3"/>
  <c r="L15" i="3"/>
  <c r="K574" i="6"/>
  <c r="E28" i="5"/>
  <c r="E36" i="5" s="1"/>
  <c r="E35" i="5"/>
  <c r="M83" i="4"/>
  <c r="L84" i="4"/>
  <c r="L80" i="4"/>
  <c r="J310" i="6"/>
  <c r="N156" i="4"/>
  <c r="M155" i="4"/>
  <c r="H19" i="2"/>
  <c r="K184" i="4"/>
  <c r="K186" i="4"/>
  <c r="L185" i="4"/>
  <c r="L309" i="6"/>
  <c r="M345" i="6"/>
  <c r="J68" i="3"/>
  <c r="J66" i="3" s="1"/>
  <c r="K74" i="3"/>
  <c r="J78" i="3"/>
  <c r="G8" i="3"/>
  <c r="G13" i="2"/>
  <c r="G12" i="2" s="1"/>
  <c r="K235" i="3"/>
  <c r="L235" i="3" s="1"/>
  <c r="L153" i="4"/>
  <c r="M89" i="4"/>
  <c r="L160" i="4"/>
  <c r="L14" i="4"/>
  <c r="L579" i="6"/>
  <c r="L574" i="6" s="1"/>
  <c r="M580" i="6"/>
  <c r="J143" i="6"/>
  <c r="J317" i="5"/>
  <c r="F35" i="4"/>
  <c r="F23" i="4"/>
  <c r="F28" i="4" s="1"/>
  <c r="F37" i="4"/>
  <c r="K216" i="6"/>
  <c r="L213" i="6" s="1"/>
  <c r="N106" i="3"/>
  <c r="M105" i="3"/>
  <c r="M103" i="3" s="1"/>
  <c r="K56" i="4"/>
  <c r="L113" i="4"/>
  <c r="J113" i="4"/>
  <c r="J56" i="4" s="1"/>
  <c r="I113" i="4"/>
  <c r="F167" i="5"/>
  <c r="F14" i="5"/>
  <c r="K247" i="5"/>
  <c r="J244" i="5"/>
  <c r="J238" i="5" s="1"/>
  <c r="L65" i="4"/>
  <c r="L61" i="4"/>
  <c r="G80" i="7"/>
  <c r="G74" i="7" s="1"/>
  <c r="N520" i="6"/>
  <c r="M534" i="6"/>
  <c r="O62" i="4"/>
  <c r="O81" i="4"/>
  <c r="F619" i="6"/>
  <c r="F94" i="3"/>
  <c r="G94" i="3"/>
  <c r="H61" i="2"/>
  <c r="H55" i="2" s="1"/>
  <c r="H20" i="6"/>
  <c r="L91" i="3"/>
  <c r="M91" i="3" s="1"/>
  <c r="N91" i="3" s="1"/>
  <c r="O91" i="3" s="1"/>
  <c r="P91" i="3" s="1"/>
  <c r="J91" i="3"/>
  <c r="J90" i="3" s="1"/>
  <c r="J201" i="3" s="1"/>
  <c r="J200" i="3" s="1"/>
  <c r="K200" i="3" s="1"/>
  <c r="J529" i="6"/>
  <c r="J516" i="6" s="1"/>
  <c r="K516" i="6"/>
  <c r="K492" i="6" s="1"/>
  <c r="K493" i="6" s="1"/>
  <c r="N391" i="6"/>
  <c r="N368" i="6" s="1"/>
  <c r="O405" i="6"/>
  <c r="I287" i="5"/>
  <c r="I288" i="5" s="1"/>
  <c r="L287" i="5"/>
  <c r="M287" i="5" s="1"/>
  <c r="N287" i="5" s="1"/>
  <c r="O287" i="5" s="1"/>
  <c r="P287" i="5" s="1"/>
  <c r="J287" i="5"/>
  <c r="M68" i="5"/>
  <c r="L68" i="5"/>
  <c r="P68" i="5"/>
  <c r="N68" i="5"/>
  <c r="O68" i="5"/>
  <c r="I319" i="5"/>
  <c r="J318" i="5"/>
  <c r="K318" i="5" s="1"/>
  <c r="P150" i="3"/>
  <c r="P139" i="3" s="1"/>
  <c r="O139" i="3"/>
  <c r="H418" i="6"/>
  <c r="H419" i="6" s="1"/>
  <c r="K419" i="6" s="1"/>
  <c r="L419" i="6" s="1"/>
  <c r="M419" i="6" s="1"/>
  <c r="N419" i="6" s="1"/>
  <c r="O419" i="6" s="1"/>
  <c r="P419" i="6" s="1"/>
  <c r="K134" i="6"/>
  <c r="H159" i="6"/>
  <c r="I134" i="6"/>
  <c r="J16" i="6"/>
  <c r="M413" i="6"/>
  <c r="M372" i="6" s="1"/>
  <c r="N425" i="6"/>
  <c r="N53" i="4"/>
  <c r="I281" i="3"/>
  <c r="I31" i="3" s="1"/>
  <c r="I287" i="3"/>
  <c r="L202" i="4"/>
  <c r="G13" i="5"/>
  <c r="G19" i="5" s="1"/>
  <c r="G25" i="5" s="1"/>
  <c r="G38" i="2"/>
  <c r="G37" i="2" s="1"/>
  <c r="I237" i="6"/>
  <c r="J240" i="5"/>
  <c r="J172" i="5" s="1"/>
  <c r="I23" i="5"/>
  <c r="I300" i="5"/>
  <c r="H8" i="3"/>
  <c r="G23" i="4"/>
  <c r="G28" i="4" s="1"/>
  <c r="G35" i="4"/>
  <c r="G32" i="5"/>
  <c r="I174" i="3"/>
  <c r="I166" i="3"/>
  <c r="J166" i="3" s="1"/>
  <c r="K166" i="3" s="1"/>
  <c r="L166" i="3" s="1"/>
  <c r="M166" i="3" s="1"/>
  <c r="N166" i="3" s="1"/>
  <c r="O166" i="3" s="1"/>
  <c r="P166" i="3" s="1"/>
  <c r="I173" i="3"/>
  <c r="J173" i="3" s="1"/>
  <c r="K173" i="3" s="1"/>
  <c r="L173" i="3" s="1"/>
  <c r="M173" i="3" s="1"/>
  <c r="N173" i="3" s="1"/>
  <c r="O173" i="3" s="1"/>
  <c r="P173" i="3" s="1"/>
  <c r="K170" i="3"/>
  <c r="J167" i="3"/>
  <c r="I325" i="5"/>
  <c r="I8" i="5"/>
  <c r="I10" i="2"/>
  <c r="I9" i="2" s="1"/>
  <c r="I401" i="5"/>
  <c r="K115" i="5"/>
  <c r="J115" i="5"/>
  <c r="D115" i="5"/>
  <c r="J103" i="3"/>
  <c r="K105" i="3"/>
  <c r="K103" i="3" s="1"/>
  <c r="K88" i="3"/>
  <c r="M143" i="6"/>
  <c r="M317" i="5"/>
  <c r="N83" i="5"/>
  <c r="K328" i="6"/>
  <c r="J204" i="6"/>
  <c r="K65" i="6"/>
  <c r="H667" i="6"/>
  <c r="H256" i="6"/>
  <c r="N16" i="7"/>
  <c r="M91" i="2"/>
  <c r="K239" i="3"/>
  <c r="K240" i="3" s="1"/>
  <c r="K122" i="3"/>
  <c r="L121" i="3"/>
  <c r="H77" i="5"/>
  <c r="H86" i="5"/>
  <c r="J225" i="4"/>
  <c r="H94" i="3"/>
  <c r="K93" i="3"/>
  <c r="G36" i="4"/>
  <c r="K141" i="6"/>
  <c r="J141" i="6"/>
  <c r="N359" i="6"/>
  <c r="M354" i="6"/>
  <c r="M254" i="6" s="1"/>
  <c r="N268" i="3"/>
  <c r="N267" i="3" s="1"/>
  <c r="N21" i="3"/>
  <c r="N18" i="2" s="1"/>
  <c r="K569" i="6"/>
  <c r="K454" i="6"/>
  <c r="K434" i="6" s="1"/>
  <c r="K375" i="6" s="1"/>
  <c r="K64" i="6"/>
  <c r="J294" i="3"/>
  <c r="F348" i="5" a="1"/>
  <c r="G452" i="5"/>
  <c r="G454" i="5" s="1"/>
  <c r="G179" i="5"/>
  <c r="G168" i="5"/>
  <c r="L164" i="7"/>
  <c r="I240" i="5"/>
  <c r="I256" i="5"/>
  <c r="Q18" i="1"/>
  <c r="Q19" i="1" s="1"/>
  <c r="P19" i="1"/>
  <c r="L568" i="6"/>
  <c r="K567" i="6"/>
  <c r="L538" i="6"/>
  <c r="M524" i="6"/>
  <c r="J346" i="3"/>
  <c r="J280" i="3"/>
  <c r="J30" i="3" s="1"/>
  <c r="H35" i="4"/>
  <c r="H23" i="4"/>
  <c r="H28" i="4" s="1"/>
  <c r="H37" i="4"/>
  <c r="L336" i="3"/>
  <c r="L335" i="3" s="1"/>
  <c r="M337" i="3"/>
  <c r="H36" i="4"/>
  <c r="F78" i="7"/>
  <c r="F84" i="7" s="1"/>
  <c r="G620" i="6"/>
  <c r="G622" i="6"/>
  <c r="N20" i="7"/>
  <c r="M93" i="2"/>
  <c r="I8" i="3"/>
  <c r="I13" i="2"/>
  <c r="I12" i="2" s="1"/>
  <c r="G244" i="6"/>
  <c r="G24" i="6"/>
  <c r="E87" i="7"/>
  <c r="E72" i="7"/>
  <c r="E73" i="7" s="1"/>
  <c r="M172" i="4"/>
  <c r="L170" i="4"/>
  <c r="J189" i="5"/>
  <c r="J191" i="5" s="1"/>
  <c r="K219" i="5"/>
  <c r="K189" i="5" s="1"/>
  <c r="M200" i="6"/>
  <c r="L204" i="6"/>
  <c r="M440" i="6"/>
  <c r="N443" i="6"/>
  <c r="L117" i="4"/>
  <c r="K105" i="4"/>
  <c r="K118" i="4"/>
  <c r="I85" i="6"/>
  <c r="I86" i="6" s="1"/>
  <c r="L537" i="6"/>
  <c r="M256" i="3"/>
  <c r="N256" i="3" s="1"/>
  <c r="O256" i="3" s="1"/>
  <c r="P256" i="3" s="1"/>
  <c r="L255" i="3"/>
  <c r="L254" i="3" s="1"/>
  <c r="L251" i="3" s="1"/>
  <c r="L347" i="3"/>
  <c r="L346" i="3" s="1"/>
  <c r="J196" i="4"/>
  <c r="J25" i="4" s="1"/>
  <c r="J202" i="4"/>
  <c r="N467" i="6"/>
  <c r="N380" i="6" s="1"/>
  <c r="L51" i="4"/>
  <c r="K31" i="3"/>
  <c r="J128" i="4"/>
  <c r="J120" i="4"/>
  <c r="J11" i="4"/>
  <c r="R11" i="4" s="1"/>
  <c r="L197" i="4"/>
  <c r="L26" i="4" s="1"/>
  <c r="L83" i="2" s="1"/>
  <c r="M208" i="4"/>
  <c r="I380" i="5"/>
  <c r="I27" i="5"/>
  <c r="N397" i="6"/>
  <c r="M394" i="6"/>
  <c r="M389" i="6" s="1"/>
  <c r="M366" i="6" s="1"/>
  <c r="M165" i="7"/>
  <c r="K238" i="4"/>
  <c r="K237" i="4" s="1"/>
  <c r="R15" i="4"/>
  <c r="K202" i="4"/>
  <c r="L60" i="3"/>
  <c r="K54" i="3"/>
  <c r="K11" i="3" s="1"/>
  <c r="K61" i="3"/>
  <c r="G448" i="6"/>
  <c r="G338" i="6"/>
  <c r="G339" i="6" s="1"/>
  <c r="H172" i="6"/>
  <c r="H176" i="6" s="1"/>
  <c r="J249" i="6"/>
  <c r="J26" i="6" s="1"/>
  <c r="H257" i="3"/>
  <c r="I257" i="3"/>
  <c r="L156" i="5"/>
  <c r="K156" i="5"/>
  <c r="F42" i="6"/>
  <c r="F29" i="6"/>
  <c r="F35" i="6" s="1"/>
  <c r="F43" i="6"/>
  <c r="O125" i="3"/>
  <c r="O118" i="3" s="1"/>
  <c r="O19" i="3" s="1"/>
  <c r="O127" i="3"/>
  <c r="M76" i="4"/>
  <c r="M64" i="4" s="1"/>
  <c r="M54" i="4"/>
  <c r="N71" i="4"/>
  <c r="I82" i="5"/>
  <c r="D82" i="5" s="1"/>
  <c r="L82" i="5" s="1"/>
  <c r="M82" i="5" s="1"/>
  <c r="N82" i="5" s="1"/>
  <c r="O82" i="5" s="1"/>
  <c r="P82" i="5" s="1"/>
  <c r="K81" i="5"/>
  <c r="J81" i="5"/>
  <c r="I24" i="4"/>
  <c r="I37" i="4" s="1"/>
  <c r="H656" i="6"/>
  <c r="H654" i="6"/>
  <c r="I90" i="2"/>
  <c r="F40" i="3"/>
  <c r="F28" i="3"/>
  <c r="F33" i="3" s="1"/>
  <c r="F41" i="3"/>
  <c r="F42" i="3"/>
  <c r="F220" i="3"/>
  <c r="F227" i="3"/>
  <c r="K299" i="6"/>
  <c r="J299" i="6"/>
  <c r="P299" i="6"/>
  <c r="O299" i="6"/>
  <c r="N299" i="6"/>
  <c r="L299" i="6"/>
  <c r="M299" i="6"/>
  <c r="N458" i="6"/>
  <c r="M435" i="6"/>
  <c r="M376" i="6" s="1"/>
  <c r="M33" i="6" s="1"/>
  <c r="M88" i="2" s="1"/>
  <c r="J251" i="3"/>
  <c r="K252" i="3"/>
  <c r="K251" i="3" s="1"/>
  <c r="J367" i="5"/>
  <c r="N292" i="6"/>
  <c r="M285" i="6"/>
  <c r="M243" i="6" s="1"/>
  <c r="M273" i="6"/>
  <c r="N96" i="6"/>
  <c r="M117" i="6"/>
  <c r="M119" i="6" s="1"/>
  <c r="M106" i="6" s="1"/>
  <c r="M85" i="6"/>
  <c r="N221" i="6"/>
  <c r="M219" i="6"/>
  <c r="M214" i="6" s="1"/>
  <c r="G186" i="3"/>
  <c r="G79" i="3"/>
  <c r="H186" i="3"/>
  <c r="L368" i="5"/>
  <c r="J368" i="5"/>
  <c r="I368" i="5"/>
  <c r="I369" i="5" s="1"/>
  <c r="K366" i="5"/>
  <c r="M294" i="3"/>
  <c r="L281" i="3"/>
  <c r="L31" i="3" s="1"/>
  <c r="L79" i="2" s="1"/>
  <c r="K26" i="4"/>
  <c r="D141" i="6"/>
  <c r="N166" i="7"/>
  <c r="K167" i="4"/>
  <c r="H167" i="5"/>
  <c r="H14" i="5"/>
  <c r="E45" i="6"/>
  <c r="E38" i="6"/>
  <c r="E46" i="6" s="1"/>
  <c r="M252" i="3"/>
  <c r="M260" i="3"/>
  <c r="M20" i="3"/>
  <c r="K53" i="3"/>
  <c r="K58" i="3"/>
  <c r="L58" i="3" s="1"/>
  <c r="K149" i="5"/>
  <c r="J149" i="5"/>
  <c r="J151" i="5" s="1"/>
  <c r="J142" i="5" s="1"/>
  <c r="I150" i="5"/>
  <c r="D150" i="5" s="1"/>
  <c r="L150" i="5" s="1"/>
  <c r="M150" i="5" s="1"/>
  <c r="N150" i="5" s="1"/>
  <c r="O150" i="5" s="1"/>
  <c r="P150" i="5" s="1"/>
  <c r="K390" i="6"/>
  <c r="K367" i="6" s="1"/>
  <c r="F80" i="3"/>
  <c r="F77" i="3"/>
  <c r="M577" i="6"/>
  <c r="M575" i="6" s="1"/>
  <c r="M193" i="6"/>
  <c r="N190" i="6"/>
  <c r="J95" i="3"/>
  <c r="J86" i="3" s="1"/>
  <c r="J112" i="4"/>
  <c r="K371" i="6"/>
  <c r="R12" i="4"/>
  <c r="K21" i="2"/>
  <c r="M289" i="3"/>
  <c r="M288" i="3" s="1"/>
  <c r="N56" i="3"/>
  <c r="L167" i="4"/>
  <c r="E491" i="6"/>
  <c r="E494" i="6"/>
  <c r="J577" i="6"/>
  <c r="J575" i="6" s="1"/>
  <c r="J574" i="6" s="1"/>
  <c r="J193" i="6"/>
  <c r="O167" i="7"/>
  <c r="P167" i="7" s="1"/>
  <c r="I94" i="3"/>
  <c r="N228" i="5"/>
  <c r="M227" i="5"/>
  <c r="M190" i="5" s="1"/>
  <c r="K186" i="6"/>
  <c r="K175" i="6" s="1"/>
  <c r="J175" i="6"/>
  <c r="N348" i="3"/>
  <c r="N347" i="3" s="1"/>
  <c r="N346" i="3" s="1"/>
  <c r="O134" i="3"/>
  <c r="N119" i="3"/>
  <c r="M239" i="4"/>
  <c r="L238" i="4"/>
  <c r="L237" i="4" s="1"/>
  <c r="K188" i="5"/>
  <c r="J10" i="3"/>
  <c r="J9" i="3" s="1"/>
  <c r="J52" i="3"/>
  <c r="K30" i="3"/>
  <c r="I345" i="6"/>
  <c r="I309" i="6" s="1"/>
  <c r="O422" i="5"/>
  <c r="H451" i="5"/>
  <c r="H53" i="5"/>
  <c r="H376" i="5"/>
  <c r="H256" i="5"/>
  <c r="J58" i="4"/>
  <c r="G80" i="6"/>
  <c r="G88" i="6"/>
  <c r="G89" i="6" s="1"/>
  <c r="G92" i="6"/>
  <c r="I416" i="6"/>
  <c r="I412" i="6" s="1"/>
  <c r="I371" i="6" s="1"/>
  <c r="I370" i="6" s="1"/>
  <c r="I634" i="6" s="1"/>
  <c r="I394" i="6"/>
  <c r="I389" i="6" s="1"/>
  <c r="I366" i="6" s="1"/>
  <c r="I79" i="3"/>
  <c r="I182" i="3"/>
  <c r="J136" i="4"/>
  <c r="K137" i="4"/>
  <c r="K136" i="4" s="1"/>
  <c r="L287" i="3"/>
  <c r="N169" i="4"/>
  <c r="M168" i="4"/>
  <c r="F380" i="5"/>
  <c r="K163" i="7"/>
  <c r="K169" i="7" s="1"/>
  <c r="J120" i="7" s="1"/>
  <c r="J34" i="7" s="1"/>
  <c r="J107" i="2" s="1"/>
  <c r="L163" i="7" l="1"/>
  <c r="L169" i="7" s="1"/>
  <c r="L120" i="7" s="1"/>
  <c r="L34" i="7" s="1"/>
  <c r="L107" i="2" s="1"/>
  <c r="M163" i="7"/>
  <c r="I23" i="2"/>
  <c r="I42" i="6"/>
  <c r="L536" i="6"/>
  <c r="K191" i="5"/>
  <c r="K169" i="5" s="1"/>
  <c r="L152" i="4"/>
  <c r="K196" i="4"/>
  <c r="K25" i="4" s="1"/>
  <c r="E31" i="4"/>
  <c r="E39" i="4" s="1"/>
  <c r="E38" i="4"/>
  <c r="M255" i="3"/>
  <c r="M254" i="3" s="1"/>
  <c r="M251" i="3" s="1"/>
  <c r="G78" i="7"/>
  <c r="G84" i="7" s="1"/>
  <c r="G85" i="7" s="1"/>
  <c r="L587" i="6"/>
  <c r="L601" i="6"/>
  <c r="M601" i="6" s="1"/>
  <c r="N601" i="6" s="1"/>
  <c r="O601" i="6" s="1"/>
  <c r="P601" i="6" s="1"/>
  <c r="M58" i="3"/>
  <c r="L55" i="3"/>
  <c r="L53" i="3" s="1"/>
  <c r="K33" i="6"/>
  <c r="I88" i="2"/>
  <c r="I157" i="3"/>
  <c r="I24" i="3" s="1"/>
  <c r="I179" i="3"/>
  <c r="K29" i="3"/>
  <c r="K78" i="2"/>
  <c r="N255" i="3"/>
  <c r="N254" i="3" s="1"/>
  <c r="N252" i="3"/>
  <c r="N260" i="3"/>
  <c r="N20" i="3"/>
  <c r="N294" i="3"/>
  <c r="M281" i="3"/>
  <c r="M31" i="3" s="1"/>
  <c r="M79" i="2" s="1"/>
  <c r="G80" i="3"/>
  <c r="G77" i="3"/>
  <c r="H80" i="3"/>
  <c r="N208" i="4"/>
  <c r="M197" i="4"/>
  <c r="M26" i="4" s="1"/>
  <c r="M83" i="2" s="1"/>
  <c r="M202" i="4"/>
  <c r="L328" i="6"/>
  <c r="L65" i="6"/>
  <c r="L17" i="6" s="1"/>
  <c r="N143" i="6"/>
  <c r="N317" i="5"/>
  <c r="O83" i="5"/>
  <c r="K15" i="3"/>
  <c r="G33" i="5"/>
  <c r="N413" i="6"/>
  <c r="N372" i="6" s="1"/>
  <c r="O425" i="6"/>
  <c r="O268" i="3"/>
  <c r="O267" i="3" s="1"/>
  <c r="O21" i="3"/>
  <c r="O18" i="2" s="1"/>
  <c r="I529" i="6"/>
  <c r="O520" i="6"/>
  <c r="N534" i="6"/>
  <c r="F452" i="5"/>
  <c r="F454" i="5" s="1"/>
  <c r="F179" i="5"/>
  <c r="F168" i="5"/>
  <c r="L223" i="6"/>
  <c r="L215" i="6" s="1"/>
  <c r="G40" i="3"/>
  <c r="G28" i="3"/>
  <c r="G33" i="3" s="1"/>
  <c r="G42" i="3"/>
  <c r="G41" i="3"/>
  <c r="N221" i="3"/>
  <c r="O224" i="3"/>
  <c r="R13" i="4"/>
  <c r="K22" i="2"/>
  <c r="P467" i="6"/>
  <c r="P380" i="6" s="1"/>
  <c r="O467" i="6"/>
  <c r="O380" i="6" s="1"/>
  <c r="N200" i="6"/>
  <c r="M204" i="6"/>
  <c r="G59" i="2"/>
  <c r="G55" i="2" s="1"/>
  <c r="G20" i="6"/>
  <c r="J78" i="2"/>
  <c r="G457" i="5"/>
  <c r="G455" i="5"/>
  <c r="K331" i="6"/>
  <c r="J331" i="6" s="1"/>
  <c r="K321" i="6"/>
  <c r="J321" i="6" s="1"/>
  <c r="J305" i="6" s="1"/>
  <c r="O16" i="7"/>
  <c r="N91" i="2"/>
  <c r="J217" i="3"/>
  <c r="J15" i="3"/>
  <c r="P268" i="3"/>
  <c r="P267" i="3" s="1"/>
  <c r="Q139" i="3"/>
  <c r="P21" i="3"/>
  <c r="P18" i="2" s="1"/>
  <c r="F620" i="6"/>
  <c r="F622" i="6"/>
  <c r="I56" i="4"/>
  <c r="I58" i="4" s="1"/>
  <c r="I59" i="4" s="1"/>
  <c r="J59" i="4" s="1"/>
  <c r="K59" i="4" s="1"/>
  <c r="L59" i="4" s="1"/>
  <c r="M59" i="4" s="1"/>
  <c r="N59" i="4" s="1"/>
  <c r="O59" i="4" s="1"/>
  <c r="P59" i="4" s="1"/>
  <c r="I112" i="4"/>
  <c r="H13" i="5"/>
  <c r="H38" i="2"/>
  <c r="H37" i="2" s="1"/>
  <c r="N163" i="7"/>
  <c r="I365" i="6"/>
  <c r="H380" i="5"/>
  <c r="J174" i="3"/>
  <c r="J159" i="3" s="1"/>
  <c r="J26" i="3" s="1"/>
  <c r="J47" i="2" s="1"/>
  <c r="J172" i="3"/>
  <c r="J165" i="3"/>
  <c r="M287" i="3"/>
  <c r="K10" i="3"/>
  <c r="K52" i="3"/>
  <c r="H452" i="5"/>
  <c r="H179" i="5"/>
  <c r="H168" i="5"/>
  <c r="I366" i="5"/>
  <c r="K308" i="5"/>
  <c r="M537" i="6"/>
  <c r="F36" i="3"/>
  <c r="F44" i="3" s="1"/>
  <c r="F43" i="3"/>
  <c r="L81" i="5"/>
  <c r="K80" i="5"/>
  <c r="J80" i="5" s="1"/>
  <c r="J74" i="5" s="1"/>
  <c r="J61" i="2"/>
  <c r="L54" i="3"/>
  <c r="L11" i="3" s="1"/>
  <c r="M60" i="3"/>
  <c r="N165" i="7"/>
  <c r="O165" i="7" s="1"/>
  <c r="J86" i="6"/>
  <c r="G651" i="6"/>
  <c r="G256" i="6"/>
  <c r="F353" i="5"/>
  <c r="F352" i="5"/>
  <c r="F351" i="5"/>
  <c r="F350" i="5"/>
  <c r="F349" i="5"/>
  <c r="F348" i="5"/>
  <c r="O359" i="6"/>
  <c r="N354" i="6"/>
  <c r="N254" i="6" s="1"/>
  <c r="K167" i="3"/>
  <c r="L318" i="5"/>
  <c r="K316" i="5"/>
  <c r="K302" i="5" s="1"/>
  <c r="F38" i="4"/>
  <c r="F31" i="4"/>
  <c r="F39" i="4" s="1"/>
  <c r="K75" i="3"/>
  <c r="L74" i="3"/>
  <c r="K78" i="3"/>
  <c r="L145" i="4"/>
  <c r="L227" i="4"/>
  <c r="L226" i="4" s="1"/>
  <c r="L225" i="4" s="1"/>
  <c r="L137" i="4"/>
  <c r="L140" i="4"/>
  <c r="L139" i="4" s="1"/>
  <c r="L12" i="4"/>
  <c r="L21" i="2" s="1"/>
  <c r="M79" i="3"/>
  <c r="H8" i="5"/>
  <c r="H10" i="2"/>
  <c r="H9" i="2" s="1"/>
  <c r="H242" i="5"/>
  <c r="H301" i="5"/>
  <c r="H359" i="5"/>
  <c r="I35" i="4"/>
  <c r="O169" i="4"/>
  <c r="N168" i="4"/>
  <c r="H454" i="5"/>
  <c r="J13" i="2"/>
  <c r="J103" i="4"/>
  <c r="J19" i="4" s="1"/>
  <c r="J51" i="2" s="1"/>
  <c r="J111" i="4"/>
  <c r="R26" i="4"/>
  <c r="K83" i="2"/>
  <c r="O221" i="6"/>
  <c r="N219" i="6"/>
  <c r="N214" i="6" s="1"/>
  <c r="N537" i="6" s="1"/>
  <c r="O292" i="6"/>
  <c r="N285" i="6"/>
  <c r="N243" i="6" s="1"/>
  <c r="F38" i="6"/>
  <c r="F46" i="6" s="1"/>
  <c r="F45" i="6"/>
  <c r="J119" i="4"/>
  <c r="K120" i="4"/>
  <c r="J24" i="4"/>
  <c r="J82" i="2"/>
  <c r="J81" i="2" s="1"/>
  <c r="J169" i="5"/>
  <c r="M336" i="3"/>
  <c r="M335" i="3" s="1"/>
  <c r="N337" i="3"/>
  <c r="N524" i="6"/>
  <c r="M538" i="6"/>
  <c r="M164" i="7"/>
  <c r="N164" i="7" s="1"/>
  <c r="J281" i="3"/>
  <c r="J31" i="3" s="1"/>
  <c r="J79" i="2" s="1"/>
  <c r="J287" i="3"/>
  <c r="H196" i="5"/>
  <c r="H197" i="5" s="1"/>
  <c r="H229" i="5"/>
  <c r="H230" i="5" s="1"/>
  <c r="H212" i="5"/>
  <c r="H213" i="5" s="1"/>
  <c r="H221" i="5"/>
  <c r="H222" i="5" s="1"/>
  <c r="H204" i="5"/>
  <c r="H205" i="5" s="1"/>
  <c r="I73" i="5"/>
  <c r="K171" i="3"/>
  <c r="L170" i="3"/>
  <c r="G38" i="4"/>
  <c r="G31" i="4"/>
  <c r="G39" i="4" s="1"/>
  <c r="L215" i="4"/>
  <c r="L214" i="4" s="1"/>
  <c r="L123" i="4"/>
  <c r="L122" i="4" s="1"/>
  <c r="L60" i="4"/>
  <c r="L49" i="4" s="1"/>
  <c r="L56" i="4"/>
  <c r="M113" i="4"/>
  <c r="N89" i="4"/>
  <c r="M14" i="4"/>
  <c r="M160" i="4"/>
  <c r="M153" i="4"/>
  <c r="K123" i="3"/>
  <c r="L123" i="3" s="1"/>
  <c r="M123" i="3" s="1"/>
  <c r="N123" i="3" s="1"/>
  <c r="O123" i="3" s="1"/>
  <c r="P123" i="3" s="1"/>
  <c r="K117" i="3"/>
  <c r="I80" i="3"/>
  <c r="I77" i="3"/>
  <c r="J77" i="3" s="1"/>
  <c r="J76" i="3" s="1"/>
  <c r="J67" i="3" s="1"/>
  <c r="K21" i="4"/>
  <c r="K140" i="6"/>
  <c r="L141" i="6"/>
  <c r="H669" i="6"/>
  <c r="K90" i="3"/>
  <c r="K201" i="3" s="1"/>
  <c r="K202" i="3" s="1"/>
  <c r="K87" i="3"/>
  <c r="K85" i="3" s="1"/>
  <c r="K89" i="3"/>
  <c r="L88" i="3"/>
  <c r="K343" i="5"/>
  <c r="L115" i="5"/>
  <c r="I79" i="2"/>
  <c r="I77" i="2" s="1"/>
  <c r="I29" i="3"/>
  <c r="I42" i="3" s="1"/>
  <c r="I137" i="6"/>
  <c r="I146" i="6"/>
  <c r="O391" i="6"/>
  <c r="O368" i="6" s="1"/>
  <c r="P405" i="6"/>
  <c r="P391" i="6" s="1"/>
  <c r="P368" i="6" s="1"/>
  <c r="O80" i="4"/>
  <c r="P81" i="4"/>
  <c r="P80" i="4" s="1"/>
  <c r="J316" i="5"/>
  <c r="J302" i="5" s="1"/>
  <c r="N345" i="6"/>
  <c r="M309" i="6"/>
  <c r="O156" i="4"/>
  <c r="N155" i="4"/>
  <c r="N83" i="4"/>
  <c r="M84" i="4"/>
  <c r="M80" i="4"/>
  <c r="N260" i="4"/>
  <c r="M259" i="4"/>
  <c r="M258" i="4" s="1"/>
  <c r="N180" i="6"/>
  <c r="N173" i="6" s="1"/>
  <c r="N581" i="6" s="1"/>
  <c r="O181" i="6"/>
  <c r="J116" i="3"/>
  <c r="J18" i="3"/>
  <c r="J17" i="3" s="1"/>
  <c r="J17" i="2" s="1"/>
  <c r="O348" i="3"/>
  <c r="O347" i="3" s="1"/>
  <c r="O346" i="3" s="1"/>
  <c r="O119" i="3"/>
  <c r="P134" i="3"/>
  <c r="N289" i="3"/>
  <c r="N288" i="3" s="1"/>
  <c r="O56" i="3"/>
  <c r="K370" i="6"/>
  <c r="O458" i="6"/>
  <c r="N435" i="6"/>
  <c r="N376" i="6" s="1"/>
  <c r="J104" i="4"/>
  <c r="J20" i="4" s="1"/>
  <c r="J52" i="2" s="1"/>
  <c r="K128" i="4"/>
  <c r="K104" i="4" s="1"/>
  <c r="P422" i="5"/>
  <c r="E495" i="6"/>
  <c r="E37" i="6"/>
  <c r="O166" i="7"/>
  <c r="P166" i="7" s="1"/>
  <c r="M368" i="5"/>
  <c r="L366" i="5"/>
  <c r="L308" i="5" s="1"/>
  <c r="H448" i="6"/>
  <c r="K448" i="6" s="1"/>
  <c r="L448" i="6" s="1"/>
  <c r="M448" i="6" s="1"/>
  <c r="N448" i="6" s="1"/>
  <c r="O448" i="6" s="1"/>
  <c r="P448" i="6" s="1"/>
  <c r="H338" i="6"/>
  <c r="H339" i="6" s="1"/>
  <c r="K339" i="6" s="1"/>
  <c r="L339" i="6" s="1"/>
  <c r="M339" i="6" s="1"/>
  <c r="N339" i="6" s="1"/>
  <c r="O339" i="6" s="1"/>
  <c r="P339" i="6" s="1"/>
  <c r="K172" i="6"/>
  <c r="K176" i="6" s="1"/>
  <c r="I172" i="6"/>
  <c r="I176" i="6" s="1"/>
  <c r="O397" i="6"/>
  <c r="N394" i="6"/>
  <c r="N389" i="6" s="1"/>
  <c r="N366" i="6" s="1"/>
  <c r="K79" i="2"/>
  <c r="M117" i="4"/>
  <c r="L105" i="4"/>
  <c r="L21" i="4" s="1"/>
  <c r="L53" i="2" s="1"/>
  <c r="I40" i="3"/>
  <c r="F85" i="7"/>
  <c r="F9" i="7"/>
  <c r="F35" i="2" s="1"/>
  <c r="F8" i="2" s="1"/>
  <c r="K16" i="6"/>
  <c r="L239" i="3"/>
  <c r="L120" i="3"/>
  <c r="L117" i="3" s="1"/>
  <c r="L234" i="3" s="1"/>
  <c r="M121" i="3"/>
  <c r="K17" i="6"/>
  <c r="H40" i="3"/>
  <c r="H28" i="3"/>
  <c r="H33" i="3" s="1"/>
  <c r="H41" i="3"/>
  <c r="H42" i="3"/>
  <c r="I617" i="6"/>
  <c r="M51" i="4"/>
  <c r="H43" i="6"/>
  <c r="H29" i="6"/>
  <c r="H35" i="6" s="1"/>
  <c r="P62" i="4"/>
  <c r="J170" i="5"/>
  <c r="J15" i="5" s="1"/>
  <c r="J39" i="2" s="1"/>
  <c r="J241" i="5"/>
  <c r="M15" i="3"/>
  <c r="M217" i="3"/>
  <c r="M235" i="3"/>
  <c r="L249" i="6"/>
  <c r="M245" i="3"/>
  <c r="L109" i="5"/>
  <c r="L103" i="5" s="1"/>
  <c r="M110" i="5"/>
  <c r="I102" i="4"/>
  <c r="I18" i="4" s="1"/>
  <c r="I50" i="2" s="1"/>
  <c r="I181" i="4"/>
  <c r="K95" i="3"/>
  <c r="K86" i="3" s="1"/>
  <c r="J366" i="5"/>
  <c r="J308" i="5" s="1"/>
  <c r="N76" i="4"/>
  <c r="N64" i="4" s="1"/>
  <c r="N54" i="4"/>
  <c r="O71" i="4"/>
  <c r="H77" i="6"/>
  <c r="N577" i="6"/>
  <c r="N575" i="6" s="1"/>
  <c r="N193" i="6"/>
  <c r="O190" i="6"/>
  <c r="M65" i="4"/>
  <c r="M61" i="4"/>
  <c r="K285" i="5"/>
  <c r="K155" i="5"/>
  <c r="J156" i="5"/>
  <c r="O443" i="6"/>
  <c r="N440" i="6"/>
  <c r="M170" i="4"/>
  <c r="M167" i="4" s="1"/>
  <c r="N172" i="4"/>
  <c r="M568" i="6"/>
  <c r="L168" i="6"/>
  <c r="L93" i="3"/>
  <c r="M93" i="3" s="1"/>
  <c r="N93" i="3" s="1"/>
  <c r="O93" i="3" s="1"/>
  <c r="P93" i="3" s="1"/>
  <c r="J93" i="3"/>
  <c r="J87" i="3" s="1"/>
  <c r="J85" i="3" s="1"/>
  <c r="J84" i="3" s="1"/>
  <c r="J328" i="6"/>
  <c r="J65" i="6"/>
  <c r="J454" i="6"/>
  <c r="J434" i="6" s="1"/>
  <c r="J375" i="6" s="1"/>
  <c r="J92" i="3"/>
  <c r="J206" i="3" s="1"/>
  <c r="J205" i="3" s="1"/>
  <c r="K205" i="3" s="1"/>
  <c r="I164" i="3"/>
  <c r="I159" i="3"/>
  <c r="I26" i="3" s="1"/>
  <c r="I47" i="2" s="1"/>
  <c r="I453" i="5"/>
  <c r="I301" i="5"/>
  <c r="K248" i="5"/>
  <c r="L247" i="5"/>
  <c r="M247" i="5" s="1"/>
  <c r="N247" i="5" s="1"/>
  <c r="O247" i="5" s="1"/>
  <c r="P247" i="5" s="1"/>
  <c r="K244" i="5"/>
  <c r="K238" i="5" s="1"/>
  <c r="N105" i="3"/>
  <c r="N103" i="3" s="1"/>
  <c r="O106" i="3"/>
  <c r="M579" i="6"/>
  <c r="M574" i="6" s="1"/>
  <c r="N580" i="6"/>
  <c r="J233" i="3"/>
  <c r="K234" i="3"/>
  <c r="K233" i="3" s="1"/>
  <c r="K587" i="6"/>
  <c r="K600" i="6"/>
  <c r="J109" i="5"/>
  <c r="J103" i="5" s="1"/>
  <c r="K103" i="5"/>
  <c r="K183" i="4"/>
  <c r="J182" i="4"/>
  <c r="J181" i="4" s="1"/>
  <c r="D77" i="3"/>
  <c r="P77" i="3" s="1"/>
  <c r="M169" i="7"/>
  <c r="M120" i="7" s="1"/>
  <c r="M34" i="7" s="1"/>
  <c r="M107" i="2" s="1"/>
  <c r="K58" i="4"/>
  <c r="J55" i="4"/>
  <c r="K309" i="6"/>
  <c r="I316" i="6"/>
  <c r="I249" i="6"/>
  <c r="N239" i="4"/>
  <c r="M238" i="4"/>
  <c r="M237" i="4" s="1"/>
  <c r="O228" i="5"/>
  <c r="N227" i="5"/>
  <c r="N190" i="5" s="1"/>
  <c r="L149" i="5"/>
  <c r="K151" i="5"/>
  <c r="N273" i="6"/>
  <c r="N117" i="6"/>
  <c r="N119" i="6" s="1"/>
  <c r="N106" i="6" s="1"/>
  <c r="O96" i="6"/>
  <c r="L285" i="5"/>
  <c r="L155" i="5"/>
  <c r="M156" i="5"/>
  <c r="L52" i="4"/>
  <c r="L115" i="4"/>
  <c r="E75" i="7"/>
  <c r="E88" i="7"/>
  <c r="O20" i="7"/>
  <c r="N93" i="2"/>
  <c r="H38" i="4"/>
  <c r="H31" i="4"/>
  <c r="H39" i="4" s="1"/>
  <c r="I172" i="5"/>
  <c r="I241" i="5"/>
  <c r="I242" i="5" s="1"/>
  <c r="K241" i="3"/>
  <c r="L240" i="3"/>
  <c r="M240" i="3" s="1"/>
  <c r="N240" i="3" s="1"/>
  <c r="O240" i="3" s="1"/>
  <c r="P240" i="3" s="1"/>
  <c r="K325" i="6"/>
  <c r="J325" i="6" s="1"/>
  <c r="J306" i="6" s="1"/>
  <c r="I78" i="7"/>
  <c r="I84" i="7" s="1"/>
  <c r="G28" i="5"/>
  <c r="G36" i="5" s="1"/>
  <c r="G35" i="5"/>
  <c r="I75" i="2"/>
  <c r="D554" i="6"/>
  <c r="J492" i="6"/>
  <c r="J493" i="6" s="1"/>
  <c r="F13" i="5"/>
  <c r="F38" i="2"/>
  <c r="F37" i="2" s="1"/>
  <c r="L184" i="4"/>
  <c r="L186" i="4"/>
  <c r="M185" i="4"/>
  <c r="K310" i="6"/>
  <c r="J250" i="6"/>
  <c r="J27" i="6" s="1"/>
  <c r="Q125" i="3"/>
  <c r="Q118" i="3" s="1"/>
  <c r="Q19" i="3" s="1"/>
  <c r="P118" i="3"/>
  <c r="P19" i="3" s="1"/>
  <c r="P165" i="7" l="1"/>
  <c r="N33" i="6"/>
  <c r="N88" i="2" s="1"/>
  <c r="M536" i="6"/>
  <c r="N251" i="3"/>
  <c r="L65" i="5"/>
  <c r="M152" i="4"/>
  <c r="J110" i="4"/>
  <c r="G9" i="7"/>
  <c r="G35" i="2" s="1"/>
  <c r="G8" i="2" s="1"/>
  <c r="K92" i="3"/>
  <c r="K206" i="3" s="1"/>
  <c r="K207" i="3" s="1"/>
  <c r="G79" i="7"/>
  <c r="G72" i="7" s="1"/>
  <c r="G73" i="7" s="1"/>
  <c r="G75" i="7" s="1"/>
  <c r="J77" i="2"/>
  <c r="M602" i="6"/>
  <c r="N602" i="6" s="1"/>
  <c r="O602" i="6" s="1"/>
  <c r="P602" i="6" s="1"/>
  <c r="M587" i="6"/>
  <c r="K67" i="3"/>
  <c r="K76" i="3" s="1"/>
  <c r="K77" i="3" s="1"/>
  <c r="L77" i="3" s="1"/>
  <c r="M77" i="3" s="1"/>
  <c r="N77" i="3" s="1"/>
  <c r="O77" i="3" s="1"/>
  <c r="J65" i="3"/>
  <c r="O440" i="6"/>
  <c r="P443" i="6"/>
  <c r="P440" i="6" s="1"/>
  <c r="N235" i="3"/>
  <c r="O289" i="3"/>
  <c r="O288" i="3" s="1"/>
  <c r="P56" i="3"/>
  <c r="L57" i="4"/>
  <c r="L58" i="4"/>
  <c r="L55" i="4" s="1"/>
  <c r="L50" i="4" s="1"/>
  <c r="L48" i="4" s="1"/>
  <c r="H457" i="5"/>
  <c r="H455" i="5"/>
  <c r="G653" i="6"/>
  <c r="G656" i="6" s="1"/>
  <c r="I167" i="5"/>
  <c r="K65" i="5"/>
  <c r="O105" i="3"/>
  <c r="O103" i="3" s="1"/>
  <c r="P106" i="3"/>
  <c r="P105" i="3" s="1"/>
  <c r="N568" i="6"/>
  <c r="K282" i="5"/>
  <c r="K286" i="5"/>
  <c r="H80" i="6"/>
  <c r="H88" i="6"/>
  <c r="H89" i="6" s="1"/>
  <c r="H92" i="6"/>
  <c r="L95" i="3"/>
  <c r="L86" i="3" s="1"/>
  <c r="N245" i="3"/>
  <c r="F123" i="2"/>
  <c r="F7" i="1"/>
  <c r="F106" i="7"/>
  <c r="F142" i="2"/>
  <c r="F127" i="2"/>
  <c r="F109" i="7"/>
  <c r="P458" i="6"/>
  <c r="P435" i="6" s="1"/>
  <c r="P376" i="6" s="1"/>
  <c r="O435" i="6"/>
  <c r="O376" i="6" s="1"/>
  <c r="O252" i="3"/>
  <c r="O260" i="3"/>
  <c r="O255" i="3"/>
  <c r="O254" i="3" s="1"/>
  <c r="O20" i="3"/>
  <c r="M145" i="4"/>
  <c r="M227" i="4"/>
  <c r="M226" i="4" s="1"/>
  <c r="M225" i="4" s="1"/>
  <c r="M137" i="4"/>
  <c r="M140" i="4"/>
  <c r="M139" i="4" s="1"/>
  <c r="M12" i="4"/>
  <c r="M21" i="2" s="1"/>
  <c r="P227" i="4"/>
  <c r="P226" i="4" s="1"/>
  <c r="P225" i="4" s="1"/>
  <c r="P145" i="4"/>
  <c r="P140" i="4"/>
  <c r="P139" i="4" s="1"/>
  <c r="Q80" i="4"/>
  <c r="Q12" i="4" s="1"/>
  <c r="Q21" i="2" s="1"/>
  <c r="P12" i="4"/>
  <c r="P21" i="2" s="1"/>
  <c r="P137" i="4"/>
  <c r="L343" i="5"/>
  <c r="M115" i="5"/>
  <c r="H672" i="6"/>
  <c r="H673" i="6" s="1"/>
  <c r="H670" i="6"/>
  <c r="K119" i="4"/>
  <c r="P292" i="6"/>
  <c r="P285" i="6" s="1"/>
  <c r="P243" i="6" s="1"/>
  <c r="O285" i="6"/>
  <c r="O243" i="6" s="1"/>
  <c r="N79" i="3"/>
  <c r="M74" i="3"/>
  <c r="L78" i="3"/>
  <c r="P16" i="7"/>
  <c r="O91" i="2"/>
  <c r="G43" i="6"/>
  <c r="G29" i="6"/>
  <c r="G35" i="6" s="1"/>
  <c r="L209" i="6"/>
  <c r="E10" i="7"/>
  <c r="E69" i="2" s="1"/>
  <c r="E90" i="7"/>
  <c r="E11" i="7" s="1"/>
  <c r="K15" i="6"/>
  <c r="K317" i="6" s="1"/>
  <c r="O345" i="6"/>
  <c r="N309" i="6"/>
  <c r="R21" i="4"/>
  <c r="K53" i="2"/>
  <c r="K73" i="5"/>
  <c r="I77" i="5"/>
  <c r="J73" i="5" s="1"/>
  <c r="I86" i="5"/>
  <c r="O168" i="4"/>
  <c r="P169" i="4"/>
  <c r="P168" i="4" s="1"/>
  <c r="M81" i="5"/>
  <c r="L80" i="5"/>
  <c r="L74" i="5" s="1"/>
  <c r="P520" i="6"/>
  <c r="P534" i="6" s="1"/>
  <c r="O534" i="6"/>
  <c r="O172" i="4"/>
  <c r="N170" i="4"/>
  <c r="M215" i="4"/>
  <c r="M214" i="4" s="1"/>
  <c r="M123" i="4"/>
  <c r="M122" i="4" s="1"/>
  <c r="M60" i="4"/>
  <c r="M49" i="4" s="1"/>
  <c r="P397" i="6"/>
  <c r="P394" i="6" s="1"/>
  <c r="P389" i="6" s="1"/>
  <c r="P366" i="6" s="1"/>
  <c r="O394" i="6"/>
  <c r="O389" i="6" s="1"/>
  <c r="O366" i="6" s="1"/>
  <c r="O227" i="4"/>
  <c r="O226" i="4" s="1"/>
  <c r="O225" i="4" s="1"/>
  <c r="O137" i="4"/>
  <c r="O145" i="4"/>
  <c r="O140" i="4"/>
  <c r="O139" i="4" s="1"/>
  <c r="O12" i="4"/>
  <c r="O21" i="2" s="1"/>
  <c r="K114" i="5"/>
  <c r="J102" i="4"/>
  <c r="J18" i="4" s="1"/>
  <c r="M54" i="3"/>
  <c r="M11" i="3" s="1"/>
  <c r="N60" i="3"/>
  <c r="K9" i="3"/>
  <c r="I103" i="4"/>
  <c r="I19" i="4" s="1"/>
  <c r="I51" i="2" s="1"/>
  <c r="I49" i="2" s="1"/>
  <c r="I111" i="4"/>
  <c r="K112" i="4"/>
  <c r="K103" i="4" s="1"/>
  <c r="J246" i="6"/>
  <c r="J23" i="6" s="1"/>
  <c r="K305" i="6"/>
  <c r="P224" i="3"/>
  <c r="P221" i="3" s="1"/>
  <c r="O221" i="3"/>
  <c r="L216" i="6"/>
  <c r="M213" i="6" s="1"/>
  <c r="K88" i="2"/>
  <c r="O164" i="7"/>
  <c r="K447" i="6"/>
  <c r="K446" i="6" s="1"/>
  <c r="K338" i="6"/>
  <c r="K337" i="6" s="1"/>
  <c r="K336" i="6" s="1"/>
  <c r="L172" i="6"/>
  <c r="L176" i="6" s="1"/>
  <c r="P156" i="4"/>
  <c r="P155" i="4" s="1"/>
  <c r="O155" i="4"/>
  <c r="F79" i="7"/>
  <c r="O273" i="6"/>
  <c r="O117" i="6"/>
  <c r="O119" i="6" s="1"/>
  <c r="O106" i="6" s="1"/>
  <c r="P96" i="6"/>
  <c r="O239" i="4"/>
  <c r="N238" i="4"/>
  <c r="N237" i="4" s="1"/>
  <c r="N579" i="6"/>
  <c r="N574" i="6" s="1"/>
  <c r="O580" i="6"/>
  <c r="L569" i="6"/>
  <c r="L567" i="6" s="1"/>
  <c r="L571" i="6" s="1"/>
  <c r="L348" i="6" s="1"/>
  <c r="L454" i="6"/>
  <c r="L434" i="6" s="1"/>
  <c r="L375" i="6" s="1"/>
  <c r="M168" i="6"/>
  <c r="L64" i="6"/>
  <c r="I156" i="5"/>
  <c r="J285" i="5"/>
  <c r="J155" i="5"/>
  <c r="J159" i="5" s="1"/>
  <c r="K159" i="5" s="1"/>
  <c r="N287" i="3"/>
  <c r="H32" i="5"/>
  <c r="H19" i="5"/>
  <c r="H25" i="5" s="1"/>
  <c r="H34" i="5"/>
  <c r="Q21" i="3"/>
  <c r="Q18" i="2" s="1"/>
  <c r="K250" i="6"/>
  <c r="L554" i="6"/>
  <c r="M554" i="6" s="1"/>
  <c r="N554" i="6" s="1"/>
  <c r="J554" i="6"/>
  <c r="J560" i="6" s="1"/>
  <c r="J501" i="6" s="1"/>
  <c r="L116" i="4"/>
  <c r="L112" i="4"/>
  <c r="K157" i="5"/>
  <c r="K284" i="5" s="1"/>
  <c r="K142" i="5"/>
  <c r="K249" i="6"/>
  <c r="N217" i="3"/>
  <c r="N15" i="3"/>
  <c r="M115" i="4"/>
  <c r="M52" i="4"/>
  <c r="O524" i="6"/>
  <c r="N538" i="6"/>
  <c r="N536" i="6" s="1"/>
  <c r="N185" i="4"/>
  <c r="M184" i="4"/>
  <c r="M186" i="4"/>
  <c r="I85" i="7"/>
  <c r="I9" i="7"/>
  <c r="M149" i="5"/>
  <c r="L151" i="5"/>
  <c r="K55" i="4"/>
  <c r="J50" i="4"/>
  <c r="K599" i="6"/>
  <c r="K607" i="6" s="1"/>
  <c r="J600" i="6"/>
  <c r="K170" i="5"/>
  <c r="K15" i="5" s="1"/>
  <c r="K241" i="5"/>
  <c r="J17" i="6"/>
  <c r="J63" i="6"/>
  <c r="O76" i="4"/>
  <c r="O64" i="4" s="1"/>
  <c r="O54" i="4"/>
  <c r="P71" i="4"/>
  <c r="K634" i="6"/>
  <c r="N84" i="4"/>
  <c r="N80" i="4"/>
  <c r="K346" i="5"/>
  <c r="L346" i="5" s="1"/>
  <c r="K345" i="5"/>
  <c r="L345" i="5" s="1"/>
  <c r="K347" i="5"/>
  <c r="L347" i="5" s="1"/>
  <c r="K344" i="5"/>
  <c r="L140" i="6"/>
  <c r="L135" i="6" s="1"/>
  <c r="M141" i="6"/>
  <c r="K116" i="3"/>
  <c r="K18" i="3"/>
  <c r="N160" i="4"/>
  <c r="N153" i="4"/>
  <c r="O89" i="4"/>
  <c r="N14" i="4"/>
  <c r="O337" i="3"/>
  <c r="N336" i="3"/>
  <c r="N335" i="3" s="1"/>
  <c r="O219" i="6"/>
  <c r="O214" i="6" s="1"/>
  <c r="O537" i="6" s="1"/>
  <c r="P219" i="6"/>
  <c r="P214" i="6" s="1"/>
  <c r="P537" i="6" s="1"/>
  <c r="O354" i="6"/>
  <c r="O254" i="6" s="1"/>
  <c r="P359" i="6"/>
  <c r="P354" i="6" s="1"/>
  <c r="P254" i="6" s="1"/>
  <c r="P164" i="7"/>
  <c r="I618" i="6"/>
  <c r="I619" i="6" s="1"/>
  <c r="J332" i="6"/>
  <c r="J307" i="6"/>
  <c r="M328" i="6"/>
  <c r="M65" i="6"/>
  <c r="M17" i="6" s="1"/>
  <c r="I32" i="5"/>
  <c r="L325" i="6"/>
  <c r="L306" i="6" s="1"/>
  <c r="K77" i="2"/>
  <c r="L52" i="3"/>
  <c r="L10" i="3"/>
  <c r="L9" i="3" s="1"/>
  <c r="O577" i="6"/>
  <c r="O575" i="6" s="1"/>
  <c r="O193" i="6"/>
  <c r="P190" i="6"/>
  <c r="M239" i="3"/>
  <c r="M237" i="3" s="1"/>
  <c r="N121" i="3"/>
  <c r="M120" i="3"/>
  <c r="M117" i="3" s="1"/>
  <c r="I338" i="6"/>
  <c r="J172" i="6"/>
  <c r="J176" i="6" s="1"/>
  <c r="N368" i="5"/>
  <c r="M366" i="5"/>
  <c r="M308" i="5" s="1"/>
  <c r="K20" i="4"/>
  <c r="L90" i="3"/>
  <c r="L201" i="3" s="1"/>
  <c r="L87" i="3"/>
  <c r="L85" i="3" s="1"/>
  <c r="M88" i="3"/>
  <c r="J140" i="6"/>
  <c r="J135" i="6" s="1"/>
  <c r="K135" i="6"/>
  <c r="N152" i="6"/>
  <c r="M56" i="4"/>
  <c r="N113" i="4"/>
  <c r="M170" i="3"/>
  <c r="L167" i="3"/>
  <c r="K24" i="4"/>
  <c r="R25" i="4"/>
  <c r="K82" i="2"/>
  <c r="L136" i="4"/>
  <c r="G123" i="2"/>
  <c r="G7" i="1"/>
  <c r="G127" i="2"/>
  <c r="G109" i="7"/>
  <c r="G142" i="2"/>
  <c r="G106" i="7"/>
  <c r="N204" i="6"/>
  <c r="O200" i="6"/>
  <c r="P425" i="6"/>
  <c r="P413" i="6" s="1"/>
  <c r="P372" i="6" s="1"/>
  <c r="P33" i="6" s="1"/>
  <c r="O413" i="6"/>
  <c r="O372" i="6" s="1"/>
  <c r="O33" i="6" s="1"/>
  <c r="O88" i="2" s="1"/>
  <c r="N58" i="3"/>
  <c r="M55" i="3"/>
  <c r="M53" i="3" s="1"/>
  <c r="N65" i="4"/>
  <c r="N61" i="4"/>
  <c r="O180" i="6"/>
  <c r="O173" i="6" s="1"/>
  <c r="O581" i="6" s="1"/>
  <c r="P181" i="6"/>
  <c r="P180" i="6" s="1"/>
  <c r="P173" i="6" s="1"/>
  <c r="P581" i="6" s="1"/>
  <c r="K21" i="5"/>
  <c r="I308" i="5"/>
  <c r="J164" i="3"/>
  <c r="K165" i="3"/>
  <c r="N169" i="7"/>
  <c r="N120" i="7" s="1"/>
  <c r="N34" i="7" s="1"/>
  <c r="N107" i="2" s="1"/>
  <c r="O163" i="7"/>
  <c r="O169" i="7" s="1"/>
  <c r="O120" i="7" s="1"/>
  <c r="O34" i="7" s="1"/>
  <c r="O107" i="2" s="1"/>
  <c r="K217" i="3"/>
  <c r="F457" i="5"/>
  <c r="F455" i="5"/>
  <c r="O294" i="3"/>
  <c r="N281" i="3"/>
  <c r="N31" i="3" s="1"/>
  <c r="N79" i="2" s="1"/>
  <c r="J146" i="6"/>
  <c r="K146" i="6" s="1"/>
  <c r="D146" i="6"/>
  <c r="P20" i="7"/>
  <c r="O93" i="2"/>
  <c r="L286" i="5"/>
  <c r="L162" i="5"/>
  <c r="N110" i="5"/>
  <c r="M109" i="5"/>
  <c r="M103" i="5" s="1"/>
  <c r="M65" i="5" s="1"/>
  <c r="L237" i="3"/>
  <c r="N117" i="4"/>
  <c r="M105" i="4"/>
  <c r="M21" i="4" s="1"/>
  <c r="M53" i="2" s="1"/>
  <c r="M249" i="6"/>
  <c r="I418" i="6"/>
  <c r="I419" i="6" s="1"/>
  <c r="I159" i="6"/>
  <c r="J134" i="6"/>
  <c r="L11" i="4"/>
  <c r="L128" i="4"/>
  <c r="L120" i="4"/>
  <c r="N167" i="4"/>
  <c r="H78" i="7"/>
  <c r="H84" i="7" s="1"/>
  <c r="M318" i="5"/>
  <c r="L316" i="5"/>
  <c r="L302" i="5" s="1"/>
  <c r="J409" i="5"/>
  <c r="J408" i="5" s="1"/>
  <c r="J133" i="5"/>
  <c r="K74" i="5"/>
  <c r="K172" i="3"/>
  <c r="H79" i="7"/>
  <c r="G36" i="3"/>
  <c r="G44" i="3" s="1"/>
  <c r="G43" i="3"/>
  <c r="O143" i="6"/>
  <c r="O317" i="5"/>
  <c r="P83" i="5"/>
  <c r="O208" i="4"/>
  <c r="N197" i="4"/>
  <c r="N26" i="4" s="1"/>
  <c r="N83" i="2" s="1"/>
  <c r="N202" i="4"/>
  <c r="J198" i="3"/>
  <c r="J111" i="3"/>
  <c r="J13" i="3"/>
  <c r="J15" i="2" s="1"/>
  <c r="K84" i="3"/>
  <c r="L116" i="3"/>
  <c r="L18" i="3"/>
  <c r="L17" i="3" s="1"/>
  <c r="L17" i="2" s="1"/>
  <c r="I45" i="2"/>
  <c r="I43" i="2" s="1"/>
  <c r="I22" i="3"/>
  <c r="M285" i="5"/>
  <c r="M155" i="5"/>
  <c r="N156" i="5"/>
  <c r="J247" i="6"/>
  <c r="J24" i="6" s="1"/>
  <c r="K306" i="6"/>
  <c r="P228" i="5"/>
  <c r="P227" i="5" s="1"/>
  <c r="P190" i="5" s="1"/>
  <c r="O227" i="5"/>
  <c r="O190" i="5" s="1"/>
  <c r="H38" i="6"/>
  <c r="H46" i="6" s="1"/>
  <c r="H45" i="6"/>
  <c r="H33" i="5"/>
  <c r="K27" i="6"/>
  <c r="J62" i="2"/>
  <c r="F33" i="5"/>
  <c r="F19" i="5"/>
  <c r="F25" i="5" s="1"/>
  <c r="K26" i="6"/>
  <c r="I61" i="2"/>
  <c r="L183" i="4"/>
  <c r="M183" i="4" s="1"/>
  <c r="N183" i="4" s="1"/>
  <c r="O183" i="4" s="1"/>
  <c r="P183" i="4" s="1"/>
  <c r="K182" i="4"/>
  <c r="K181" i="4" s="1"/>
  <c r="N51" i="4"/>
  <c r="K174" i="3"/>
  <c r="K159" i="3" s="1"/>
  <c r="K160" i="5"/>
  <c r="K143" i="5" s="1"/>
  <c r="L244" i="3"/>
  <c r="H36" i="3"/>
  <c r="H44" i="3" s="1"/>
  <c r="H43" i="3"/>
  <c r="P348" i="3"/>
  <c r="P347" i="3" s="1"/>
  <c r="P346" i="3" s="1"/>
  <c r="P119" i="3"/>
  <c r="Q134" i="3"/>
  <c r="Q119" i="3" s="1"/>
  <c r="Q20" i="3" s="1"/>
  <c r="O260" i="4"/>
  <c r="N259" i="4"/>
  <c r="N258" i="4" s="1"/>
  <c r="J21" i="5"/>
  <c r="L213" i="4"/>
  <c r="L196" i="4"/>
  <c r="L25" i="4" s="1"/>
  <c r="J29" i="3"/>
  <c r="I530" i="6"/>
  <c r="I516" i="6"/>
  <c r="I492" i="6" s="1"/>
  <c r="I494" i="6" s="1"/>
  <c r="D448" i="6"/>
  <c r="I35" i="2" l="1"/>
  <c r="I8" i="2" s="1"/>
  <c r="K316" i="6"/>
  <c r="K63" i="6"/>
  <c r="J15" i="6"/>
  <c r="J59" i="2"/>
  <c r="N152" i="4"/>
  <c r="M136" i="4"/>
  <c r="O152" i="6"/>
  <c r="O136" i="4"/>
  <c r="G86" i="7"/>
  <c r="G87" i="7" s="1"/>
  <c r="L92" i="3"/>
  <c r="L206" i="3" s="1"/>
  <c r="L76" i="3"/>
  <c r="L67" i="3" s="1"/>
  <c r="Q33" i="6"/>
  <c r="Q88" i="2" s="1"/>
  <c r="P88" i="2"/>
  <c r="N587" i="6"/>
  <c r="N603" i="6"/>
  <c r="O603" i="6" s="1"/>
  <c r="P603" i="6" s="1"/>
  <c r="J73" i="2"/>
  <c r="I41" i="3"/>
  <c r="I28" i="3"/>
  <c r="I33" i="3" s="1"/>
  <c r="L238" i="3"/>
  <c r="L236" i="3"/>
  <c r="L233" i="3" s="1"/>
  <c r="N170" i="3"/>
  <c r="M167" i="3"/>
  <c r="P252" i="3"/>
  <c r="P260" i="3"/>
  <c r="P255" i="3"/>
  <c r="P254" i="3" s="1"/>
  <c r="P20" i="3"/>
  <c r="K62" i="2"/>
  <c r="P208" i="4"/>
  <c r="O197" i="4"/>
  <c r="O26" i="4" s="1"/>
  <c r="O83" i="2" s="1"/>
  <c r="O202" i="4"/>
  <c r="O110" i="5"/>
  <c r="N109" i="5"/>
  <c r="N103" i="5" s="1"/>
  <c r="N65" i="5" s="1"/>
  <c r="K145" i="6"/>
  <c r="O204" i="6"/>
  <c r="P200" i="6"/>
  <c r="P204" i="6" s="1"/>
  <c r="L202" i="3"/>
  <c r="L200" i="3"/>
  <c r="L600" i="6"/>
  <c r="J599" i="6"/>
  <c r="J607" i="6" s="1"/>
  <c r="J671" i="6"/>
  <c r="J503" i="6"/>
  <c r="J381" i="6" s="1"/>
  <c r="J502" i="6"/>
  <c r="J255" i="6" s="1"/>
  <c r="K501" i="6"/>
  <c r="P273" i="6"/>
  <c r="P117" i="6"/>
  <c r="P119" i="6" s="1"/>
  <c r="P106" i="6" s="1"/>
  <c r="M11" i="4"/>
  <c r="M128" i="4"/>
  <c r="M120" i="4"/>
  <c r="L409" i="5"/>
  <c r="L408" i="5" s="1"/>
  <c r="L400" i="5" s="1"/>
  <c r="L133" i="5"/>
  <c r="L136" i="5" s="1"/>
  <c r="L61" i="5"/>
  <c r="N74" i="3"/>
  <c r="M78" i="3"/>
  <c r="M76" i="3" s="1"/>
  <c r="M67" i="3" s="1"/>
  <c r="O235" i="3"/>
  <c r="K61" i="2"/>
  <c r="L119" i="4"/>
  <c r="K313" i="6"/>
  <c r="K247" i="6"/>
  <c r="L24" i="4"/>
  <c r="L82" i="2"/>
  <c r="L81" i="2" s="1"/>
  <c r="M286" i="5"/>
  <c r="M162" i="5"/>
  <c r="P143" i="6"/>
  <c r="P317" i="5"/>
  <c r="H85" i="7"/>
  <c r="D85" i="7" s="1"/>
  <c r="H9" i="7"/>
  <c r="H35" i="2" s="1"/>
  <c r="H8" i="2" s="1"/>
  <c r="I123" i="2" s="1"/>
  <c r="N328" i="6"/>
  <c r="N65" i="6"/>
  <c r="N17" i="6" s="1"/>
  <c r="L152" i="6"/>
  <c r="M116" i="3"/>
  <c r="M18" i="3"/>
  <c r="M17" i="3" s="1"/>
  <c r="M17" i="2" s="1"/>
  <c r="L247" i="6"/>
  <c r="L24" i="6" s="1"/>
  <c r="L59" i="2" s="1"/>
  <c r="K17" i="3"/>
  <c r="P76" i="4"/>
  <c r="P64" i="4" s="1"/>
  <c r="P54" i="4"/>
  <c r="M116" i="4"/>
  <c r="M112" i="4"/>
  <c r="K144" i="5"/>
  <c r="L331" i="6"/>
  <c r="L307" i="6" s="1"/>
  <c r="L321" i="6"/>
  <c r="L305" i="6" s="1"/>
  <c r="L447" i="6"/>
  <c r="L446" i="6" s="1"/>
  <c r="L433" i="6" s="1"/>
  <c r="L338" i="6"/>
  <c r="L337" i="6" s="1"/>
  <c r="L336" i="6" s="1"/>
  <c r="L308" i="6" s="1"/>
  <c r="M172" i="6"/>
  <c r="M176" i="6" s="1"/>
  <c r="K13" i="2"/>
  <c r="M80" i="5"/>
  <c r="M74" i="5" s="1"/>
  <c r="N81" i="5"/>
  <c r="O79" i="3"/>
  <c r="M343" i="5"/>
  <c r="M346" i="5" s="1"/>
  <c r="N115" i="5"/>
  <c r="M244" i="3"/>
  <c r="L10" i="4"/>
  <c r="L9" i="4" s="1"/>
  <c r="L47" i="4"/>
  <c r="F28" i="5"/>
  <c r="F36" i="5" s="1"/>
  <c r="F35" i="5"/>
  <c r="J400" i="5"/>
  <c r="K408" i="5"/>
  <c r="K400" i="5" s="1"/>
  <c r="O368" i="5"/>
  <c r="N366" i="5"/>
  <c r="N308" i="5" s="1"/>
  <c r="N115" i="4"/>
  <c r="N52" i="4"/>
  <c r="N285" i="5"/>
  <c r="N155" i="5"/>
  <c r="O156" i="5"/>
  <c r="K13" i="3"/>
  <c r="H72" i="7"/>
  <c r="H73" i="7" s="1"/>
  <c r="H75" i="7" s="1"/>
  <c r="H86" i="7"/>
  <c r="P163" i="7"/>
  <c r="P169" i="7" s="1"/>
  <c r="P120" i="7" s="1"/>
  <c r="P34" i="7" s="1"/>
  <c r="P107" i="2" s="1"/>
  <c r="Q107" i="2" s="1"/>
  <c r="K111" i="3"/>
  <c r="K104" i="3" s="1"/>
  <c r="J104" i="3"/>
  <c r="M10" i="3"/>
  <c r="M9" i="3" s="1"/>
  <c r="M52" i="3"/>
  <c r="R24" i="4"/>
  <c r="I147" i="6"/>
  <c r="N239" i="3"/>
  <c r="N237" i="3" s="1"/>
  <c r="O121" i="3"/>
  <c r="N120" i="3"/>
  <c r="N117" i="3" s="1"/>
  <c r="P337" i="3"/>
  <c r="P336" i="3" s="1"/>
  <c r="P335" i="3" s="1"/>
  <c r="O336" i="3"/>
  <c r="O335" i="3" s="1"/>
  <c r="N227" i="4"/>
  <c r="N226" i="4" s="1"/>
  <c r="N225" i="4" s="1"/>
  <c r="N137" i="4"/>
  <c r="N145" i="4"/>
  <c r="N140" i="4"/>
  <c r="N139" i="4" s="1"/>
  <c r="N12" i="4"/>
  <c r="N21" i="2" s="1"/>
  <c r="O51" i="4"/>
  <c r="J48" i="4"/>
  <c r="K50" i="4"/>
  <c r="K48" i="4" s="1"/>
  <c r="J336" i="6"/>
  <c r="J308" i="6" s="1"/>
  <c r="K246" i="6"/>
  <c r="K312" i="6"/>
  <c r="F475" i="6" a="1"/>
  <c r="M213" i="4"/>
  <c r="M196" i="4"/>
  <c r="M25" i="4" s="1"/>
  <c r="N249" i="6"/>
  <c r="Q225" i="4"/>
  <c r="O245" i="3"/>
  <c r="O568" i="6"/>
  <c r="I452" i="5"/>
  <c r="I454" i="5" s="1"/>
  <c r="I168" i="5"/>
  <c r="K164" i="3"/>
  <c r="O58" i="3"/>
  <c r="N55" i="3"/>
  <c r="N53" i="3" s="1"/>
  <c r="R20" i="4"/>
  <c r="K52" i="2"/>
  <c r="M238" i="3"/>
  <c r="M236" i="3"/>
  <c r="L13" i="2"/>
  <c r="N141" i="6"/>
  <c r="M140" i="6"/>
  <c r="O65" i="4"/>
  <c r="O61" i="4"/>
  <c r="O185" i="4"/>
  <c r="N186" i="4"/>
  <c r="N184" i="4"/>
  <c r="L310" i="6"/>
  <c r="J446" i="6"/>
  <c r="J433" i="6" s="1"/>
  <c r="K433" i="6"/>
  <c r="J58" i="2"/>
  <c r="N54" i="3"/>
  <c r="N11" i="3" s="1"/>
  <c r="O60" i="3"/>
  <c r="O309" i="6"/>
  <c r="P345" i="6"/>
  <c r="P309" i="6" s="1"/>
  <c r="E98" i="2"/>
  <c r="E71" i="2" s="1"/>
  <c r="E10" i="1" s="1"/>
  <c r="E36" i="2"/>
  <c r="M95" i="3"/>
  <c r="M86" i="3" s="1"/>
  <c r="J12" i="3"/>
  <c r="K65" i="3"/>
  <c r="J180" i="3"/>
  <c r="J197" i="3"/>
  <c r="K198" i="3"/>
  <c r="K197" i="3" s="1"/>
  <c r="O117" i="4"/>
  <c r="N105" i="4"/>
  <c r="N21" i="4" s="1"/>
  <c r="N53" i="2" s="1"/>
  <c r="P294" i="3"/>
  <c r="P281" i="3" s="1"/>
  <c r="O281" i="3"/>
  <c r="O31" i="3" s="1"/>
  <c r="O79" i="2" s="1"/>
  <c r="I622" i="6"/>
  <c r="I620" i="6"/>
  <c r="L174" i="3"/>
  <c r="L159" i="3" s="1"/>
  <c r="L26" i="3" s="1"/>
  <c r="L47" i="2" s="1"/>
  <c r="L172" i="3"/>
  <c r="L165" i="3"/>
  <c r="M325" i="6"/>
  <c r="M306" i="6" s="1"/>
  <c r="O160" i="4"/>
  <c r="O153" i="4"/>
  <c r="P89" i="4"/>
  <c r="O14" i="4"/>
  <c r="L157" i="5"/>
  <c r="L284" i="5" s="1"/>
  <c r="L283" i="5" s="1"/>
  <c r="L278" i="5" s="1"/>
  <c r="L142" i="5"/>
  <c r="L103" i="4"/>
  <c r="L19" i="4" s="1"/>
  <c r="L51" i="2" s="1"/>
  <c r="L111" i="4"/>
  <c r="L110" i="4" s="1"/>
  <c r="I285" i="5"/>
  <c r="I155" i="5"/>
  <c r="I159" i="5" s="1"/>
  <c r="C159" i="5" s="1"/>
  <c r="L159" i="5" s="1"/>
  <c r="I157" i="5"/>
  <c r="P580" i="6"/>
  <c r="P579" i="6" s="1"/>
  <c r="O579" i="6"/>
  <c r="O574" i="6" s="1"/>
  <c r="P172" i="4"/>
  <c r="P170" i="4" s="1"/>
  <c r="P167" i="4" s="1"/>
  <c r="O170" i="4"/>
  <c r="O167" i="4" s="1"/>
  <c r="J86" i="5"/>
  <c r="K86" i="5" s="1"/>
  <c r="D86" i="5"/>
  <c r="L533" i="6"/>
  <c r="L66" i="6"/>
  <c r="L18" i="6" s="1"/>
  <c r="Q16" i="7"/>
  <c r="P91" i="2"/>
  <c r="P136" i="4"/>
  <c r="O251" i="3"/>
  <c r="Q105" i="3"/>
  <c r="Q103" i="3" s="1"/>
  <c r="P103" i="3"/>
  <c r="P289" i="3"/>
  <c r="P288" i="3" s="1"/>
  <c r="K409" i="5"/>
  <c r="K133" i="5"/>
  <c r="K136" i="5" s="1"/>
  <c r="K61" i="5"/>
  <c r="I495" i="6"/>
  <c r="I37" i="6"/>
  <c r="J650" i="6"/>
  <c r="J26" i="2"/>
  <c r="J316" i="6"/>
  <c r="J317" i="6"/>
  <c r="N149" i="5"/>
  <c r="M151" i="5"/>
  <c r="O538" i="6"/>
  <c r="O536" i="6" s="1"/>
  <c r="P524" i="6"/>
  <c r="P538" i="6" s="1"/>
  <c r="P536" i="6" s="1"/>
  <c r="H28" i="5"/>
  <c r="H36" i="5" s="1"/>
  <c r="H35" i="5"/>
  <c r="L63" i="6"/>
  <c r="L16" i="6"/>
  <c r="L15" i="6" s="1"/>
  <c r="F72" i="7"/>
  <c r="F73" i="7" s="1"/>
  <c r="F75" i="7" s="1"/>
  <c r="F86" i="7"/>
  <c r="K19" i="4"/>
  <c r="J17" i="4"/>
  <c r="J50" i="2"/>
  <c r="J49" i="2" s="1"/>
  <c r="K102" i="4"/>
  <c r="K18" i="4" s="1"/>
  <c r="O217" i="3"/>
  <c r="O15" i="3"/>
  <c r="M87" i="3"/>
  <c r="M85" i="3" s="1"/>
  <c r="N88" i="3"/>
  <c r="M90" i="3"/>
  <c r="M201" i="3" s="1"/>
  <c r="J314" i="6"/>
  <c r="K307" i="6"/>
  <c r="J245" i="6"/>
  <c r="P260" i="4"/>
  <c r="P259" i="4" s="1"/>
  <c r="P258" i="4" s="1"/>
  <c r="O259" i="4"/>
  <c r="O258" i="4" s="1"/>
  <c r="K26" i="3"/>
  <c r="J313" i="6"/>
  <c r="L21" i="5"/>
  <c r="Q20" i="7"/>
  <c r="Q93" i="2" s="1"/>
  <c r="P93" i="2"/>
  <c r="I306" i="5"/>
  <c r="I21" i="5"/>
  <c r="K73" i="2"/>
  <c r="N215" i="4"/>
  <c r="N214" i="4" s="1"/>
  <c r="N60" i="4"/>
  <c r="N49" i="4" s="1"/>
  <c r="N123" i="4"/>
  <c r="N122" i="4" s="1"/>
  <c r="O113" i="4"/>
  <c r="N56" i="4"/>
  <c r="L313" i="3"/>
  <c r="L312" i="3" s="1"/>
  <c r="L311" i="3" s="1"/>
  <c r="L325" i="3"/>
  <c r="L324" i="3" s="1"/>
  <c r="L323" i="3" s="1"/>
  <c r="L84" i="3"/>
  <c r="P577" i="6"/>
  <c r="P575" i="6" s="1"/>
  <c r="P193" i="6"/>
  <c r="M347" i="5"/>
  <c r="O554" i="6"/>
  <c r="M569" i="6"/>
  <c r="M567" i="6" s="1"/>
  <c r="M571" i="6" s="1"/>
  <c r="M348" i="6" s="1"/>
  <c r="M454" i="6"/>
  <c r="M434" i="6" s="1"/>
  <c r="M375" i="6" s="1"/>
  <c r="N168" i="6"/>
  <c r="M64" i="6"/>
  <c r="I110" i="4"/>
  <c r="K111" i="4"/>
  <c r="K110" i="4" s="1"/>
  <c r="J114" i="5"/>
  <c r="J104" i="5" s="1"/>
  <c r="J106" i="5" s="1"/>
  <c r="K104" i="5"/>
  <c r="G38" i="6"/>
  <c r="G46" i="6" s="1"/>
  <c r="G45" i="6"/>
  <c r="O287" i="3"/>
  <c r="N318" i="5"/>
  <c r="M316" i="5"/>
  <c r="M302" i="5" s="1"/>
  <c r="K81" i="2"/>
  <c r="M57" i="4"/>
  <c r="M58" i="4"/>
  <c r="M55" i="4" s="1"/>
  <c r="M50" i="4" s="1"/>
  <c r="M48" i="4" s="1"/>
  <c r="L205" i="3"/>
  <c r="L207" i="3"/>
  <c r="J338" i="6"/>
  <c r="K39" i="2"/>
  <c r="I241" i="7"/>
  <c r="I242" i="7" s="1"/>
  <c r="I243" i="7" s="1"/>
  <c r="I193" i="7"/>
  <c r="I194" i="7" s="1"/>
  <c r="I195" i="7" s="1"/>
  <c r="I235" i="7"/>
  <c r="I236" i="7" s="1"/>
  <c r="I237" i="7" s="1"/>
  <c r="I187" i="7"/>
  <c r="I188" i="7" s="1"/>
  <c r="I189" i="7" s="1"/>
  <c r="I142" i="2"/>
  <c r="I7" i="1"/>
  <c r="H109" i="7"/>
  <c r="I25" i="7"/>
  <c r="I127" i="2"/>
  <c r="I106" i="7"/>
  <c r="J106" i="7" s="1"/>
  <c r="O238" i="4"/>
  <c r="O237" i="4" s="1"/>
  <c r="P239" i="4"/>
  <c r="P238" i="4" s="1"/>
  <c r="P237" i="4" s="1"/>
  <c r="M223" i="6"/>
  <c r="M215" i="6" s="1"/>
  <c r="M209" i="6" s="1"/>
  <c r="K650" i="6"/>
  <c r="K26" i="2"/>
  <c r="K77" i="6"/>
  <c r="I77" i="6"/>
  <c r="M234" i="3"/>
  <c r="P574" i="6" l="1"/>
  <c r="J312" i="6"/>
  <c r="I446" i="6"/>
  <c r="I433" i="6" s="1"/>
  <c r="O153" i="6"/>
  <c r="O152" i="4"/>
  <c r="G88" i="7"/>
  <c r="G10" i="7" s="1"/>
  <c r="G69" i="2" s="1"/>
  <c r="G36" i="2" s="1"/>
  <c r="G124" i="2" s="1"/>
  <c r="M233" i="3"/>
  <c r="N244" i="3"/>
  <c r="N234" i="3"/>
  <c r="M533" i="6"/>
  <c r="M66" i="6"/>
  <c r="M18" i="6" s="1"/>
  <c r="Q167" i="4"/>
  <c r="O604" i="6"/>
  <c r="P604" i="6" s="1"/>
  <c r="O587" i="6"/>
  <c r="Q91" i="2"/>
  <c r="I88" i="6"/>
  <c r="I80" i="6"/>
  <c r="J77" i="6" s="1"/>
  <c r="I92" i="6"/>
  <c r="P113" i="4"/>
  <c r="P56" i="4" s="1"/>
  <c r="O56" i="4"/>
  <c r="I307" i="5"/>
  <c r="I310" i="5"/>
  <c r="L666" i="6"/>
  <c r="L27" i="2"/>
  <c r="N569" i="6"/>
  <c r="N567" i="6" s="1"/>
  <c r="N571" i="6" s="1"/>
  <c r="N348" i="6" s="1"/>
  <c r="N454" i="6"/>
  <c r="N434" i="6" s="1"/>
  <c r="N375" i="6" s="1"/>
  <c r="O168" i="6"/>
  <c r="N64" i="6"/>
  <c r="N11" i="4"/>
  <c r="N128" i="4"/>
  <c r="N120" i="4"/>
  <c r="M157" i="5"/>
  <c r="M284" i="5" s="1"/>
  <c r="M283" i="5" s="1"/>
  <c r="M278" i="5" s="1"/>
  <c r="M142" i="5"/>
  <c r="Q15" i="3"/>
  <c r="L176" i="5"/>
  <c r="O215" i="4"/>
  <c r="O214" i="4" s="1"/>
  <c r="O60" i="4"/>
  <c r="O49" i="4" s="1"/>
  <c r="O123" i="4"/>
  <c r="O122" i="4" s="1"/>
  <c r="F480" i="6"/>
  <c r="P480" i="6" s="1"/>
  <c r="F479" i="6"/>
  <c r="O479" i="6" s="1"/>
  <c r="P479" i="6" s="1"/>
  <c r="F478" i="6"/>
  <c r="N478" i="6" s="1"/>
  <c r="O478" i="6" s="1"/>
  <c r="P478" i="6" s="1"/>
  <c r="F477" i="6"/>
  <c r="M477" i="6" s="1"/>
  <c r="N477" i="6" s="1"/>
  <c r="O477" i="6" s="1"/>
  <c r="P477" i="6" s="1"/>
  <c r="F476" i="6"/>
  <c r="L476" i="6" s="1"/>
  <c r="M476" i="6" s="1"/>
  <c r="N476" i="6" s="1"/>
  <c r="O476" i="6" s="1"/>
  <c r="P476" i="6" s="1"/>
  <c r="F475" i="6"/>
  <c r="K475" i="6" s="1"/>
  <c r="K15" i="2"/>
  <c r="N80" i="5"/>
  <c r="N74" i="5" s="1"/>
  <c r="O81" i="5"/>
  <c r="L312" i="6"/>
  <c r="L246" i="6"/>
  <c r="L23" i="6" s="1"/>
  <c r="P65" i="4"/>
  <c r="P61" i="4"/>
  <c r="L153" i="6"/>
  <c r="M152" i="6"/>
  <c r="O328" i="6"/>
  <c r="O65" i="6"/>
  <c r="O17" i="6" s="1"/>
  <c r="M21" i="5"/>
  <c r="P587" i="6"/>
  <c r="D589" i="6" s="1" a="1"/>
  <c r="P605" i="6"/>
  <c r="N213" i="4"/>
  <c r="N196" i="4"/>
  <c r="N25" i="4" s="1"/>
  <c r="J22" i="6"/>
  <c r="O149" i="5"/>
  <c r="N151" i="5"/>
  <c r="M535" i="6"/>
  <c r="L532" i="6"/>
  <c r="L529" i="6" s="1"/>
  <c r="L516" i="6" s="1"/>
  <c r="M159" i="5"/>
  <c r="L160" i="5"/>
  <c r="L143" i="5" s="1"/>
  <c r="L164" i="3"/>
  <c r="N95" i="3"/>
  <c r="N86" i="3" s="1"/>
  <c r="K47" i="4"/>
  <c r="K10" i="4"/>
  <c r="N136" i="4"/>
  <c r="J16" i="3"/>
  <c r="J14" i="3" s="1"/>
  <c r="J16" i="2" s="1"/>
  <c r="J102" i="3"/>
  <c r="P368" i="5"/>
  <c r="P366" i="5" s="1"/>
  <c r="P308" i="5" s="1"/>
  <c r="O366" i="5"/>
  <c r="O308" i="5" s="1"/>
  <c r="L20" i="2"/>
  <c r="M409" i="5"/>
  <c r="M408" i="5" s="1"/>
  <c r="M400" i="5" s="1"/>
  <c r="M133" i="5"/>
  <c r="M136" i="5" s="1"/>
  <c r="M61" i="5"/>
  <c r="L314" i="6"/>
  <c r="L245" i="6"/>
  <c r="O74" i="3"/>
  <c r="N78" i="3"/>
  <c r="N76" i="3" s="1"/>
  <c r="N67" i="3" s="1"/>
  <c r="K136" i="6"/>
  <c r="J145" i="6"/>
  <c r="J136" i="6" s="1"/>
  <c r="J137" i="6" s="1"/>
  <c r="J159" i="6" s="1"/>
  <c r="O170" i="3"/>
  <c r="N167" i="3"/>
  <c r="Q258" i="4"/>
  <c r="F87" i="7"/>
  <c r="F88" i="7"/>
  <c r="F10" i="7" s="1"/>
  <c r="F69" i="2" s="1"/>
  <c r="F36" i="2" s="1"/>
  <c r="I284" i="5"/>
  <c r="I283" i="5" s="1"/>
  <c r="J157" i="5"/>
  <c r="J284" i="5" s="1"/>
  <c r="J283" i="5" s="1"/>
  <c r="J278" i="5" s="1"/>
  <c r="M216" i="6"/>
  <c r="N213" i="6" s="1"/>
  <c r="O318" i="5"/>
  <c r="N316" i="5"/>
  <c r="N302" i="5" s="1"/>
  <c r="K66" i="5"/>
  <c r="K64" i="5" s="1"/>
  <c r="K106" i="5"/>
  <c r="M331" i="6"/>
  <c r="M307" i="6" s="1"/>
  <c r="M321" i="6"/>
  <c r="M305" i="6" s="1"/>
  <c r="L198" i="3"/>
  <c r="L197" i="3" s="1"/>
  <c r="L13" i="3"/>
  <c r="L15" i="2" s="1"/>
  <c r="L111" i="3"/>
  <c r="L104" i="3" s="1"/>
  <c r="L73" i="2"/>
  <c r="K314" i="6"/>
  <c r="K245" i="6"/>
  <c r="L650" i="6"/>
  <c r="L26" i="2"/>
  <c r="L316" i="6"/>
  <c r="Q136" i="4"/>
  <c r="P160" i="4"/>
  <c r="P153" i="4"/>
  <c r="Q89" i="4"/>
  <c r="P14" i="4"/>
  <c r="Q281" i="3"/>
  <c r="Q31" i="3" s="1"/>
  <c r="Q79" i="2" s="1"/>
  <c r="P31" i="3"/>
  <c r="P79" i="2" s="1"/>
  <c r="E124" i="2"/>
  <c r="E8" i="1"/>
  <c r="E9" i="1" s="1"/>
  <c r="E11" i="1" s="1"/>
  <c r="E24" i="1" s="1"/>
  <c r="E70" i="2"/>
  <c r="E99" i="2" s="1"/>
  <c r="M135" i="6"/>
  <c r="P152" i="6"/>
  <c r="J47" i="4"/>
  <c r="J10" i="4"/>
  <c r="J9" i="4" s="1"/>
  <c r="K16" i="3"/>
  <c r="K102" i="3"/>
  <c r="P156" i="5"/>
  <c r="O285" i="5"/>
  <c r="O155" i="5"/>
  <c r="K17" i="2"/>
  <c r="K671" i="6"/>
  <c r="K503" i="6"/>
  <c r="K381" i="6" s="1"/>
  <c r="K502" i="6"/>
  <c r="K255" i="6" s="1"/>
  <c r="Q237" i="4"/>
  <c r="M47" i="4"/>
  <c r="M10" i="4"/>
  <c r="M9" i="4" s="1"/>
  <c r="J136" i="5"/>
  <c r="J50" i="5" s="1"/>
  <c r="K329" i="5"/>
  <c r="L86" i="5"/>
  <c r="K85" i="5"/>
  <c r="K436" i="6"/>
  <c r="K437" i="6" s="1"/>
  <c r="K374" i="6"/>
  <c r="L250" i="6"/>
  <c r="L27" i="6" s="1"/>
  <c r="L317" i="6"/>
  <c r="O141" i="6"/>
  <c r="N140" i="6"/>
  <c r="N135" i="6" s="1"/>
  <c r="I457" i="5"/>
  <c r="I455" i="5"/>
  <c r="K23" i="6"/>
  <c r="O115" i="4"/>
  <c r="O52" i="4"/>
  <c r="L50" i="5"/>
  <c r="L11" i="5" s="1"/>
  <c r="P117" i="4"/>
  <c r="P105" i="4" s="1"/>
  <c r="O105" i="4"/>
  <c r="O21" i="4" s="1"/>
  <c r="O53" i="2" s="1"/>
  <c r="P249" i="6"/>
  <c r="I436" i="6"/>
  <c r="I437" i="6" s="1"/>
  <c r="I374" i="6"/>
  <c r="N10" i="3"/>
  <c r="N9" i="3" s="1"/>
  <c r="N52" i="3"/>
  <c r="P568" i="6"/>
  <c r="J315" i="6"/>
  <c r="J318" i="6" s="1"/>
  <c r="J248" i="6"/>
  <c r="N286" i="5"/>
  <c r="N162" i="5"/>
  <c r="N343" i="5"/>
  <c r="O115" i="5"/>
  <c r="K291" i="5"/>
  <c r="J144" i="5"/>
  <c r="K420" i="5"/>
  <c r="N325" i="6"/>
  <c r="N306" i="6" s="1"/>
  <c r="P110" i="5"/>
  <c r="P109" i="5" s="1"/>
  <c r="P103" i="5" s="1"/>
  <c r="O109" i="5"/>
  <c r="O103" i="5" s="1"/>
  <c r="O65" i="5" s="1"/>
  <c r="I43" i="3"/>
  <c r="I36" i="3"/>
  <c r="I44" i="3" s="1"/>
  <c r="M310" i="6"/>
  <c r="I17" i="4"/>
  <c r="P554" i="6"/>
  <c r="N57" i="4"/>
  <c r="N58" i="4"/>
  <c r="N55" i="4" s="1"/>
  <c r="N50" i="4" s="1"/>
  <c r="N48" i="4" s="1"/>
  <c r="I20" i="5"/>
  <c r="I73" i="2"/>
  <c r="I72" i="2" s="1"/>
  <c r="K47" i="2"/>
  <c r="O88" i="3"/>
  <c r="N90" i="3"/>
  <c r="N201" i="3" s="1"/>
  <c r="N87" i="3"/>
  <c r="N85" i="3" s="1"/>
  <c r="K17" i="4"/>
  <c r="R18" i="4"/>
  <c r="K50" i="2"/>
  <c r="K180" i="3"/>
  <c r="O249" i="6"/>
  <c r="J436" i="6"/>
  <c r="J437" i="6" s="1"/>
  <c r="J374" i="6"/>
  <c r="P58" i="3"/>
  <c r="P55" i="3" s="1"/>
  <c r="O55" i="3"/>
  <c r="O53" i="3" s="1"/>
  <c r="I336" i="6"/>
  <c r="I308" i="6" s="1"/>
  <c r="N116" i="3"/>
  <c r="N18" i="3"/>
  <c r="N17" i="3" s="1"/>
  <c r="N17" i="2" s="1"/>
  <c r="H87" i="7"/>
  <c r="D87" i="7" s="1"/>
  <c r="H88" i="7"/>
  <c r="H10" i="7" s="1"/>
  <c r="H69" i="2" s="1"/>
  <c r="H36" i="2" s="1"/>
  <c r="M447" i="6"/>
  <c r="M446" i="6" s="1"/>
  <c r="M433" i="6" s="1"/>
  <c r="N172" i="6"/>
  <c r="N176" i="6" s="1"/>
  <c r="M338" i="6"/>
  <c r="M337" i="6" s="1"/>
  <c r="M336" i="6" s="1"/>
  <c r="M308" i="6" s="1"/>
  <c r="M111" i="4"/>
  <c r="M110" i="4" s="1"/>
  <c r="M103" i="4"/>
  <c r="M19" i="4" s="1"/>
  <c r="M51" i="2" s="1"/>
  <c r="L313" i="6"/>
  <c r="H187" i="7"/>
  <c r="H188" i="7" s="1"/>
  <c r="H241" i="7"/>
  <c r="H242" i="7" s="1"/>
  <c r="H193" i="7"/>
  <c r="H194" i="7" s="1"/>
  <c r="H235" i="7"/>
  <c r="H236" i="7" s="1"/>
  <c r="H106" i="7"/>
  <c r="H123" i="2"/>
  <c r="H7" i="1"/>
  <c r="H142" i="2"/>
  <c r="H127" i="2"/>
  <c r="K24" i="6"/>
  <c r="P235" i="3"/>
  <c r="M119" i="4"/>
  <c r="K12" i="3"/>
  <c r="K66" i="3"/>
  <c r="K68" i="3" s="1"/>
  <c r="K69" i="3" s="1"/>
  <c r="O244" i="3"/>
  <c r="P245" i="3"/>
  <c r="M202" i="3"/>
  <c r="M200" i="3"/>
  <c r="R19" i="4"/>
  <c r="K51" i="2"/>
  <c r="M16" i="6"/>
  <c r="M15" i="6" s="1"/>
  <c r="M63" i="6"/>
  <c r="M313" i="3"/>
  <c r="M312" i="3" s="1"/>
  <c r="M311" i="3" s="1"/>
  <c r="M325" i="3"/>
  <c r="M324" i="3" s="1"/>
  <c r="M323" i="3" s="1"/>
  <c r="M84" i="3"/>
  <c r="P287" i="3"/>
  <c r="M24" i="4"/>
  <c r="M82" i="2"/>
  <c r="M81" i="2" s="1"/>
  <c r="O239" i="3"/>
  <c r="O237" i="3" s="1"/>
  <c r="P121" i="3"/>
  <c r="O120" i="3"/>
  <c r="O117" i="3" s="1"/>
  <c r="M174" i="3"/>
  <c r="M159" i="3" s="1"/>
  <c r="M26" i="3" s="1"/>
  <c r="M47" i="2" s="1"/>
  <c r="M172" i="3"/>
  <c r="M165" i="3"/>
  <c r="N116" i="4"/>
  <c r="N112" i="4"/>
  <c r="P79" i="3"/>
  <c r="L315" i="6"/>
  <c r="L248" i="6"/>
  <c r="Q85" i="7"/>
  <c r="O85" i="7"/>
  <c r="N85" i="7"/>
  <c r="M85" i="7"/>
  <c r="J85" i="7"/>
  <c r="P85" i="7"/>
  <c r="L85" i="7"/>
  <c r="N347" i="5"/>
  <c r="M92" i="3"/>
  <c r="M206" i="3" s="1"/>
  <c r="P217" i="3"/>
  <c r="P15" i="3"/>
  <c r="L144" i="5"/>
  <c r="M247" i="6"/>
  <c r="M24" i="6" s="1"/>
  <c r="M59" i="2" s="1"/>
  <c r="J14" i="2"/>
  <c r="J12" i="2" s="1"/>
  <c r="O54" i="3"/>
  <c r="O11" i="3" s="1"/>
  <c r="P60" i="3"/>
  <c r="P185" i="4"/>
  <c r="O186" i="4"/>
  <c r="O184" i="4"/>
  <c r="N238" i="3"/>
  <c r="N236" i="3"/>
  <c r="M13" i="2"/>
  <c r="L436" i="6"/>
  <c r="L437" i="6" s="1"/>
  <c r="L374" i="6"/>
  <c r="L373" i="6" s="1"/>
  <c r="L652" i="6" s="1"/>
  <c r="P51" i="4"/>
  <c r="E348" i="5" a="1"/>
  <c r="M600" i="6"/>
  <c r="L599" i="6"/>
  <c r="L607" i="6" s="1"/>
  <c r="P328" i="6"/>
  <c r="P325" i="6" s="1"/>
  <c r="P306" i="6" s="1"/>
  <c r="P65" i="6"/>
  <c r="P17" i="6" s="1"/>
  <c r="P197" i="4"/>
  <c r="P202" i="4"/>
  <c r="Q202" i="4" s="1"/>
  <c r="P251" i="3"/>
  <c r="J8" i="3" l="1"/>
  <c r="J42" i="3" s="1"/>
  <c r="N233" i="3"/>
  <c r="G70" i="2"/>
  <c r="G8" i="1"/>
  <c r="G9" i="1" s="1"/>
  <c r="G90" i="7"/>
  <c r="G11" i="7" s="1"/>
  <c r="O234" i="3"/>
  <c r="F90" i="7"/>
  <c r="F11" i="7" s="1"/>
  <c r="K58" i="2"/>
  <c r="K22" i="6"/>
  <c r="N21" i="5"/>
  <c r="N159" i="5"/>
  <c r="M160" i="5"/>
  <c r="M143" i="5" s="1"/>
  <c r="M650" i="6"/>
  <c r="M26" i="2"/>
  <c r="M316" i="6"/>
  <c r="P87" i="7"/>
  <c r="O87" i="7"/>
  <c r="N87" i="7"/>
  <c r="L87" i="7"/>
  <c r="K87" i="7"/>
  <c r="J87" i="7"/>
  <c r="Q87" i="7"/>
  <c r="M87" i="7"/>
  <c r="E353" i="5"/>
  <c r="E352" i="5"/>
  <c r="E351" i="5"/>
  <c r="N351" i="5" s="1"/>
  <c r="E350" i="5"/>
  <c r="M350" i="5" s="1"/>
  <c r="N350" i="5" s="1"/>
  <c r="E349" i="5"/>
  <c r="L349" i="5" s="1"/>
  <c r="M349" i="5" s="1"/>
  <c r="N349" i="5" s="1"/>
  <c r="E348" i="5"/>
  <c r="K348" i="5" s="1"/>
  <c r="N313" i="3"/>
  <c r="N312" i="3" s="1"/>
  <c r="N311" i="3" s="1"/>
  <c r="N325" i="3"/>
  <c r="N324" i="3" s="1"/>
  <c r="N323" i="3" s="1"/>
  <c r="N84" i="3"/>
  <c r="N10" i="4"/>
  <c r="N9" i="4" s="1"/>
  <c r="N47" i="4"/>
  <c r="J52" i="5"/>
  <c r="J420" i="5"/>
  <c r="J416" i="5" s="1"/>
  <c r="J415" i="5" s="1"/>
  <c r="I373" i="6"/>
  <c r="I31" i="6"/>
  <c r="L329" i="5"/>
  <c r="M86" i="5"/>
  <c r="M312" i="6"/>
  <c r="M246" i="6"/>
  <c r="M23" i="6" s="1"/>
  <c r="N223" i="6"/>
  <c r="N215" i="6" s="1"/>
  <c r="M50" i="5"/>
  <c r="M11" i="5" s="1"/>
  <c r="N157" i="5"/>
  <c r="N284" i="5" s="1"/>
  <c r="N283" i="5" s="1"/>
  <c r="N278" i="5" s="1"/>
  <c r="N142" i="5"/>
  <c r="M73" i="2"/>
  <c r="O80" i="5"/>
  <c r="O74" i="5" s="1"/>
  <c r="P81" i="5"/>
  <c r="P80" i="5" s="1"/>
  <c r="P74" i="5" s="1"/>
  <c r="N310" i="6"/>
  <c r="O57" i="4"/>
  <c r="O58" i="4"/>
  <c r="O55" i="4" s="1"/>
  <c r="O50" i="4" s="1"/>
  <c r="O48" i="4" s="1"/>
  <c r="N103" i="4"/>
  <c r="N19" i="4" s="1"/>
  <c r="N51" i="2" s="1"/>
  <c r="N111" i="4"/>
  <c r="P239" i="3"/>
  <c r="P237" i="3" s="1"/>
  <c r="P120" i="3"/>
  <c r="K49" i="2"/>
  <c r="K73" i="3"/>
  <c r="K188" i="3" s="1"/>
  <c r="K189" i="3" s="1"/>
  <c r="K70" i="3"/>
  <c r="K72" i="3"/>
  <c r="L69" i="3"/>
  <c r="M315" i="6"/>
  <c r="M248" i="6"/>
  <c r="I315" i="6"/>
  <c r="I318" i="6" s="1"/>
  <c r="I248" i="6"/>
  <c r="K308" i="6"/>
  <c r="N92" i="3"/>
  <c r="N206" i="3" s="1"/>
  <c r="P141" i="6"/>
  <c r="P140" i="6" s="1"/>
  <c r="P135" i="6" s="1"/>
  <c r="O140" i="6"/>
  <c r="O135" i="6" s="1"/>
  <c r="K333" i="5"/>
  <c r="K330" i="5"/>
  <c r="K332" i="5"/>
  <c r="K331" i="5"/>
  <c r="M20" i="2"/>
  <c r="P153" i="6"/>
  <c r="Q14" i="4"/>
  <c r="M245" i="6"/>
  <c r="M314" i="6"/>
  <c r="J176" i="5"/>
  <c r="K130" i="6"/>
  <c r="K137" i="6"/>
  <c r="K9" i="4"/>
  <c r="R10" i="4"/>
  <c r="P149" i="5"/>
  <c r="P151" i="5" s="1"/>
  <c r="O151" i="5"/>
  <c r="M153" i="6"/>
  <c r="N153" i="6"/>
  <c r="N409" i="5"/>
  <c r="N408" i="5" s="1"/>
  <c r="N400" i="5" s="1"/>
  <c r="N133" i="5"/>
  <c r="N136" i="5" s="1"/>
  <c r="N61" i="5"/>
  <c r="P57" i="4"/>
  <c r="P58" i="4"/>
  <c r="P55" i="4" s="1"/>
  <c r="P50" i="4" s="1"/>
  <c r="N174" i="3"/>
  <c r="N159" i="3" s="1"/>
  <c r="N26" i="3" s="1"/>
  <c r="N47" i="2" s="1"/>
  <c r="N172" i="3"/>
  <c r="N165" i="3"/>
  <c r="M13" i="3"/>
  <c r="M15" i="2" s="1"/>
  <c r="M198" i="3"/>
  <c r="M197" i="3" s="1"/>
  <c r="M111" i="3"/>
  <c r="M104" i="3" s="1"/>
  <c r="K14" i="2"/>
  <c r="K59" i="2"/>
  <c r="H237" i="7"/>
  <c r="J236" i="7"/>
  <c r="S236" i="7" s="1"/>
  <c r="N447" i="6"/>
  <c r="N446" i="6" s="1"/>
  <c r="N433" i="6" s="1"/>
  <c r="N338" i="6"/>
  <c r="N337" i="6" s="1"/>
  <c r="N336" i="6" s="1"/>
  <c r="N308" i="6" s="1"/>
  <c r="O172" i="6"/>
  <c r="O176" i="6" s="1"/>
  <c r="O10" i="3"/>
  <c r="O9" i="3" s="1"/>
  <c r="O52" i="3"/>
  <c r="K156" i="3"/>
  <c r="N202" i="3"/>
  <c r="N200" i="3"/>
  <c r="K279" i="5"/>
  <c r="K177" i="5" s="1"/>
  <c r="K17" i="5" s="1"/>
  <c r="J291" i="5"/>
  <c r="J279" i="5" s="1"/>
  <c r="J177" i="5" s="1"/>
  <c r="J17" i="5" s="1"/>
  <c r="J41" i="2" s="1"/>
  <c r="I291" i="5"/>
  <c r="I279" i="5" s="1"/>
  <c r="I177" i="5" s="1"/>
  <c r="I17" i="5" s="1"/>
  <c r="I41" i="2" s="1"/>
  <c r="K293" i="5"/>
  <c r="K107" i="5"/>
  <c r="L102" i="5"/>
  <c r="K283" i="5"/>
  <c r="K278" i="5" s="1"/>
  <c r="I278" i="5"/>
  <c r="J57" i="2"/>
  <c r="N63" i="6"/>
  <c r="N16" i="6"/>
  <c r="N15" i="6" s="1"/>
  <c r="K92" i="6"/>
  <c r="J92" i="6"/>
  <c r="D92" i="6"/>
  <c r="L92" i="6" s="1"/>
  <c r="K14" i="3"/>
  <c r="M205" i="3"/>
  <c r="M207" i="3"/>
  <c r="Q197" i="4"/>
  <c r="Q26" i="4" s="1"/>
  <c r="Q83" i="2" s="1"/>
  <c r="P26" i="4"/>
  <c r="P83" i="2" s="1"/>
  <c r="P115" i="4"/>
  <c r="P52" i="4"/>
  <c r="O116" i="3"/>
  <c r="O18" i="3"/>
  <c r="O17" i="3" s="1"/>
  <c r="O17" i="2" s="1"/>
  <c r="H195" i="7"/>
  <c r="J194" i="7"/>
  <c r="S194" i="7" s="1"/>
  <c r="M436" i="6"/>
  <c r="M437" i="6" s="1"/>
  <c r="M374" i="6"/>
  <c r="M373" i="6" s="1"/>
  <c r="M652" i="6" s="1"/>
  <c r="Q55" i="3"/>
  <c r="Q53" i="3" s="1"/>
  <c r="P53" i="3"/>
  <c r="P88" i="3"/>
  <c r="O90" i="3"/>
  <c r="O201" i="3" s="1"/>
  <c r="O87" i="3"/>
  <c r="O85" i="3" s="1"/>
  <c r="P65" i="5"/>
  <c r="O116" i="4"/>
  <c r="O112" i="4"/>
  <c r="L62" i="2"/>
  <c r="O286" i="5"/>
  <c r="O162" i="5"/>
  <c r="E125" i="2"/>
  <c r="E111" i="2"/>
  <c r="P152" i="4"/>
  <c r="J64" i="5"/>
  <c r="F124" i="2"/>
  <c r="F8" i="1"/>
  <c r="F9" i="1" s="1"/>
  <c r="F70" i="2"/>
  <c r="J244" i="6"/>
  <c r="J651" i="6" s="1"/>
  <c r="N24" i="4"/>
  <c r="N82" i="2"/>
  <c r="N81" i="2" s="1"/>
  <c r="P215" i="4"/>
  <c r="P214" i="4" s="1"/>
  <c r="P60" i="4"/>
  <c r="P123" i="4"/>
  <c r="P122" i="4" s="1"/>
  <c r="M144" i="5"/>
  <c r="O569" i="6"/>
  <c r="O567" i="6" s="1"/>
  <c r="O571" i="6" s="1"/>
  <c r="O348" i="6" s="1"/>
  <c r="O454" i="6"/>
  <c r="O434" i="6" s="1"/>
  <c r="O375" i="6" s="1"/>
  <c r="P168" i="6"/>
  <c r="O64" i="6"/>
  <c r="J88" i="6"/>
  <c r="I89" i="6"/>
  <c r="K88" i="6"/>
  <c r="M666" i="6"/>
  <c r="M27" i="2"/>
  <c r="P285" i="5"/>
  <c r="P155" i="5"/>
  <c r="P247" i="6"/>
  <c r="P24" i="6" s="1"/>
  <c r="Q60" i="3"/>
  <c r="Q54" i="3" s="1"/>
  <c r="Q11" i="3" s="1"/>
  <c r="P54" i="3"/>
  <c r="P11" i="3" s="1"/>
  <c r="M313" i="6"/>
  <c r="O238" i="3"/>
  <c r="O236" i="3"/>
  <c r="O233" i="3" s="1"/>
  <c r="H189" i="7"/>
  <c r="J188" i="7"/>
  <c r="S188" i="7" s="1"/>
  <c r="H90" i="7"/>
  <c r="J373" i="6"/>
  <c r="J652" i="6" s="1"/>
  <c r="J31" i="6"/>
  <c r="N247" i="6"/>
  <c r="N24" i="6" s="1"/>
  <c r="N59" i="2" s="1"/>
  <c r="O343" i="5"/>
  <c r="P115" i="5"/>
  <c r="P21" i="4"/>
  <c r="P53" i="2" s="1"/>
  <c r="Q105" i="4"/>
  <c r="Q21" i="4" s="1"/>
  <c r="Q53" i="2" s="1"/>
  <c r="K226" i="3"/>
  <c r="K219" i="3"/>
  <c r="K216" i="3" s="1"/>
  <c r="P318" i="5"/>
  <c r="P316" i="5" s="1"/>
  <c r="P302" i="5" s="1"/>
  <c r="O316" i="5"/>
  <c r="O302" i="5" s="1"/>
  <c r="L244" i="6"/>
  <c r="L651" i="6" s="1"/>
  <c r="L653" i="6" s="1"/>
  <c r="L22" i="6"/>
  <c r="L492" i="6"/>
  <c r="L493" i="6" s="1"/>
  <c r="O11" i="4"/>
  <c r="O128" i="4"/>
  <c r="O120" i="4"/>
  <c r="M176" i="5"/>
  <c r="Q17" i="6"/>
  <c r="H243" i="7"/>
  <c r="J242" i="7"/>
  <c r="S242" i="7" s="1"/>
  <c r="K373" i="6"/>
  <c r="K31" i="6"/>
  <c r="P186" i="4"/>
  <c r="P184" i="4"/>
  <c r="H124" i="2"/>
  <c r="H8" i="1"/>
  <c r="H9" i="1" s="1"/>
  <c r="I36" i="4"/>
  <c r="I23" i="4"/>
  <c r="I28" i="4" s="1"/>
  <c r="K50" i="5"/>
  <c r="J11" i="5"/>
  <c r="K11" i="5" s="1"/>
  <c r="L16" i="3"/>
  <c r="L14" i="3" s="1"/>
  <c r="L16" i="2" s="1"/>
  <c r="L102" i="3"/>
  <c r="O78" i="3"/>
  <c r="O76" i="3" s="1"/>
  <c r="O67" i="3" s="1"/>
  <c r="P74" i="3"/>
  <c r="P78" i="3" s="1"/>
  <c r="P76" i="3" s="1"/>
  <c r="P67" i="3" s="1"/>
  <c r="L291" i="5"/>
  <c r="L52" i="5"/>
  <c r="L420" i="5"/>
  <c r="H70" i="2"/>
  <c r="J219" i="3"/>
  <c r="J216" i="3" s="1"/>
  <c r="J226" i="3"/>
  <c r="L58" i="2"/>
  <c r="L475" i="6"/>
  <c r="K481" i="6"/>
  <c r="K469" i="6" s="1"/>
  <c r="O213" i="4"/>
  <c r="O196" i="4"/>
  <c r="O25" i="4" s="1"/>
  <c r="N331" i="6"/>
  <c r="N307" i="6" s="1"/>
  <c r="N321" i="6"/>
  <c r="N305" i="6" s="1"/>
  <c r="N600" i="6"/>
  <c r="M599" i="6"/>
  <c r="M607" i="6" s="1"/>
  <c r="J40" i="3"/>
  <c r="M164" i="3"/>
  <c r="R17" i="4"/>
  <c r="I34" i="5"/>
  <c r="M250" i="6"/>
  <c r="M27" i="6" s="1"/>
  <c r="M317" i="6"/>
  <c r="K416" i="5"/>
  <c r="K415" i="5" s="1"/>
  <c r="K377" i="5" s="1"/>
  <c r="K421" i="5"/>
  <c r="N13" i="2"/>
  <c r="K75" i="5"/>
  <c r="J85" i="5"/>
  <c r="J75" i="5" s="1"/>
  <c r="J77" i="5" s="1"/>
  <c r="J196" i="5" s="1"/>
  <c r="D594" i="6"/>
  <c r="P594" i="6" s="1"/>
  <c r="D593" i="6"/>
  <c r="D592" i="6"/>
  <c r="D591" i="6"/>
  <c r="D590" i="6"/>
  <c r="D589" i="6"/>
  <c r="J8" i="4"/>
  <c r="J20" i="2"/>
  <c r="J19" i="2" s="1"/>
  <c r="P170" i="3"/>
  <c r="P167" i="3" s="1"/>
  <c r="O167" i="3"/>
  <c r="P95" i="3"/>
  <c r="P86" i="3" s="1"/>
  <c r="O95" i="3"/>
  <c r="O86" i="3" s="1"/>
  <c r="O325" i="6"/>
  <c r="O306" i="6" s="1"/>
  <c r="L318" i="6"/>
  <c r="N119" i="4"/>
  <c r="N535" i="6"/>
  <c r="M532" i="6"/>
  <c r="M529" i="6" s="1"/>
  <c r="M516" i="6" s="1"/>
  <c r="M492" i="6" s="1"/>
  <c r="M493" i="6" s="1"/>
  <c r="J653" i="6" l="1"/>
  <c r="J656" i="6" s="1"/>
  <c r="L331" i="5"/>
  <c r="L332" i="5"/>
  <c r="L333" i="5"/>
  <c r="F98" i="2"/>
  <c r="F71" i="2" s="1"/>
  <c r="F10" i="1" s="1"/>
  <c r="F11" i="1" s="1"/>
  <c r="F24" i="1" s="1"/>
  <c r="G98" i="2"/>
  <c r="G71" i="2" s="1"/>
  <c r="G10" i="1" s="1"/>
  <c r="G11" i="1" s="1"/>
  <c r="G24" i="1" s="1"/>
  <c r="L654" i="6"/>
  <c r="L656" i="6"/>
  <c r="L657" i="6" s="1"/>
  <c r="O16" i="6"/>
  <c r="O15" i="6" s="1"/>
  <c r="O313" i="6" s="1"/>
  <c r="O63" i="6"/>
  <c r="P48" i="4"/>
  <c r="Q50" i="4"/>
  <c r="Q48" i="4" s="1"/>
  <c r="J130" i="6"/>
  <c r="K61" i="6"/>
  <c r="P409" i="5"/>
  <c r="P408" i="5" s="1"/>
  <c r="P400" i="5" s="1"/>
  <c r="P133" i="5"/>
  <c r="P136" i="5" s="1"/>
  <c r="P61" i="5"/>
  <c r="M291" i="5"/>
  <c r="M52" i="5"/>
  <c r="M420" i="5"/>
  <c r="O174" i="3"/>
  <c r="O159" i="3" s="1"/>
  <c r="O26" i="3" s="1"/>
  <c r="O47" i="2" s="1"/>
  <c r="O172" i="3"/>
  <c r="O165" i="3"/>
  <c r="O409" i="5"/>
  <c r="O408" i="5" s="1"/>
  <c r="O400" i="5" s="1"/>
  <c r="O133" i="5"/>
  <c r="O136" i="5" s="1"/>
  <c r="O61" i="5"/>
  <c r="N209" i="6"/>
  <c r="I86" i="2"/>
  <c r="K57" i="2"/>
  <c r="K466" i="6"/>
  <c r="J469" i="6"/>
  <c r="J466" i="6" s="1"/>
  <c r="J379" i="6" s="1"/>
  <c r="M62" i="2"/>
  <c r="M475" i="6"/>
  <c r="L481" i="6"/>
  <c r="L469" i="6" s="1"/>
  <c r="L226" i="3"/>
  <c r="L219" i="3"/>
  <c r="L216" i="3" s="1"/>
  <c r="P569" i="6"/>
  <c r="P567" i="6" s="1"/>
  <c r="P571" i="6" s="1"/>
  <c r="P348" i="6" s="1"/>
  <c r="P454" i="6"/>
  <c r="P434" i="6" s="1"/>
  <c r="P375" i="6" s="1"/>
  <c r="P64" i="6"/>
  <c r="K86" i="2"/>
  <c r="P21" i="5"/>
  <c r="J86" i="2"/>
  <c r="O92" i="3"/>
  <c r="O206" i="3" s="1"/>
  <c r="K16" i="2"/>
  <c r="K12" i="2" s="1"/>
  <c r="O13" i="2"/>
  <c r="K8" i="3"/>
  <c r="E334" i="5" a="1"/>
  <c r="O142" i="5"/>
  <c r="O157" i="5"/>
  <c r="O284" i="5" s="1"/>
  <c r="O283" i="5" s="1"/>
  <c r="O278" i="5" s="1"/>
  <c r="J280" i="5"/>
  <c r="M69" i="3"/>
  <c r="L68" i="3"/>
  <c r="O10" i="4"/>
  <c r="O9" i="4" s="1"/>
  <c r="O47" i="4"/>
  <c r="N216" i="6"/>
  <c r="O213" i="6" s="1"/>
  <c r="I652" i="6"/>
  <c r="J243" i="7"/>
  <c r="O119" i="4"/>
  <c r="P286" i="5"/>
  <c r="P162" i="5"/>
  <c r="E22" i="1"/>
  <c r="E25" i="1" s="1"/>
  <c r="E126" i="2"/>
  <c r="L114" i="5"/>
  <c r="L104" i="5" s="1"/>
  <c r="L66" i="5" s="1"/>
  <c r="L64" i="5" s="1"/>
  <c r="L416" i="5"/>
  <c r="L415" i="5" s="1"/>
  <c r="L421" i="5"/>
  <c r="J195" i="7"/>
  <c r="O247" i="6"/>
  <c r="O24" i="6" s="1"/>
  <c r="O59" i="2" s="1"/>
  <c r="N312" i="6"/>
  <c r="N246" i="6"/>
  <c r="N23" i="6" s="1"/>
  <c r="K652" i="6"/>
  <c r="L88" i="6"/>
  <c r="K83" i="6"/>
  <c r="Q60" i="4"/>
  <c r="Q49" i="4" s="1"/>
  <c r="Q11" i="4" s="1"/>
  <c r="P49" i="4"/>
  <c r="O200" i="3"/>
  <c r="O202" i="3"/>
  <c r="K41" i="2"/>
  <c r="O447" i="6"/>
  <c r="O446" i="6" s="1"/>
  <c r="O433" i="6" s="1"/>
  <c r="O338" i="6"/>
  <c r="O337" i="6" s="1"/>
  <c r="O336" i="6" s="1"/>
  <c r="O308" i="6" s="1"/>
  <c r="P172" i="6"/>
  <c r="P176" i="6" s="1"/>
  <c r="P157" i="5"/>
  <c r="P284" i="5" s="1"/>
  <c r="P283" i="5" s="1"/>
  <c r="P278" i="5" s="1"/>
  <c r="P142" i="5"/>
  <c r="J14" i="5"/>
  <c r="J38" i="2" s="1"/>
  <c r="N207" i="3"/>
  <c r="N205" i="3"/>
  <c r="L72" i="3"/>
  <c r="M72" i="3" s="1"/>
  <c r="N72" i="3" s="1"/>
  <c r="O72" i="3" s="1"/>
  <c r="P72" i="3" s="1"/>
  <c r="J72" i="3"/>
  <c r="J71" i="3" s="1"/>
  <c r="M58" i="2"/>
  <c r="D439" i="5"/>
  <c r="J377" i="5"/>
  <c r="J378" i="5" s="1"/>
  <c r="L348" i="5"/>
  <c r="K354" i="5"/>
  <c r="P116" i="4"/>
  <c r="P112" i="4"/>
  <c r="N650" i="6"/>
  <c r="N26" i="2"/>
  <c r="N316" i="6"/>
  <c r="O21" i="5"/>
  <c r="N313" i="6"/>
  <c r="O313" i="3"/>
  <c r="O312" i="3" s="1"/>
  <c r="O311" i="3" s="1"/>
  <c r="O325" i="3"/>
  <c r="O324" i="3" s="1"/>
  <c r="O323" i="3" s="1"/>
  <c r="O84" i="3"/>
  <c r="J23" i="4"/>
  <c r="J28" i="4" s="1"/>
  <c r="J35" i="4"/>
  <c r="J37" i="4"/>
  <c r="J36" i="4"/>
  <c r="K62" i="5"/>
  <c r="K60" i="5" s="1"/>
  <c r="K77" i="5"/>
  <c r="O600" i="6"/>
  <c r="N599" i="6"/>
  <c r="N607" i="6" s="1"/>
  <c r="L12" i="5"/>
  <c r="L11" i="2" s="1"/>
  <c r="J589" i="6"/>
  <c r="L590" i="6"/>
  <c r="M590" i="6" s="1"/>
  <c r="N314" i="6"/>
  <c r="N245" i="6"/>
  <c r="I38" i="4"/>
  <c r="I31" i="4"/>
  <c r="I39" i="4" s="1"/>
  <c r="H11" i="7"/>
  <c r="H98" i="2"/>
  <c r="H71" i="2" s="1"/>
  <c r="H99" i="2" s="1"/>
  <c r="Q24" i="6"/>
  <c r="Q59" i="2" s="1"/>
  <c r="P59" i="2"/>
  <c r="O331" i="6"/>
  <c r="O307" i="6" s="1"/>
  <c r="O321" i="6"/>
  <c r="O305" i="6" s="1"/>
  <c r="P213" i="4"/>
  <c r="Q213" i="4" s="1"/>
  <c r="P196" i="4"/>
  <c r="P90" i="3"/>
  <c r="P201" i="3" s="1"/>
  <c r="P87" i="3"/>
  <c r="P85" i="3" s="1"/>
  <c r="M92" i="6"/>
  <c r="N315" i="6"/>
  <c r="N248" i="6"/>
  <c r="N50" i="5"/>
  <c r="N11" i="5" s="1"/>
  <c r="K315" i="6"/>
  <c r="K318" i="6" s="1"/>
  <c r="K248" i="6"/>
  <c r="N250" i="6"/>
  <c r="N27" i="6" s="1"/>
  <c r="N317" i="6"/>
  <c r="M318" i="6"/>
  <c r="J12" i="5"/>
  <c r="K52" i="5"/>
  <c r="O349" i="5"/>
  <c r="M591" i="6"/>
  <c r="N591" i="6" s="1"/>
  <c r="O24" i="4"/>
  <c r="O82" i="2"/>
  <c r="O81" i="2" s="1"/>
  <c r="J215" i="3"/>
  <c r="J156" i="3"/>
  <c r="J23" i="3" s="1"/>
  <c r="L279" i="5"/>
  <c r="L293" i="5"/>
  <c r="L57" i="2"/>
  <c r="K215" i="3"/>
  <c r="P343" i="5"/>
  <c r="P353" i="5" s="1"/>
  <c r="J189" i="7"/>
  <c r="O103" i="4"/>
  <c r="O19" i="4" s="1"/>
  <c r="O51" i="2" s="1"/>
  <c r="O111" i="4"/>
  <c r="O110" i="4" s="1"/>
  <c r="P52" i="3"/>
  <c r="P10" i="3"/>
  <c r="P9" i="3" s="1"/>
  <c r="I176" i="5"/>
  <c r="I280" i="5"/>
  <c r="N436" i="6"/>
  <c r="N437" i="6" s="1"/>
  <c r="N374" i="6"/>
  <c r="N373" i="6" s="1"/>
  <c r="N652" i="6" s="1"/>
  <c r="M16" i="3"/>
  <c r="M14" i="3" s="1"/>
  <c r="M16" i="2" s="1"/>
  <c r="M102" i="3"/>
  <c r="N164" i="3"/>
  <c r="M244" i="6"/>
  <c r="M651" i="6" s="1"/>
  <c r="M22" i="6"/>
  <c r="I244" i="6"/>
  <c r="I651" i="6" s="1"/>
  <c r="P117" i="3"/>
  <c r="Q120" i="3"/>
  <c r="Q117" i="3" s="1"/>
  <c r="O350" i="5"/>
  <c r="N592" i="6"/>
  <c r="O592" i="6" s="1"/>
  <c r="O310" i="6"/>
  <c r="Q152" i="4"/>
  <c r="Q10" i="3"/>
  <c r="Q9" i="3" s="1"/>
  <c r="Q52" i="3"/>
  <c r="K176" i="5"/>
  <c r="K280" i="5"/>
  <c r="J237" i="7"/>
  <c r="K8" i="4"/>
  <c r="R9" i="4"/>
  <c r="K20" i="2"/>
  <c r="P236" i="3"/>
  <c r="P238" i="3"/>
  <c r="N176" i="5"/>
  <c r="M329" i="5"/>
  <c r="M332" i="5" s="1"/>
  <c r="N86" i="5"/>
  <c r="N20" i="2"/>
  <c r="O351" i="5"/>
  <c r="P351" i="5" s="1"/>
  <c r="O159" i="5"/>
  <c r="N160" i="5"/>
  <c r="N143" i="5" s="1"/>
  <c r="N144" i="5" s="1"/>
  <c r="O593" i="6"/>
  <c r="P593" i="6" s="1"/>
  <c r="K23" i="3"/>
  <c r="K418" i="6"/>
  <c r="K159" i="6"/>
  <c r="K162" i="6" s="1"/>
  <c r="J162" i="6" s="1"/>
  <c r="J62" i="6" s="1"/>
  <c r="L134" i="6"/>
  <c r="N110" i="4"/>
  <c r="N198" i="3"/>
  <c r="N197" i="3" s="1"/>
  <c r="N111" i="3"/>
  <c r="N104" i="3" s="1"/>
  <c r="N13" i="3"/>
  <c r="N15" i="2" s="1"/>
  <c r="O352" i="5"/>
  <c r="P352" i="5" s="1"/>
  <c r="N73" i="2"/>
  <c r="P592" i="6" l="1"/>
  <c r="P350" i="5"/>
  <c r="K378" i="5"/>
  <c r="L106" i="5"/>
  <c r="F99" i="2"/>
  <c r="F125" i="2" s="1"/>
  <c r="G99" i="2"/>
  <c r="G111" i="2" s="1"/>
  <c r="G126" i="2" s="1"/>
  <c r="N291" i="5"/>
  <c r="N52" i="5"/>
  <c r="N420" i="5"/>
  <c r="H125" i="2"/>
  <c r="H111" i="2"/>
  <c r="K14" i="5"/>
  <c r="I653" i="6"/>
  <c r="O591" i="6"/>
  <c r="P591" i="6" s="1"/>
  <c r="O312" i="6"/>
  <c r="O246" i="6"/>
  <c r="O23" i="6" s="1"/>
  <c r="N244" i="6"/>
  <c r="N651" i="6" s="1"/>
  <c r="N22" i="6"/>
  <c r="L589" i="6"/>
  <c r="M589" i="6" s="1"/>
  <c r="O198" i="3"/>
  <c r="O111" i="3"/>
  <c r="O104" i="3" s="1"/>
  <c r="O13" i="3"/>
  <c r="O15" i="2" s="1"/>
  <c r="J439" i="5"/>
  <c r="J445" i="5" s="1"/>
  <c r="J386" i="5" s="1"/>
  <c r="P11" i="4"/>
  <c r="P128" i="4"/>
  <c r="P120" i="4"/>
  <c r="N318" i="6"/>
  <c r="L377" i="5"/>
  <c r="L378" i="5" s="1"/>
  <c r="M293" i="5"/>
  <c r="M279" i="5"/>
  <c r="J61" i="6"/>
  <c r="I61" i="6" s="1"/>
  <c r="J124" i="6"/>
  <c r="P174" i="3"/>
  <c r="P159" i="3" s="1"/>
  <c r="P172" i="3"/>
  <c r="P165" i="3"/>
  <c r="K19" i="2"/>
  <c r="L188" i="7"/>
  <c r="L189" i="7" s="1"/>
  <c r="Q188" i="7"/>
  <c r="Q189" i="7" s="1"/>
  <c r="P188" i="7"/>
  <c r="P189" i="7" s="1"/>
  <c r="O188" i="7"/>
  <c r="O189" i="7" s="1"/>
  <c r="N188" i="7"/>
  <c r="N189" i="7" s="1"/>
  <c r="M188" i="7"/>
  <c r="M189" i="7" s="1"/>
  <c r="L177" i="5"/>
  <c r="L280" i="5"/>
  <c r="L281" i="5" s="1"/>
  <c r="P349" i="5"/>
  <c r="N92" i="6"/>
  <c r="O314" i="6"/>
  <c r="O245" i="6"/>
  <c r="P600" i="6"/>
  <c r="P599" i="6" s="1"/>
  <c r="P607" i="6" s="1"/>
  <c r="O599" i="6"/>
  <c r="O607" i="6" s="1"/>
  <c r="N653" i="6"/>
  <c r="P447" i="6"/>
  <c r="P446" i="6" s="1"/>
  <c r="P433" i="6" s="1"/>
  <c r="P338" i="6"/>
  <c r="P337" i="6" s="1"/>
  <c r="P336" i="6" s="1"/>
  <c r="P308" i="6" s="1"/>
  <c r="O20" i="2"/>
  <c r="O207" i="3"/>
  <c r="O205" i="3"/>
  <c r="P310" i="6"/>
  <c r="P50" i="5"/>
  <c r="P11" i="5" s="1"/>
  <c r="Q11" i="5" s="1"/>
  <c r="Q47" i="4"/>
  <c r="Q10" i="4"/>
  <c r="Q9" i="4" s="1"/>
  <c r="P159" i="5"/>
  <c r="P160" i="5" s="1"/>
  <c r="P143" i="5" s="1"/>
  <c r="O160" i="5"/>
  <c r="O143" i="5" s="1"/>
  <c r="O144" i="5" s="1"/>
  <c r="K35" i="4"/>
  <c r="K23" i="4"/>
  <c r="R8" i="4"/>
  <c r="K37" i="4"/>
  <c r="K36" i="4"/>
  <c r="J44" i="2"/>
  <c r="K244" i="6"/>
  <c r="N590" i="6"/>
  <c r="K229" i="5"/>
  <c r="L229" i="5" s="1"/>
  <c r="M229" i="5" s="1"/>
  <c r="N229" i="5" s="1"/>
  <c r="O229" i="5" s="1"/>
  <c r="P229" i="5" s="1"/>
  <c r="K212" i="5"/>
  <c r="K221" i="5"/>
  <c r="K204" i="5"/>
  <c r="K196" i="5"/>
  <c r="L73" i="5"/>
  <c r="K78" i="5"/>
  <c r="J78" i="5"/>
  <c r="P103" i="4"/>
  <c r="P111" i="4"/>
  <c r="O315" i="6"/>
  <c r="O248" i="6"/>
  <c r="J83" i="6"/>
  <c r="J78" i="6" s="1"/>
  <c r="K78" i="6"/>
  <c r="L301" i="3"/>
  <c r="L300" i="3" s="1"/>
  <c r="L66" i="3"/>
  <c r="L65" i="3" s="1"/>
  <c r="E336" i="5"/>
  <c r="M336" i="5" s="1"/>
  <c r="E335" i="5"/>
  <c r="L335" i="5" s="1"/>
  <c r="M335" i="5" s="1"/>
  <c r="N335" i="5" s="1"/>
  <c r="E334" i="5"/>
  <c r="K334" i="5" s="1"/>
  <c r="E339" i="5"/>
  <c r="E338" i="5"/>
  <c r="E337" i="5"/>
  <c r="J378" i="6"/>
  <c r="J668" i="6" s="1"/>
  <c r="J32" i="6"/>
  <c r="P47" i="4"/>
  <c r="P10" i="4"/>
  <c r="P9" i="4" s="1"/>
  <c r="M57" i="2"/>
  <c r="K62" i="6"/>
  <c r="J14" i="6"/>
  <c r="Q13" i="2"/>
  <c r="I174" i="5"/>
  <c r="I14" i="5"/>
  <c r="I38" i="2" s="1"/>
  <c r="I37" i="2" s="1"/>
  <c r="J11" i="2"/>
  <c r="K12" i="5"/>
  <c r="K281" i="5" s="1"/>
  <c r="P313" i="3"/>
  <c r="P312" i="3" s="1"/>
  <c r="P311" i="3" s="1"/>
  <c r="P325" i="3"/>
  <c r="P324" i="3" s="1"/>
  <c r="P323" i="3" s="1"/>
  <c r="P84" i="3"/>
  <c r="J60" i="5"/>
  <c r="J59" i="5" s="1"/>
  <c r="J403" i="5" s="1"/>
  <c r="K59" i="5"/>
  <c r="K69" i="5" s="1"/>
  <c r="J183" i="3"/>
  <c r="J182" i="3" s="1"/>
  <c r="J73" i="3"/>
  <c r="J188" i="3" s="1"/>
  <c r="J187" i="3" s="1"/>
  <c r="P144" i="5"/>
  <c r="O436" i="6"/>
  <c r="O437" i="6" s="1"/>
  <c r="O374" i="6"/>
  <c r="O373" i="6" s="1"/>
  <c r="O652" i="6" s="1"/>
  <c r="M88" i="6"/>
  <c r="L71" i="3"/>
  <c r="K40" i="3"/>
  <c r="K42" i="3"/>
  <c r="I466" i="6"/>
  <c r="I379" i="6" s="1"/>
  <c r="K379" i="6"/>
  <c r="N533" i="6"/>
  <c r="N66" i="6"/>
  <c r="N18" i="6" s="1"/>
  <c r="O164" i="3"/>
  <c r="M333" i="5"/>
  <c r="N333" i="5" s="1"/>
  <c r="N16" i="3"/>
  <c r="N14" i="3" s="1"/>
  <c r="N16" i="2" s="1"/>
  <c r="N102" i="3"/>
  <c r="P13" i="2"/>
  <c r="P92" i="3"/>
  <c r="P206" i="3" s="1"/>
  <c r="H10" i="1"/>
  <c r="H11" i="1" s="1"/>
  <c r="H24" i="1" s="1"/>
  <c r="H229" i="7"/>
  <c r="H230" i="7" s="1"/>
  <c r="H199" i="7"/>
  <c r="H200" i="7" s="1"/>
  <c r="H205" i="7"/>
  <c r="H206" i="7" s="1"/>
  <c r="H223" i="7"/>
  <c r="H224" i="7" s="1"/>
  <c r="H211" i="7"/>
  <c r="H212" i="7" s="1"/>
  <c r="H217" i="7"/>
  <c r="H218" i="7" s="1"/>
  <c r="O73" i="2"/>
  <c r="P176" i="5"/>
  <c r="O194" i="7"/>
  <c r="O195" i="7" s="1"/>
  <c r="N194" i="7"/>
  <c r="N195" i="7" s="1"/>
  <c r="M194" i="7"/>
  <c r="M195" i="7" s="1"/>
  <c r="L194" i="7"/>
  <c r="L195" i="7" s="1"/>
  <c r="Q194" i="7"/>
  <c r="Q195" i="7" s="1"/>
  <c r="P194" i="7"/>
  <c r="P195" i="7" s="1"/>
  <c r="P63" i="6"/>
  <c r="P16" i="6"/>
  <c r="L215" i="3"/>
  <c r="K60" i="6"/>
  <c r="K13" i="6"/>
  <c r="O650" i="6"/>
  <c r="O26" i="2"/>
  <c r="O316" i="6"/>
  <c r="Q116" i="3"/>
  <c r="Q18" i="3"/>
  <c r="Q17" i="3" s="1"/>
  <c r="Q17" i="2" s="1"/>
  <c r="N69" i="3"/>
  <c r="M71" i="3"/>
  <c r="M183" i="3" s="1"/>
  <c r="M68" i="3"/>
  <c r="O50" i="5"/>
  <c r="O11" i="5" s="1"/>
  <c r="K126" i="6"/>
  <c r="K44" i="2"/>
  <c r="P200" i="3"/>
  <c r="P202" i="3"/>
  <c r="L107" i="5"/>
  <c r="M102" i="5"/>
  <c r="Q236" i="7"/>
  <c r="Q237" i="7" s="1"/>
  <c r="P236" i="7"/>
  <c r="P237" i="7" s="1"/>
  <c r="O236" i="7"/>
  <c r="O237" i="7" s="1"/>
  <c r="N236" i="7"/>
  <c r="N237" i="7" s="1"/>
  <c r="M236" i="7"/>
  <c r="M237" i="7" s="1"/>
  <c r="L236" i="7"/>
  <c r="L237" i="7" s="1"/>
  <c r="P116" i="3"/>
  <c r="P18" i="3"/>
  <c r="P17" i="3" s="1"/>
  <c r="P17" i="2" s="1"/>
  <c r="P244" i="3"/>
  <c r="P234" i="3"/>
  <c r="M226" i="3"/>
  <c r="M219" i="3"/>
  <c r="M216" i="3" s="1"/>
  <c r="M653" i="6"/>
  <c r="N62" i="2"/>
  <c r="Q196" i="4"/>
  <c r="Q25" i="4" s="1"/>
  <c r="P25" i="4"/>
  <c r="M348" i="5"/>
  <c r="L354" i="5"/>
  <c r="O223" i="6"/>
  <c r="O215" i="6" s="1"/>
  <c r="J281" i="5"/>
  <c r="L470" i="6"/>
  <c r="L466" i="6"/>
  <c r="M416" i="5"/>
  <c r="M415" i="5" s="1"/>
  <c r="M377" i="5" s="1"/>
  <c r="M378" i="5" s="1"/>
  <c r="M421" i="5"/>
  <c r="N329" i="5"/>
  <c r="O86" i="5"/>
  <c r="O250" i="6"/>
  <c r="O27" i="6" s="1"/>
  <c r="O317" i="6"/>
  <c r="J38" i="4"/>
  <c r="J31" i="4"/>
  <c r="J39" i="4" s="1"/>
  <c r="N58" i="2"/>
  <c r="N242" i="7"/>
  <c r="N243" i="7" s="1"/>
  <c r="M242" i="7"/>
  <c r="M243" i="7" s="1"/>
  <c r="L242" i="7"/>
  <c r="L243" i="7" s="1"/>
  <c r="Q242" i="7"/>
  <c r="Q243" i="7" s="1"/>
  <c r="P242" i="7"/>
  <c r="P243" i="7" s="1"/>
  <c r="O242" i="7"/>
  <c r="O243" i="7" s="1"/>
  <c r="O176" i="5"/>
  <c r="Q21" i="5"/>
  <c r="P73" i="2"/>
  <c r="P331" i="6"/>
  <c r="P307" i="6" s="1"/>
  <c r="P321" i="6"/>
  <c r="P305" i="6" s="1"/>
  <c r="N475" i="6"/>
  <c r="M481" i="6"/>
  <c r="M469" i="6" s="1"/>
  <c r="M12" i="5"/>
  <c r="M11" i="2" s="1"/>
  <c r="N589" i="6" l="1"/>
  <c r="O589" i="6" s="1"/>
  <c r="P589" i="6" s="1"/>
  <c r="O590" i="6"/>
  <c r="P590" i="6" s="1"/>
  <c r="K14" i="6"/>
  <c r="M215" i="3"/>
  <c r="L439" i="5"/>
  <c r="P354" i="5"/>
  <c r="N337" i="5"/>
  <c r="P233" i="3"/>
  <c r="F111" i="2"/>
  <c r="F126" i="2" s="1"/>
  <c r="G22" i="1"/>
  <c r="G25" i="1" s="1"/>
  <c r="G125" i="2"/>
  <c r="M466" i="6"/>
  <c r="M470" i="6"/>
  <c r="H207" i="7"/>
  <c r="N532" i="6"/>
  <c r="N529" i="6" s="1"/>
  <c r="N516" i="6" s="1"/>
  <c r="O535" i="6"/>
  <c r="J399" i="5"/>
  <c r="J398" i="5" s="1"/>
  <c r="K403" i="5"/>
  <c r="J87" i="2"/>
  <c r="L180" i="3"/>
  <c r="L12" i="3"/>
  <c r="Q111" i="4"/>
  <c r="K213" i="5"/>
  <c r="L212" i="5"/>
  <c r="M212" i="5" s="1"/>
  <c r="N212" i="5" s="1"/>
  <c r="O212" i="5" s="1"/>
  <c r="P212" i="5" s="1"/>
  <c r="P248" i="6"/>
  <c r="J13" i="6"/>
  <c r="J12" i="6" s="1"/>
  <c r="J60" i="6"/>
  <c r="N57" i="2"/>
  <c r="H219" i="7"/>
  <c r="Q73" i="2"/>
  <c r="L468" i="6"/>
  <c r="L379" i="6"/>
  <c r="K378" i="6"/>
  <c r="K32" i="6"/>
  <c r="N88" i="6"/>
  <c r="L299" i="3"/>
  <c r="L280" i="3"/>
  <c r="L30" i="3" s="1"/>
  <c r="P19" i="4"/>
  <c r="P51" i="2" s="1"/>
  <c r="Q103" i="4"/>
  <c r="Q19" i="4" s="1"/>
  <c r="Q51" i="2" s="1"/>
  <c r="P436" i="6"/>
  <c r="P374" i="6"/>
  <c r="P373" i="6" s="1"/>
  <c r="P652" i="6" s="1"/>
  <c r="M177" i="5"/>
  <c r="M280" i="5"/>
  <c r="M281" i="5" s="1"/>
  <c r="P119" i="4"/>
  <c r="Q119" i="4" s="1"/>
  <c r="M439" i="5"/>
  <c r="N416" i="5"/>
  <c r="N415" i="5" s="1"/>
  <c r="N377" i="5" s="1"/>
  <c r="N378" i="5" s="1"/>
  <c r="N421" i="5"/>
  <c r="P246" i="6"/>
  <c r="P23" i="6" s="1"/>
  <c r="O216" i="6"/>
  <c r="P213" i="6" s="1"/>
  <c r="I175" i="5"/>
  <c r="I179" i="5"/>
  <c r="Q20" i="2"/>
  <c r="O244" i="6"/>
  <c r="O651" i="6" s="1"/>
  <c r="O653" i="6" s="1"/>
  <c r="O22" i="6"/>
  <c r="O58" i="2"/>
  <c r="N12" i="5"/>
  <c r="N11" i="2" s="1"/>
  <c r="O475" i="6"/>
  <c r="N481" i="6"/>
  <c r="N469" i="6" s="1"/>
  <c r="O329" i="5"/>
  <c r="O337" i="5" s="1"/>
  <c r="P86" i="5"/>
  <c r="P245" i="6"/>
  <c r="M656" i="6"/>
  <c r="M657" i="6" s="1"/>
  <c r="M654" i="6"/>
  <c r="M73" i="3"/>
  <c r="M188" i="3" s="1"/>
  <c r="O318" i="6"/>
  <c r="M114" i="5"/>
  <c r="M104" i="5" s="1"/>
  <c r="M66" i="5" s="1"/>
  <c r="M64" i="5" s="1"/>
  <c r="N348" i="5"/>
  <c r="M354" i="5"/>
  <c r="Q24" i="4"/>
  <c r="Q82" i="2"/>
  <c r="Q81" i="2" s="1"/>
  <c r="M301" i="3"/>
  <c r="M300" i="3" s="1"/>
  <c r="M66" i="3"/>
  <c r="M65" i="3" s="1"/>
  <c r="H201" i="7"/>
  <c r="M182" i="3"/>
  <c r="M157" i="3" s="1"/>
  <c r="M24" i="3" s="1"/>
  <c r="M45" i="2" s="1"/>
  <c r="H231" i="7"/>
  <c r="I378" i="6"/>
  <c r="I32" i="6"/>
  <c r="O69" i="3"/>
  <c r="N73" i="3"/>
  <c r="N188" i="3" s="1"/>
  <c r="N71" i="3"/>
  <c r="N183" i="3" s="1"/>
  <c r="N68" i="3"/>
  <c r="K12" i="6"/>
  <c r="Q16" i="6"/>
  <c r="Q15" i="6" s="1"/>
  <c r="Q26" i="2" s="1"/>
  <c r="P15" i="6"/>
  <c r="P207" i="3"/>
  <c r="P205" i="3"/>
  <c r="P291" i="5"/>
  <c r="P52" i="5"/>
  <c r="P420" i="5"/>
  <c r="P198" i="3"/>
  <c r="P197" i="3" s="1"/>
  <c r="Q84" i="3"/>
  <c r="P13" i="3"/>
  <c r="P15" i="2" s="1"/>
  <c r="P111" i="3"/>
  <c r="K525" i="6"/>
  <c r="K523" i="6" s="1"/>
  <c r="K269" i="6"/>
  <c r="K268" i="6" s="1"/>
  <c r="K274" i="6"/>
  <c r="K91" i="6"/>
  <c r="L77" i="5"/>
  <c r="L85" i="5"/>
  <c r="L75" i="5" s="1"/>
  <c r="L62" i="5" s="1"/>
  <c r="L60" i="5" s="1"/>
  <c r="K651" i="6"/>
  <c r="N656" i="6"/>
  <c r="N657" i="6" s="1"/>
  <c r="N654" i="6"/>
  <c r="O92" i="6"/>
  <c r="P164" i="3"/>
  <c r="N293" i="5"/>
  <c r="N279" i="5"/>
  <c r="P20" i="2"/>
  <c r="L334" i="5"/>
  <c r="K340" i="5"/>
  <c r="K321" i="5" s="1"/>
  <c r="J269" i="6"/>
  <c r="J274" i="6"/>
  <c r="K197" i="5"/>
  <c r="L196" i="5"/>
  <c r="M196" i="5" s="1"/>
  <c r="N196" i="5" s="1"/>
  <c r="O196" i="5" s="1"/>
  <c r="P196" i="5" s="1"/>
  <c r="O291" i="5"/>
  <c r="O52" i="5"/>
  <c r="O420" i="5"/>
  <c r="O16" i="3"/>
  <c r="O14" i="3" s="1"/>
  <c r="O16" i="2" s="1"/>
  <c r="O102" i="3"/>
  <c r="I656" i="6"/>
  <c r="I654" i="6"/>
  <c r="N666" i="6"/>
  <c r="N27" i="2"/>
  <c r="K182" i="3"/>
  <c r="J157" i="3"/>
  <c r="J24" i="3" s="1"/>
  <c r="J179" i="3"/>
  <c r="K205" i="5"/>
  <c r="L204" i="5"/>
  <c r="M204" i="5" s="1"/>
  <c r="N204" i="5" s="1"/>
  <c r="O204" i="5" s="1"/>
  <c r="P204" i="5" s="1"/>
  <c r="K28" i="4"/>
  <c r="R23" i="4"/>
  <c r="P250" i="6"/>
  <c r="P27" i="6" s="1"/>
  <c r="Q159" i="3"/>
  <c r="Q26" i="3" s="1"/>
  <c r="Q47" i="2" s="1"/>
  <c r="P26" i="3"/>
  <c r="P47" i="2" s="1"/>
  <c r="O197" i="3"/>
  <c r="K187" i="3"/>
  <c r="K158" i="3" s="1"/>
  <c r="J158" i="3"/>
  <c r="J25" i="3" s="1"/>
  <c r="J46" i="2" s="1"/>
  <c r="I13" i="6"/>
  <c r="H213" i="7"/>
  <c r="O209" i="6"/>
  <c r="O335" i="5"/>
  <c r="O62" i="2"/>
  <c r="P24" i="4"/>
  <c r="P82" i="2"/>
  <c r="P81" i="2" s="1"/>
  <c r="H225" i="7"/>
  <c r="N219" i="3"/>
  <c r="N216" i="3" s="1"/>
  <c r="N226" i="3"/>
  <c r="L183" i="3"/>
  <c r="M184" i="3" s="1"/>
  <c r="L73" i="3"/>
  <c r="L188" i="3" s="1"/>
  <c r="J69" i="5"/>
  <c r="K11" i="2"/>
  <c r="N336" i="5"/>
  <c r="O336" i="5" s="1"/>
  <c r="K222" i="5"/>
  <c r="J290" i="6"/>
  <c r="J288" i="6" s="1"/>
  <c r="J284" i="6" s="1"/>
  <c r="J242" i="6" s="1"/>
  <c r="J241" i="6" s="1"/>
  <c r="J633" i="6" s="1"/>
  <c r="J297" i="6"/>
  <c r="J298" i="6" s="1"/>
  <c r="K124" i="6"/>
  <c r="K386" i="5"/>
  <c r="J388" i="5"/>
  <c r="J387" i="5"/>
  <c r="K38" i="2"/>
  <c r="H126" i="2"/>
  <c r="H22" i="1"/>
  <c r="H25" i="1" s="1"/>
  <c r="P317" i="6" l="1"/>
  <c r="P312" i="6"/>
  <c r="M106" i="5"/>
  <c r="F22" i="1"/>
  <c r="F25" i="1" s="1"/>
  <c r="K322" i="5"/>
  <c r="K303" i="5"/>
  <c r="J321" i="5"/>
  <c r="J303" i="5" s="1"/>
  <c r="L195" i="5"/>
  <c r="L211" i="5"/>
  <c r="L210" i="5" s="1"/>
  <c r="L203" i="5"/>
  <c r="L202" i="5" s="1"/>
  <c r="L187" i="5" s="1"/>
  <c r="L78" i="5"/>
  <c r="L222" i="5" s="1"/>
  <c r="L108" i="5"/>
  <c r="M73" i="5"/>
  <c r="I87" i="2"/>
  <c r="I85" i="2" s="1"/>
  <c r="I30" i="6"/>
  <c r="M180" i="3"/>
  <c r="M12" i="3"/>
  <c r="M107" i="5"/>
  <c r="N102" i="5"/>
  <c r="M189" i="3"/>
  <c r="M187" i="3"/>
  <c r="M158" i="3" s="1"/>
  <c r="M25" i="3" s="1"/>
  <c r="M46" i="2" s="1"/>
  <c r="Q23" i="6"/>
  <c r="Q58" i="2" s="1"/>
  <c r="P58" i="2"/>
  <c r="K87" i="2"/>
  <c r="D429" i="5"/>
  <c r="J375" i="5"/>
  <c r="K388" i="5"/>
  <c r="K309" i="5" s="1"/>
  <c r="K306" i="5" s="1"/>
  <c r="J309" i="5"/>
  <c r="J306" i="5" s="1"/>
  <c r="L29" i="3"/>
  <c r="L78" i="2"/>
  <c r="L77" i="2" s="1"/>
  <c r="K668" i="6"/>
  <c r="P110" i="4"/>
  <c r="M334" i="5"/>
  <c r="L340" i="5"/>
  <c r="L321" i="5" s="1"/>
  <c r="P293" i="5"/>
  <c r="P279" i="5"/>
  <c r="K290" i="6"/>
  <c r="K288" i="6" s="1"/>
  <c r="K297" i="6"/>
  <c r="K298" i="6" s="1"/>
  <c r="K125" i="6"/>
  <c r="Q27" i="6"/>
  <c r="Q62" i="2" s="1"/>
  <c r="P62" i="2"/>
  <c r="N301" i="3"/>
  <c r="N300" i="3" s="1"/>
  <c r="N66" i="3"/>
  <c r="N65" i="3" s="1"/>
  <c r="L14" i="2"/>
  <c r="L12" i="2" s="1"/>
  <c r="L8" i="3"/>
  <c r="N492" i="6"/>
  <c r="N493" i="6" s="1"/>
  <c r="K79" i="6"/>
  <c r="J91" i="6"/>
  <c r="J79" i="6" s="1"/>
  <c r="J80" i="6" s="1"/>
  <c r="K632" i="6"/>
  <c r="K25" i="2"/>
  <c r="J45" i="2"/>
  <c r="J43" i="2" s="1"/>
  <c r="J22" i="3"/>
  <c r="O219" i="3"/>
  <c r="O216" i="3" s="1"/>
  <c r="O226" i="3"/>
  <c r="N182" i="3"/>
  <c r="N157" i="3" s="1"/>
  <c r="N24" i="3" s="1"/>
  <c r="N45" i="2" s="1"/>
  <c r="N184" i="3"/>
  <c r="O338" i="5"/>
  <c r="Q146" i="6"/>
  <c r="Q147" i="6" s="1"/>
  <c r="L146" i="6" s="1"/>
  <c r="P329" i="5"/>
  <c r="P339" i="5" s="1"/>
  <c r="K127" i="6"/>
  <c r="O293" i="5"/>
  <c r="O279" i="5"/>
  <c r="P92" i="6"/>
  <c r="I668" i="6"/>
  <c r="I382" i="6"/>
  <c r="N215" i="3"/>
  <c r="J68" i="5"/>
  <c r="J49" i="5"/>
  <c r="O533" i="6"/>
  <c r="O66" i="6"/>
  <c r="O18" i="6" s="1"/>
  <c r="K157" i="3"/>
  <c r="K179" i="3"/>
  <c r="Q13" i="3"/>
  <c r="Q15" i="2" s="1"/>
  <c r="N187" i="3"/>
  <c r="N158" i="3" s="1"/>
  <c r="N25" i="3" s="1"/>
  <c r="N46" i="2" s="1"/>
  <c r="N189" i="3"/>
  <c r="N439" i="5"/>
  <c r="I13" i="5"/>
  <c r="L156" i="3"/>
  <c r="L23" i="3" s="1"/>
  <c r="Q111" i="3"/>
  <c r="Q104" i="3" s="1"/>
  <c r="P104" i="3"/>
  <c r="M299" i="3"/>
  <c r="M280" i="3"/>
  <c r="M30" i="3" s="1"/>
  <c r="P650" i="6"/>
  <c r="P26" i="2"/>
  <c r="P316" i="6"/>
  <c r="P313" i="6"/>
  <c r="P244" i="6"/>
  <c r="P651" i="6" s="1"/>
  <c r="P22" i="6"/>
  <c r="J632" i="6"/>
  <c r="J635" i="6" s="1"/>
  <c r="J638" i="6" s="1"/>
  <c r="J25" i="2"/>
  <c r="P315" i="6"/>
  <c r="K25" i="3"/>
  <c r="L189" i="3"/>
  <c r="L187" i="3"/>
  <c r="L158" i="3" s="1"/>
  <c r="L25" i="3" s="1"/>
  <c r="L46" i="2" s="1"/>
  <c r="N177" i="5"/>
  <c r="N280" i="5"/>
  <c r="N281" i="5" s="1"/>
  <c r="P69" i="3"/>
  <c r="O71" i="3"/>
  <c r="O183" i="3" s="1"/>
  <c r="O68" i="3"/>
  <c r="K653" i="6"/>
  <c r="J268" i="6"/>
  <c r="K263" i="6"/>
  <c r="K275" i="6"/>
  <c r="P421" i="5"/>
  <c r="P416" i="5"/>
  <c r="P415" i="5" s="1"/>
  <c r="P377" i="5" s="1"/>
  <c r="P378" i="5" s="1"/>
  <c r="O348" i="5"/>
  <c r="O354" i="5" s="1"/>
  <c r="N354" i="5"/>
  <c r="O656" i="6"/>
  <c r="O657" i="6" s="1"/>
  <c r="O654" i="6"/>
  <c r="P314" i="6"/>
  <c r="N466" i="6"/>
  <c r="N470" i="6"/>
  <c r="O57" i="2"/>
  <c r="P437" i="6"/>
  <c r="L182" i="3"/>
  <c r="L157" i="3" s="1"/>
  <c r="L24" i="3" s="1"/>
  <c r="L45" i="2" s="1"/>
  <c r="L184" i="3"/>
  <c r="R28" i="4"/>
  <c r="K38" i="4"/>
  <c r="K31" i="4"/>
  <c r="O421" i="5"/>
  <c r="O416" i="5"/>
  <c r="O415" i="5" s="1"/>
  <c r="K387" i="5"/>
  <c r="K178" i="5" s="1"/>
  <c r="K174" i="5" s="1"/>
  <c r="K175" i="5" s="1"/>
  <c r="J178" i="5"/>
  <c r="J174" i="5" s="1"/>
  <c r="J175" i="5" s="1"/>
  <c r="O12" i="5"/>
  <c r="O11" i="2" s="1"/>
  <c r="L59" i="5"/>
  <c r="J523" i="6"/>
  <c r="K515" i="6"/>
  <c r="P12" i="5"/>
  <c r="P475" i="6"/>
  <c r="P481" i="6" s="1"/>
  <c r="P469" i="6" s="1"/>
  <c r="O481" i="6"/>
  <c r="O469" i="6" s="1"/>
  <c r="P223" i="6"/>
  <c r="P215" i="6" s="1"/>
  <c r="P209" i="6" s="1"/>
  <c r="O88" i="6"/>
  <c r="K404" i="5"/>
  <c r="K399" i="5"/>
  <c r="K398" i="5" s="1"/>
  <c r="M468" i="6"/>
  <c r="M379" i="6"/>
  <c r="P318" i="6" l="1"/>
  <c r="O215" i="3"/>
  <c r="P533" i="6"/>
  <c r="P532" i="6" s="1"/>
  <c r="P529" i="6" s="1"/>
  <c r="P516" i="6" s="1"/>
  <c r="P492" i="6" s="1"/>
  <c r="P493" i="6" s="1"/>
  <c r="P66" i="6"/>
  <c r="P18" i="6" s="1"/>
  <c r="N180" i="3"/>
  <c r="N12" i="3"/>
  <c r="Q110" i="4"/>
  <c r="J429" i="5"/>
  <c r="J435" i="5" s="1"/>
  <c r="J383" i="5" s="1"/>
  <c r="M14" i="2"/>
  <c r="M12" i="2" s="1"/>
  <c r="M8" i="3"/>
  <c r="R31" i="4"/>
  <c r="K39" i="4"/>
  <c r="L179" i="3"/>
  <c r="P88" i="6"/>
  <c r="O301" i="3"/>
  <c r="O300" i="3" s="1"/>
  <c r="O66" i="3"/>
  <c r="O65" i="3" s="1"/>
  <c r="P653" i="6"/>
  <c r="O532" i="6"/>
  <c r="O529" i="6" s="1"/>
  <c r="O516" i="6" s="1"/>
  <c r="P535" i="6"/>
  <c r="O177" i="5"/>
  <c r="O280" i="5"/>
  <c r="O281" i="5" s="1"/>
  <c r="K73" i="6"/>
  <c r="K80" i="6"/>
  <c r="N299" i="3"/>
  <c r="N280" i="3"/>
  <c r="N30" i="3" s="1"/>
  <c r="I288" i="6"/>
  <c r="I284" i="6" s="1"/>
  <c r="I242" i="6" s="1"/>
  <c r="K284" i="6"/>
  <c r="K242" i="6" s="1"/>
  <c r="M29" i="3"/>
  <c r="M78" i="2"/>
  <c r="M77" i="2" s="1"/>
  <c r="J10" i="5"/>
  <c r="J48" i="5"/>
  <c r="J376" i="5" s="1"/>
  <c r="K49" i="5"/>
  <c r="K48" i="5" s="1"/>
  <c r="M146" i="6"/>
  <c r="L145" i="6"/>
  <c r="L136" i="6" s="1"/>
  <c r="J41" i="3"/>
  <c r="J28" i="3"/>
  <c r="J33" i="3" s="1"/>
  <c r="P177" i="5"/>
  <c r="P280" i="5"/>
  <c r="P281" i="5" s="1"/>
  <c r="M179" i="3"/>
  <c r="M156" i="3"/>
  <c r="M23" i="3" s="1"/>
  <c r="L188" i="5"/>
  <c r="J515" i="6"/>
  <c r="J524" i="6"/>
  <c r="Q12" i="5"/>
  <c r="Q11" i="2" s="1"/>
  <c r="P11" i="2"/>
  <c r="N468" i="6"/>
  <c r="N379" i="6"/>
  <c r="O182" i="3"/>
  <c r="O157" i="3" s="1"/>
  <c r="O24" i="3" s="1"/>
  <c r="O45" i="2" s="1"/>
  <c r="O184" i="3"/>
  <c r="Q22" i="6"/>
  <c r="Q57" i="2" s="1"/>
  <c r="P57" i="2"/>
  <c r="P216" i="6"/>
  <c r="K238" i="6"/>
  <c r="O73" i="3"/>
  <c r="O188" i="3" s="1"/>
  <c r="I33" i="5"/>
  <c r="I19" i="5"/>
  <c r="I25" i="5" s="1"/>
  <c r="P338" i="5"/>
  <c r="I44" i="6"/>
  <c r="L245" i="5"/>
  <c r="L244" i="5" s="1"/>
  <c r="L238" i="5" s="1"/>
  <c r="L194" i="5"/>
  <c r="L186" i="5" s="1"/>
  <c r="J275" i="6"/>
  <c r="J263" i="6"/>
  <c r="J238" i="6" s="1"/>
  <c r="K46" i="2"/>
  <c r="P16" i="3"/>
  <c r="P14" i="3" s="1"/>
  <c r="P16" i="2" s="1"/>
  <c r="P102" i="3"/>
  <c r="L322" i="5"/>
  <c r="L303" i="5"/>
  <c r="L42" i="3"/>
  <c r="I80" i="7"/>
  <c r="I74" i="7" s="1"/>
  <c r="J22" i="5"/>
  <c r="P71" i="3"/>
  <c r="P183" i="3" s="1"/>
  <c r="P68" i="3"/>
  <c r="N334" i="5"/>
  <c r="M340" i="5"/>
  <c r="M321" i="5" s="1"/>
  <c r="J307" i="5"/>
  <c r="M85" i="5"/>
  <c r="M75" i="5" s="1"/>
  <c r="M62" i="5" s="1"/>
  <c r="M60" i="5" s="1"/>
  <c r="K22" i="5"/>
  <c r="K24" i="3"/>
  <c r="L40" i="3"/>
  <c r="L97" i="4" s="1"/>
  <c r="L96" i="4" s="1"/>
  <c r="L403" i="5"/>
  <c r="L69" i="5"/>
  <c r="Q16" i="3"/>
  <c r="Q14" i="3" s="1"/>
  <c r="Q16" i="2" s="1"/>
  <c r="Q102" i="3"/>
  <c r="O666" i="6"/>
  <c r="O27" i="2"/>
  <c r="K375" i="5"/>
  <c r="O466" i="6"/>
  <c r="O470" i="6"/>
  <c r="O377" i="5"/>
  <c r="O378" i="5" s="1"/>
  <c r="D440" i="5" a="1"/>
  <c r="K656" i="6"/>
  <c r="K657" i="6" s="1"/>
  <c r="K654" i="6"/>
  <c r="P336" i="5"/>
  <c r="P335" i="5"/>
  <c r="K307" i="5"/>
  <c r="O439" i="5"/>
  <c r="P439" i="5" s="1"/>
  <c r="N114" i="5"/>
  <c r="N104" i="5" s="1"/>
  <c r="N66" i="5" s="1"/>
  <c r="N64" i="5" s="1"/>
  <c r="P466" i="6"/>
  <c r="P470" i="6"/>
  <c r="L22" i="3"/>
  <c r="L41" i="3" s="1"/>
  <c r="L44" i="2"/>
  <c r="L43" i="2" s="1"/>
  <c r="J379" i="5"/>
  <c r="L251" i="5"/>
  <c r="L221" i="5"/>
  <c r="P337" i="5"/>
  <c r="M42" i="3" l="1"/>
  <c r="P340" i="5"/>
  <c r="P321" i="5" s="1"/>
  <c r="N106" i="5"/>
  <c r="P219" i="3"/>
  <c r="P216" i="3" s="1"/>
  <c r="P226" i="3"/>
  <c r="O180" i="3"/>
  <c r="O12" i="3"/>
  <c r="P303" i="5"/>
  <c r="L220" i="5"/>
  <c r="L219" i="5" s="1"/>
  <c r="L189" i="5" s="1"/>
  <c r="L191" i="5" s="1"/>
  <c r="L254" i="5"/>
  <c r="L250" i="5"/>
  <c r="O468" i="6"/>
  <c r="O379" i="6"/>
  <c r="M59" i="5"/>
  <c r="L404" i="5"/>
  <c r="L399" i="5"/>
  <c r="L398" i="5" s="1"/>
  <c r="M77" i="5"/>
  <c r="J36" i="3"/>
  <c r="J44" i="3" s="1"/>
  <c r="J43" i="3"/>
  <c r="O299" i="3"/>
  <c r="O280" i="3"/>
  <c r="O30" i="3" s="1"/>
  <c r="N14" i="2"/>
  <c r="N12" i="2" s="1"/>
  <c r="N8" i="3"/>
  <c r="P301" i="3"/>
  <c r="P300" i="3" s="1"/>
  <c r="P66" i="3"/>
  <c r="P65" i="3" s="1"/>
  <c r="M322" i="5"/>
  <c r="M303" i="5"/>
  <c r="P468" i="6"/>
  <c r="P379" i="6"/>
  <c r="N107" i="5"/>
  <c r="O102" i="5"/>
  <c r="K379" i="5"/>
  <c r="K376" i="5"/>
  <c r="L49" i="5"/>
  <c r="D443" i="5"/>
  <c r="D442" i="5"/>
  <c r="D441" i="5"/>
  <c r="D440" i="5"/>
  <c r="D444" i="5"/>
  <c r="P444" i="5" s="1"/>
  <c r="L93" i="4"/>
  <c r="K241" i="6"/>
  <c r="L130" i="6"/>
  <c r="L137" i="6"/>
  <c r="I241" i="6"/>
  <c r="I21" i="6"/>
  <c r="N179" i="3"/>
  <c r="N156" i="3"/>
  <c r="N23" i="3" s="1"/>
  <c r="P182" i="3"/>
  <c r="P157" i="3" s="1"/>
  <c r="P184" i="3"/>
  <c r="K21" i="6"/>
  <c r="N146" i="6"/>
  <c r="N29" i="3"/>
  <c r="N78" i="2"/>
  <c r="N77" i="2" s="1"/>
  <c r="O492" i="6"/>
  <c r="O493" i="6" s="1"/>
  <c r="D555" i="6" a="1"/>
  <c r="K383" i="5"/>
  <c r="J389" i="5"/>
  <c r="J26" i="5" s="1"/>
  <c r="J101" i="2" s="1"/>
  <c r="J385" i="5"/>
  <c r="J384" i="5"/>
  <c r="J456" i="5"/>
  <c r="M22" i="3"/>
  <c r="M41" i="3" s="1"/>
  <c r="M44" i="2"/>
  <c r="M43" i="2" s="1"/>
  <c r="K451" i="5"/>
  <c r="K53" i="5"/>
  <c r="K256" i="5"/>
  <c r="K217" i="5"/>
  <c r="K357" i="6" s="1"/>
  <c r="K356" i="6" s="1"/>
  <c r="L429" i="5"/>
  <c r="P666" i="6"/>
  <c r="Q18" i="6"/>
  <c r="Q27" i="2" s="1"/>
  <c r="P27" i="2"/>
  <c r="L28" i="3"/>
  <c r="L33" i="3" s="1"/>
  <c r="K45" i="2"/>
  <c r="K22" i="3"/>
  <c r="J21" i="6"/>
  <c r="O334" i="5"/>
  <c r="O340" i="5" s="1"/>
  <c r="O321" i="5" s="1"/>
  <c r="P322" i="5" s="1"/>
  <c r="N340" i="5"/>
  <c r="N321" i="5" s="1"/>
  <c r="P73" i="3"/>
  <c r="P188" i="3" s="1"/>
  <c r="J27" i="5"/>
  <c r="J113" i="2" s="1"/>
  <c r="L22" i="5"/>
  <c r="J451" i="5"/>
  <c r="J53" i="5"/>
  <c r="J380" i="5" s="1"/>
  <c r="J256" i="5"/>
  <c r="L77" i="6"/>
  <c r="O187" i="3"/>
  <c r="O158" i="3" s="1"/>
  <c r="O25" i="3" s="1"/>
  <c r="O46" i="2" s="1"/>
  <c r="O189" i="3"/>
  <c r="K74" i="2"/>
  <c r="J74" i="2"/>
  <c r="L170" i="5"/>
  <c r="L15" i="5" s="1"/>
  <c r="L39" i="2" s="1"/>
  <c r="I28" i="5"/>
  <c r="I36" i="5" s="1"/>
  <c r="I35" i="5"/>
  <c r="J9" i="5"/>
  <c r="K10" i="5"/>
  <c r="L522" i="6"/>
  <c r="K519" i="6"/>
  <c r="J73" i="6"/>
  <c r="K58" i="6"/>
  <c r="P656" i="6"/>
  <c r="P657" i="6" s="1"/>
  <c r="P654" i="6"/>
  <c r="M40" i="3"/>
  <c r="M97" i="4" s="1"/>
  <c r="M96" i="4" s="1"/>
  <c r="N42" i="3" l="1"/>
  <c r="M28" i="3"/>
  <c r="M33" i="3" s="1"/>
  <c r="M36" i="3" s="1"/>
  <c r="M44" i="3" s="1"/>
  <c r="M93" i="4"/>
  <c r="P187" i="3"/>
  <c r="P158" i="3" s="1"/>
  <c r="P189" i="3"/>
  <c r="K353" i="6"/>
  <c r="K253" i="6" s="1"/>
  <c r="J356" i="6"/>
  <c r="J353" i="6" s="1"/>
  <c r="J253" i="6" s="1"/>
  <c r="K384" i="5"/>
  <c r="K173" i="5" s="1"/>
  <c r="J173" i="5"/>
  <c r="O146" i="6"/>
  <c r="K633" i="6"/>
  <c r="N442" i="5"/>
  <c r="O442" i="5" s="1"/>
  <c r="P442" i="5" s="1"/>
  <c r="N40" i="3"/>
  <c r="N97" i="4" s="1"/>
  <c r="N96" i="4" s="1"/>
  <c r="O14" i="2"/>
  <c r="O12" i="2" s="1"/>
  <c r="O8" i="3"/>
  <c r="M441" i="5"/>
  <c r="N441" i="5" s="1"/>
  <c r="O441" i="5" s="1"/>
  <c r="P441" i="5" s="1"/>
  <c r="O114" i="5"/>
  <c r="O104" i="5" s="1"/>
  <c r="O66" i="5" s="1"/>
  <c r="O64" i="5" s="1"/>
  <c r="L375" i="5"/>
  <c r="J519" i="6"/>
  <c r="J514" i="6" s="1"/>
  <c r="K514" i="6"/>
  <c r="K513" i="6" s="1"/>
  <c r="K490" i="6" s="1"/>
  <c r="L169" i="5"/>
  <c r="N322" i="5"/>
  <c r="N303" i="5"/>
  <c r="L36" i="3"/>
  <c r="L44" i="3" s="1"/>
  <c r="L43" i="3"/>
  <c r="K385" i="5"/>
  <c r="K304" i="5" s="1"/>
  <c r="J304" i="5"/>
  <c r="O443" i="5"/>
  <c r="P443" i="5" s="1"/>
  <c r="O29" i="3"/>
  <c r="O78" i="2"/>
  <c r="O77" i="2" s="1"/>
  <c r="M403" i="5"/>
  <c r="M69" i="5"/>
  <c r="O179" i="3"/>
  <c r="O156" i="3"/>
  <c r="O23" i="3" s="1"/>
  <c r="K56" i="2"/>
  <c r="J56" i="2"/>
  <c r="K389" i="5"/>
  <c r="K26" i="5" s="1"/>
  <c r="K456" i="5"/>
  <c r="K464" i="5" s="1"/>
  <c r="I633" i="6"/>
  <c r="K57" i="6"/>
  <c r="K10" i="6"/>
  <c r="K266" i="6"/>
  <c r="O322" i="5"/>
  <c r="O303" i="5"/>
  <c r="L74" i="2"/>
  <c r="J58" i="6"/>
  <c r="J8" i="5"/>
  <c r="J10" i="2"/>
  <c r="J9" i="2" s="1"/>
  <c r="J359" i="5"/>
  <c r="J242" i="5"/>
  <c r="J401" i="5"/>
  <c r="K459" i="5"/>
  <c r="D558" i="6"/>
  <c r="D557" i="6"/>
  <c r="D556" i="6"/>
  <c r="D555" i="6"/>
  <c r="D559" i="6"/>
  <c r="P559" i="6" s="1"/>
  <c r="L418" i="6"/>
  <c r="L417" i="6"/>
  <c r="L416" i="6" s="1"/>
  <c r="L412" i="6" s="1"/>
  <c r="L371" i="6" s="1"/>
  <c r="L159" i="6"/>
  <c r="L162" i="6" s="1"/>
  <c r="M134" i="6"/>
  <c r="L189" i="4"/>
  <c r="L104" i="4" s="1"/>
  <c r="L20" i="4" s="1"/>
  <c r="L52" i="2" s="1"/>
  <c r="L182" i="4"/>
  <c r="L16" i="4"/>
  <c r="L13" i="4" s="1"/>
  <c r="L88" i="4"/>
  <c r="L87" i="4" s="1"/>
  <c r="M22" i="5"/>
  <c r="P22" i="5"/>
  <c r="I56" i="2"/>
  <c r="L48" i="5"/>
  <c r="L10" i="5"/>
  <c r="K233" i="5"/>
  <c r="K216" i="5"/>
  <c r="K225" i="5"/>
  <c r="K208" i="5"/>
  <c r="K200" i="5"/>
  <c r="K9" i="5"/>
  <c r="M429" i="5"/>
  <c r="L111" i="6"/>
  <c r="L113" i="6" s="1"/>
  <c r="L105" i="6" s="1"/>
  <c r="L107" i="6" s="1"/>
  <c r="L83" i="6"/>
  <c r="L78" i="6" s="1"/>
  <c r="K41" i="3"/>
  <c r="K28" i="3"/>
  <c r="L61" i="6"/>
  <c r="L239" i="5"/>
  <c r="K43" i="2"/>
  <c r="Q157" i="3"/>
  <c r="Q24" i="3" s="1"/>
  <c r="Q45" i="2" s="1"/>
  <c r="P24" i="3"/>
  <c r="P45" i="2" s="1"/>
  <c r="L440" i="5"/>
  <c r="L445" i="5" s="1"/>
  <c r="L386" i="5" s="1"/>
  <c r="K380" i="5"/>
  <c r="K27" i="5"/>
  <c r="P180" i="3"/>
  <c r="Q65" i="3"/>
  <c r="P12" i="3"/>
  <c r="M211" i="5"/>
  <c r="M210" i="5" s="1"/>
  <c r="M203" i="5"/>
  <c r="M202" i="5" s="1"/>
  <c r="M187" i="5" s="1"/>
  <c r="M195" i="5"/>
  <c r="M78" i="5"/>
  <c r="M222" i="5" s="1"/>
  <c r="M108" i="5"/>
  <c r="N73" i="5"/>
  <c r="L359" i="5"/>
  <c r="L357" i="5" s="1"/>
  <c r="L253" i="5"/>
  <c r="N22" i="3"/>
  <c r="N41" i="3" s="1"/>
  <c r="N44" i="2"/>
  <c r="N43" i="2" s="1"/>
  <c r="P299" i="3"/>
  <c r="P280" i="3"/>
  <c r="P215" i="3"/>
  <c r="M43" i="3" l="1"/>
  <c r="N93" i="4"/>
  <c r="K113" i="2"/>
  <c r="L388" i="5"/>
  <c r="L309" i="5" s="1"/>
  <c r="L306" i="5" s="1"/>
  <c r="L387" i="5"/>
  <c r="L178" i="5" s="1"/>
  <c r="L174" i="5" s="1"/>
  <c r="L175" i="5" s="1"/>
  <c r="L13" i="6"/>
  <c r="P14" i="2"/>
  <c r="P12" i="2" s="1"/>
  <c r="P8" i="3"/>
  <c r="L22" i="2"/>
  <c r="L19" i="2" s="1"/>
  <c r="L8" i="4"/>
  <c r="L555" i="6"/>
  <c r="L560" i="6" s="1"/>
  <c r="L501" i="6" s="1"/>
  <c r="O22" i="5"/>
  <c r="I635" i="6"/>
  <c r="I638" i="6" s="1"/>
  <c r="J252" i="6"/>
  <c r="J667" i="6" s="1"/>
  <c r="J669" i="6" s="1"/>
  <c r="J25" i="6"/>
  <c r="K33" i="3"/>
  <c r="L305" i="5"/>
  <c r="L23" i="5" s="1"/>
  <c r="N85" i="5"/>
  <c r="N75" i="5" s="1"/>
  <c r="N62" i="5" s="1"/>
  <c r="N60" i="5" s="1"/>
  <c r="Q12" i="3"/>
  <c r="L181" i="4"/>
  <c r="L102" i="4"/>
  <c r="L18" i="4" s="1"/>
  <c r="M556" i="6"/>
  <c r="N556" i="6"/>
  <c r="O556" i="6" s="1"/>
  <c r="P556" i="6" s="1"/>
  <c r="L14" i="5"/>
  <c r="O106" i="5"/>
  <c r="K252" i="6"/>
  <c r="K25" i="6"/>
  <c r="Q280" i="3"/>
  <c r="Q30" i="3" s="1"/>
  <c r="P30" i="3"/>
  <c r="O22" i="3"/>
  <c r="O41" i="3" s="1"/>
  <c r="O44" i="2"/>
  <c r="O43" i="2" s="1"/>
  <c r="J24" i="5"/>
  <c r="J300" i="5"/>
  <c r="O40" i="3"/>
  <c r="O97" i="4" s="1"/>
  <c r="O96" i="4" s="1"/>
  <c r="I356" i="6"/>
  <c r="I353" i="6" s="1"/>
  <c r="I253" i="6" s="1"/>
  <c r="N557" i="6"/>
  <c r="K101" i="2"/>
  <c r="M251" i="5"/>
  <c r="M221" i="5"/>
  <c r="Q22" i="5"/>
  <c r="P74" i="2"/>
  <c r="M145" i="6"/>
  <c r="M136" i="6" s="1"/>
  <c r="M130" i="6" s="1"/>
  <c r="O558" i="6"/>
  <c r="P558" i="6" s="1"/>
  <c r="J32" i="5"/>
  <c r="K9" i="6"/>
  <c r="K24" i="5"/>
  <c r="K300" i="5"/>
  <c r="K494" i="6"/>
  <c r="J490" i="6"/>
  <c r="K491" i="6"/>
  <c r="K635" i="6"/>
  <c r="K400" i="6"/>
  <c r="K402" i="6" s="1"/>
  <c r="K67" i="6"/>
  <c r="M49" i="5"/>
  <c r="P146" i="6"/>
  <c r="Q158" i="3"/>
  <c r="Q25" i="3" s="1"/>
  <c r="Q46" i="2" s="1"/>
  <c r="P25" i="3"/>
  <c r="P46" i="2" s="1"/>
  <c r="P179" i="3"/>
  <c r="P156" i="3"/>
  <c r="L171" i="5"/>
  <c r="L16" i="5" s="1"/>
  <c r="L40" i="2" s="1"/>
  <c r="L525" i="6"/>
  <c r="L523" i="6" s="1"/>
  <c r="L515" i="6" s="1"/>
  <c r="L269" i="6"/>
  <c r="L268" i="6" s="1"/>
  <c r="L274" i="6"/>
  <c r="M74" i="2"/>
  <c r="L370" i="6"/>
  <c r="L634" i="6" s="1"/>
  <c r="L31" i="6"/>
  <c r="J57" i="6"/>
  <c r="J10" i="6"/>
  <c r="M404" i="5"/>
  <c r="M399" i="5"/>
  <c r="M398" i="5" s="1"/>
  <c r="N28" i="3"/>
  <c r="N33" i="3" s="1"/>
  <c r="N22" i="5"/>
  <c r="L379" i="5"/>
  <c r="L376" i="5"/>
  <c r="N429" i="5"/>
  <c r="J18" i="5"/>
  <c r="J167" i="5"/>
  <c r="M245" i="5"/>
  <c r="M244" i="5" s="1"/>
  <c r="M238" i="5" s="1"/>
  <c r="M194" i="5"/>
  <c r="M186" i="5" s="1"/>
  <c r="L62" i="6"/>
  <c r="L14" i="6" s="1"/>
  <c r="L91" i="6"/>
  <c r="L79" i="6" s="1"/>
  <c r="L73" i="6" s="1"/>
  <c r="L233" i="5"/>
  <c r="L216" i="5"/>
  <c r="L225" i="5"/>
  <c r="L208" i="5"/>
  <c r="L200" i="5"/>
  <c r="L9" i="5"/>
  <c r="L256" i="5"/>
  <c r="L240" i="5"/>
  <c r="L172" i="5" s="1"/>
  <c r="L17" i="5" s="1"/>
  <c r="L41" i="2" s="1"/>
  <c r="M188" i="5"/>
  <c r="M440" i="5"/>
  <c r="L124" i="6"/>
  <c r="L59" i="6"/>
  <c r="L11" i="6" s="1"/>
  <c r="K359" i="5"/>
  <c r="K325" i="5"/>
  <c r="I326" i="5" s="1"/>
  <c r="K8" i="5"/>
  <c r="K10" i="2"/>
  <c r="K242" i="5"/>
  <c r="K401" i="5"/>
  <c r="L451" i="5"/>
  <c r="L53" i="5"/>
  <c r="L217" i="5"/>
  <c r="L357" i="6" s="1"/>
  <c r="L356" i="6" s="1"/>
  <c r="L353" i="6" s="1"/>
  <c r="L253" i="6" s="1"/>
  <c r="O42" i="3"/>
  <c r="K18" i="5"/>
  <c r="K167" i="5"/>
  <c r="M189" i="4"/>
  <c r="M104" i="4" s="1"/>
  <c r="M20" i="4" s="1"/>
  <c r="M52" i="2" s="1"/>
  <c r="M16" i="4"/>
  <c r="M13" i="4" s="1"/>
  <c r="M182" i="4"/>
  <c r="M88" i="4"/>
  <c r="M87" i="4" s="1"/>
  <c r="J9" i="6" l="1"/>
  <c r="M137" i="6"/>
  <c r="L241" i="5"/>
  <c r="N77" i="5"/>
  <c r="O28" i="3"/>
  <c r="O33" i="3" s="1"/>
  <c r="O43" i="3" s="1"/>
  <c r="M522" i="6"/>
  <c r="L519" i="6"/>
  <c r="L514" i="6" s="1"/>
  <c r="L513" i="6" s="1"/>
  <c r="L58" i="6"/>
  <c r="O93" i="4"/>
  <c r="M181" i="4"/>
  <c r="M102" i="4"/>
  <c r="M18" i="4" s="1"/>
  <c r="K32" i="5"/>
  <c r="K30" i="5"/>
  <c r="K42" i="2"/>
  <c r="L38" i="2"/>
  <c r="P23" i="3"/>
  <c r="Q156" i="3"/>
  <c r="Q23" i="3" s="1"/>
  <c r="Q74" i="2"/>
  <c r="K495" i="6"/>
  <c r="K37" i="6"/>
  <c r="M254" i="5"/>
  <c r="M250" i="5"/>
  <c r="O429" i="5"/>
  <c r="P429" i="5" s="1"/>
  <c r="J615" i="6"/>
  <c r="J8" i="6"/>
  <c r="J24" i="2"/>
  <c r="J23" i="2" s="1"/>
  <c r="K638" i="6"/>
  <c r="K639" i="6" s="1"/>
  <c r="K636" i="6"/>
  <c r="K453" i="5"/>
  <c r="K310" i="5"/>
  <c r="K301" i="5"/>
  <c r="O557" i="6"/>
  <c r="P557" i="6" s="1"/>
  <c r="Q14" i="2"/>
  <c r="Q12" i="2" s="1"/>
  <c r="Q8" i="3"/>
  <c r="L35" i="4"/>
  <c r="L37" i="4"/>
  <c r="L307" i="5"/>
  <c r="M22" i="2"/>
  <c r="M19" i="2" s="1"/>
  <c r="M8" i="4"/>
  <c r="M170" i="5"/>
  <c r="M15" i="5" s="1"/>
  <c r="M39" i="2" s="1"/>
  <c r="J452" i="5"/>
  <c r="J179" i="5"/>
  <c r="J13" i="5" s="1"/>
  <c r="J168" i="5"/>
  <c r="J453" i="5"/>
  <c r="J310" i="5"/>
  <c r="J301" i="5"/>
  <c r="K452" i="5"/>
  <c r="K179" i="5"/>
  <c r="K168" i="5"/>
  <c r="L297" i="6"/>
  <c r="L298" i="6" s="1"/>
  <c r="L290" i="6"/>
  <c r="L288" i="6" s="1"/>
  <c r="L284" i="6" s="1"/>
  <c r="L242" i="6" s="1"/>
  <c r="L241" i="6" s="1"/>
  <c r="L633" i="6" s="1"/>
  <c r="L125" i="6"/>
  <c r="L380" i="5"/>
  <c r="L27" i="5"/>
  <c r="L113" i="2" s="1"/>
  <c r="J400" i="6"/>
  <c r="J402" i="6" s="1"/>
  <c r="J67" i="6"/>
  <c r="L263" i="6"/>
  <c r="L275" i="6"/>
  <c r="K76" i="2"/>
  <c r="K20" i="5"/>
  <c r="M61" i="6"/>
  <c r="P29" i="3"/>
  <c r="P42" i="3" s="1"/>
  <c r="P78" i="2"/>
  <c r="P77" i="2" s="1"/>
  <c r="K36" i="3"/>
  <c r="K44" i="3" s="1"/>
  <c r="K43" i="3"/>
  <c r="L25" i="6"/>
  <c r="N36" i="3"/>
  <c r="N44" i="3" s="1"/>
  <c r="N43" i="3"/>
  <c r="I268" i="5"/>
  <c r="J268" i="5" s="1"/>
  <c r="I266" i="5"/>
  <c r="J266" i="5" s="1"/>
  <c r="I264" i="5"/>
  <c r="J264" i="5" s="1"/>
  <c r="I262" i="5"/>
  <c r="J262" i="5" s="1"/>
  <c r="I260" i="5"/>
  <c r="J260" i="5" s="1"/>
  <c r="I258" i="5"/>
  <c r="J258" i="5" s="1"/>
  <c r="K9" i="2"/>
  <c r="M445" i="5"/>
  <c r="M386" i="5" s="1"/>
  <c r="L86" i="2"/>
  <c r="M418" i="6"/>
  <c r="M417" i="6"/>
  <c r="M416" i="6" s="1"/>
  <c r="M412" i="6" s="1"/>
  <c r="M371" i="6" s="1"/>
  <c r="M159" i="6"/>
  <c r="M162" i="6" s="1"/>
  <c r="M124" i="6" s="1"/>
  <c r="N134" i="6"/>
  <c r="I252" i="6"/>
  <c r="I25" i="6"/>
  <c r="Q29" i="3"/>
  <c r="Q78" i="2"/>
  <c r="Q77" i="2" s="1"/>
  <c r="N59" i="5"/>
  <c r="O74" i="2"/>
  <c r="L8" i="5"/>
  <c r="L10" i="2"/>
  <c r="L9" i="2" s="1"/>
  <c r="L401" i="5"/>
  <c r="N74" i="2"/>
  <c r="L242" i="5"/>
  <c r="M10" i="5"/>
  <c r="M48" i="5"/>
  <c r="K615" i="6"/>
  <c r="K8" i="6"/>
  <c r="K24" i="2"/>
  <c r="K60" i="2"/>
  <c r="N211" i="5"/>
  <c r="N210" i="5" s="1"/>
  <c r="N203" i="5"/>
  <c r="N202" i="5" s="1"/>
  <c r="N187" i="5" s="1"/>
  <c r="N195" i="5"/>
  <c r="N78" i="5"/>
  <c r="N222" i="5" s="1"/>
  <c r="N251" i="5" s="1"/>
  <c r="N254" i="5" s="1"/>
  <c r="N359" i="5" s="1"/>
  <c r="N108" i="5"/>
  <c r="O73" i="5"/>
  <c r="J60" i="2"/>
  <c r="L671" i="6"/>
  <c r="L503" i="6"/>
  <c r="L381" i="6" s="1"/>
  <c r="L378" i="6" s="1"/>
  <c r="L668" i="6" s="1"/>
  <c r="L502" i="6"/>
  <c r="L255" i="6" s="1"/>
  <c r="L252" i="6" s="1"/>
  <c r="L667" i="6" s="1"/>
  <c r="P40" i="3"/>
  <c r="P97" i="4" s="1"/>
  <c r="P96" i="4" s="1"/>
  <c r="P93" i="4" s="1"/>
  <c r="L80" i="6"/>
  <c r="K667" i="6"/>
  <c r="N440" i="5"/>
  <c r="N445" i="5" s="1"/>
  <c r="N386" i="5" s="1"/>
  <c r="J672" i="6"/>
  <c r="J673" i="6" s="1"/>
  <c r="J670" i="6"/>
  <c r="M555" i="6"/>
  <c r="N555" i="6" s="1"/>
  <c r="N189" i="4"/>
  <c r="N104" i="4" s="1"/>
  <c r="N20" i="4" s="1"/>
  <c r="N52" i="2" s="1"/>
  <c r="N182" i="4"/>
  <c r="N16" i="4"/>
  <c r="N13" i="4" s="1"/>
  <c r="N88" i="4"/>
  <c r="N87" i="4" s="1"/>
  <c r="L17" i="4"/>
  <c r="L36" i="4" s="1"/>
  <c r="L50" i="2"/>
  <c r="L49" i="2" s="1"/>
  <c r="L75" i="2"/>
  <c r="L60" i="6"/>
  <c r="M375" i="5"/>
  <c r="J30" i="5"/>
  <c r="J42" i="2"/>
  <c r="J37" i="2" s="1"/>
  <c r="D544" i="6"/>
  <c r="J491" i="6"/>
  <c r="J494" i="6"/>
  <c r="J513" i="6"/>
  <c r="M220" i="5"/>
  <c r="M219" i="5" s="1"/>
  <c r="M189" i="5" s="1"/>
  <c r="M191" i="5" s="1"/>
  <c r="J76" i="2"/>
  <c r="J72" i="2" s="1"/>
  <c r="J20" i="5"/>
  <c r="P102" i="5"/>
  <c r="O107" i="5"/>
  <c r="L12" i="6"/>
  <c r="L669" i="6" l="1"/>
  <c r="L672" i="6" s="1"/>
  <c r="L673" i="6" s="1"/>
  <c r="N560" i="6"/>
  <c r="N501" i="6" s="1"/>
  <c r="N671" i="6" s="1"/>
  <c r="O555" i="6"/>
  <c r="O560" i="6" s="1"/>
  <c r="O501" i="6" s="1"/>
  <c r="O671" i="6" s="1"/>
  <c r="K461" i="5"/>
  <c r="J454" i="5"/>
  <c r="N221" i="5"/>
  <c r="O36" i="3"/>
  <c r="O44" i="3" s="1"/>
  <c r="Q42" i="3"/>
  <c r="P182" i="4"/>
  <c r="P189" i="4"/>
  <c r="P104" i="4" s="1"/>
  <c r="Q93" i="4"/>
  <c r="P16" i="4"/>
  <c r="P13" i="4" s="1"/>
  <c r="P88" i="4"/>
  <c r="M169" i="5"/>
  <c r="L266" i="6"/>
  <c r="L238" i="6"/>
  <c r="J495" i="6"/>
  <c r="J37" i="6"/>
  <c r="M379" i="5"/>
  <c r="M376" i="5"/>
  <c r="M560" i="6"/>
  <c r="M501" i="6" s="1"/>
  <c r="M77" i="6"/>
  <c r="L279" i="6"/>
  <c r="L277" i="6" s="1"/>
  <c r="N403" i="5"/>
  <c r="N69" i="5"/>
  <c r="P114" i="5"/>
  <c r="P104" i="5" s="1"/>
  <c r="J544" i="6"/>
  <c r="J550" i="6" s="1"/>
  <c r="J498" i="6" s="1"/>
  <c r="O85" i="5"/>
  <c r="O75" i="5" s="1"/>
  <c r="O62" i="5" s="1"/>
  <c r="O60" i="5" s="1"/>
  <c r="M297" i="6"/>
  <c r="M298" i="6" s="1"/>
  <c r="M125" i="6"/>
  <c r="M290" i="6"/>
  <c r="M288" i="6" s="1"/>
  <c r="M284" i="6" s="1"/>
  <c r="M242" i="6" s="1"/>
  <c r="M241" i="6" s="1"/>
  <c r="M633" i="6" s="1"/>
  <c r="J33" i="5"/>
  <c r="K13" i="5"/>
  <c r="J19" i="5"/>
  <c r="J25" i="5" s="1"/>
  <c r="M239" i="5"/>
  <c r="N250" i="5"/>
  <c r="Q22" i="3"/>
  <c r="Q41" i="3" s="1"/>
  <c r="Q44" i="2"/>
  <c r="Q43" i="2" s="1"/>
  <c r="O440" i="5"/>
  <c r="O445" i="5" s="1"/>
  <c r="O386" i="5" s="1"/>
  <c r="N22" i="2"/>
  <c r="N19" i="2" s="1"/>
  <c r="N8" i="4"/>
  <c r="L60" i="2"/>
  <c r="K460" i="5"/>
  <c r="K454" i="5"/>
  <c r="J457" i="5"/>
  <c r="J455" i="5"/>
  <c r="M359" i="5"/>
  <c r="M357" i="5" s="1"/>
  <c r="M253" i="5"/>
  <c r="P22" i="3"/>
  <c r="P44" i="2"/>
  <c r="P43" i="2" s="1"/>
  <c r="L57" i="6"/>
  <c r="L10" i="6"/>
  <c r="L9" i="6" s="1"/>
  <c r="J34" i="5"/>
  <c r="N181" i="4"/>
  <c r="N102" i="4"/>
  <c r="N18" i="4" s="1"/>
  <c r="N388" i="5"/>
  <c r="N309" i="5" s="1"/>
  <c r="N306" i="5" s="1"/>
  <c r="N387" i="5"/>
  <c r="N178" i="5" s="1"/>
  <c r="N174" i="5" s="1"/>
  <c r="N175" i="5" s="1"/>
  <c r="I60" i="2"/>
  <c r="I55" i="2" s="1"/>
  <c r="I20" i="6"/>
  <c r="K34" i="5"/>
  <c r="L23" i="4"/>
  <c r="L28" i="4" s="1"/>
  <c r="J78" i="7"/>
  <c r="J84" i="7" s="1"/>
  <c r="K116" i="2"/>
  <c r="N194" i="5"/>
  <c r="N186" i="5" s="1"/>
  <c r="N245" i="5"/>
  <c r="N244" i="5" s="1"/>
  <c r="N238" i="5" s="1"/>
  <c r="M451" i="5"/>
  <c r="M53" i="5"/>
  <c r="M217" i="5"/>
  <c r="M357" i="6" s="1"/>
  <c r="M356" i="6" s="1"/>
  <c r="M353" i="6" s="1"/>
  <c r="M253" i="6" s="1"/>
  <c r="L32" i="5"/>
  <c r="I667" i="6"/>
  <c r="I256" i="6"/>
  <c r="K72" i="2"/>
  <c r="Q40" i="3"/>
  <c r="J42" i="6"/>
  <c r="K669" i="6"/>
  <c r="M233" i="5"/>
  <c r="M216" i="5"/>
  <c r="M225" i="5"/>
  <c r="M208" i="5"/>
  <c r="M200" i="5"/>
  <c r="M9" i="5"/>
  <c r="M35" i="4"/>
  <c r="M37" i="4"/>
  <c r="M17" i="4"/>
  <c r="M36" i="4" s="1"/>
  <c r="M50" i="2"/>
  <c r="M49" i="2" s="1"/>
  <c r="L490" i="6"/>
  <c r="N145" i="6"/>
  <c r="N136" i="6" s="1"/>
  <c r="N130" i="6" s="1"/>
  <c r="L632" i="6"/>
  <c r="L25" i="2"/>
  <c r="N220" i="5"/>
  <c r="N219" i="5" s="1"/>
  <c r="N189" i="5" s="1"/>
  <c r="K23" i="2"/>
  <c r="K78" i="7" s="1"/>
  <c r="M62" i="6"/>
  <c r="M14" i="6" s="1"/>
  <c r="M388" i="5"/>
  <c r="M309" i="5" s="1"/>
  <c r="M306" i="5" s="1"/>
  <c r="M387" i="5"/>
  <c r="M178" i="5" s="1"/>
  <c r="M174" i="5" s="1"/>
  <c r="M175" i="5" s="1"/>
  <c r="K37" i="2"/>
  <c r="N188" i="5"/>
  <c r="K42" i="6"/>
  <c r="M370" i="6"/>
  <c r="M634" i="6" s="1"/>
  <c r="M31" i="6"/>
  <c r="M60" i="6"/>
  <c r="M13" i="6"/>
  <c r="O16" i="4"/>
  <c r="O13" i="4" s="1"/>
  <c r="O189" i="4"/>
  <c r="O104" i="4" s="1"/>
  <c r="O20" i="4" s="1"/>
  <c r="O52" i="2" s="1"/>
  <c r="O182" i="4"/>
  <c r="O88" i="4"/>
  <c r="O87" i="4" s="1"/>
  <c r="O502" i="6" l="1"/>
  <c r="O255" i="6" s="1"/>
  <c r="O503" i="6"/>
  <c r="O381" i="6" s="1"/>
  <c r="O378" i="6" s="1"/>
  <c r="O668" i="6" s="1"/>
  <c r="P555" i="6"/>
  <c r="P560" i="6" s="1"/>
  <c r="P501" i="6" s="1"/>
  <c r="P671" i="6" s="1"/>
  <c r="L670" i="6"/>
  <c r="N502" i="6"/>
  <c r="N255" i="6" s="1"/>
  <c r="N503" i="6"/>
  <c r="N381" i="6" s="1"/>
  <c r="N378" i="6" s="1"/>
  <c r="N668" i="6" s="1"/>
  <c r="J116" i="2"/>
  <c r="L544" i="6"/>
  <c r="M544" i="6"/>
  <c r="N137" i="6"/>
  <c r="N418" i="6" s="1"/>
  <c r="M12" i="6"/>
  <c r="N191" i="5"/>
  <c r="N169" i="5" s="1"/>
  <c r="Q28" i="3"/>
  <c r="Q33" i="3" s="1"/>
  <c r="Q43" i="3" s="1"/>
  <c r="M305" i="5"/>
  <c r="M23" i="5" s="1"/>
  <c r="N357" i="5"/>
  <c r="M111" i="6"/>
  <c r="M113" i="6" s="1"/>
  <c r="M105" i="6" s="1"/>
  <c r="M107" i="6" s="1"/>
  <c r="M83" i="6"/>
  <c r="M78" i="6" s="1"/>
  <c r="O59" i="5"/>
  <c r="P66" i="5"/>
  <c r="P64" i="5" s="1"/>
  <c r="M671" i="6"/>
  <c r="M503" i="6"/>
  <c r="M381" i="6" s="1"/>
  <c r="M378" i="6" s="1"/>
  <c r="M668" i="6" s="1"/>
  <c r="M502" i="6"/>
  <c r="M255" i="6" s="1"/>
  <c r="M252" i="6" s="1"/>
  <c r="M667" i="6" s="1"/>
  <c r="P87" i="4"/>
  <c r="N417" i="6"/>
  <c r="N416" i="6" s="1"/>
  <c r="N412" i="6" s="1"/>
  <c r="N371" i="6" s="1"/>
  <c r="O134" i="6"/>
  <c r="M8" i="5"/>
  <c r="M10" i="2"/>
  <c r="M9" i="2" s="1"/>
  <c r="M401" i="5"/>
  <c r="M25" i="6"/>
  <c r="O388" i="5"/>
  <c r="O309" i="5" s="1"/>
  <c r="O306" i="5" s="1"/>
  <c r="O387" i="5"/>
  <c r="O178" i="5" s="1"/>
  <c r="O174" i="5" s="1"/>
  <c r="O175" i="5" s="1"/>
  <c r="M307" i="5"/>
  <c r="L635" i="6"/>
  <c r="J9" i="7"/>
  <c r="K84" i="7"/>
  <c r="L615" i="6"/>
  <c r="L8" i="6"/>
  <c r="L24" i="2"/>
  <c r="L23" i="2" s="1"/>
  <c r="K462" i="5"/>
  <c r="K457" i="5"/>
  <c r="K455" i="5"/>
  <c r="O77" i="5"/>
  <c r="P106" i="5"/>
  <c r="P107" i="5" s="1"/>
  <c r="L21" i="6"/>
  <c r="M86" i="2"/>
  <c r="I669" i="6"/>
  <c r="O181" i="4"/>
  <c r="O102" i="4"/>
  <c r="O18" i="4" s="1"/>
  <c r="O22" i="2"/>
  <c r="O19" i="2" s="1"/>
  <c r="O8" i="4"/>
  <c r="M632" i="6"/>
  <c r="M25" i="2"/>
  <c r="M23" i="4"/>
  <c r="M28" i="4" s="1"/>
  <c r="I43" i="6"/>
  <c r="I29" i="6"/>
  <c r="L400" i="6"/>
  <c r="L401" i="6"/>
  <c r="L390" i="6" s="1"/>
  <c r="L367" i="6" s="1"/>
  <c r="L67" i="6"/>
  <c r="N239" i="5"/>
  <c r="N171" i="5" s="1"/>
  <c r="N16" i="5" s="1"/>
  <c r="N40" i="2" s="1"/>
  <c r="N544" i="6"/>
  <c r="N49" i="5"/>
  <c r="M380" i="5"/>
  <c r="M27" i="5"/>
  <c r="M113" i="2" s="1"/>
  <c r="P22" i="2"/>
  <c r="P19" i="2" s="1"/>
  <c r="P8" i="4"/>
  <c r="N61" i="6"/>
  <c r="L491" i="6"/>
  <c r="L494" i="6"/>
  <c r="P440" i="5"/>
  <c r="P445" i="5" s="1"/>
  <c r="P386" i="5" s="1"/>
  <c r="K672" i="6"/>
  <c r="K673" i="6" s="1"/>
  <c r="K670" i="6"/>
  <c r="N170" i="5"/>
  <c r="N15" i="5" s="1"/>
  <c r="N39" i="2" s="1"/>
  <c r="I79" i="7"/>
  <c r="N307" i="5"/>
  <c r="M171" i="5"/>
  <c r="M16" i="5" s="1"/>
  <c r="M40" i="2" s="1"/>
  <c r="M241" i="5"/>
  <c r="M242" i="5" s="1"/>
  <c r="N404" i="5"/>
  <c r="N399" i="5"/>
  <c r="N398" i="5" s="1"/>
  <c r="Q16" i="4"/>
  <c r="Q13" i="4" s="1"/>
  <c r="Q88" i="4"/>
  <c r="N17" i="4"/>
  <c r="N36" i="4" s="1"/>
  <c r="N50" i="2"/>
  <c r="N49" i="2" s="1"/>
  <c r="P41" i="3"/>
  <c r="P28" i="3"/>
  <c r="P33" i="3" s="1"/>
  <c r="M14" i="5"/>
  <c r="P20" i="4"/>
  <c r="P52" i="2" s="1"/>
  <c r="Q104" i="4"/>
  <c r="Q20" i="4" s="1"/>
  <c r="Q52" i="2" s="1"/>
  <c r="J35" i="5"/>
  <c r="J28" i="5"/>
  <c r="J36" i="5" s="1"/>
  <c r="L38" i="4"/>
  <c r="L31" i="4"/>
  <c r="L39" i="4" s="1"/>
  <c r="M240" i="5"/>
  <c r="M172" i="5" s="1"/>
  <c r="M17" i="5" s="1"/>
  <c r="M41" i="2" s="1"/>
  <c r="N253" i="5"/>
  <c r="M256" i="5"/>
  <c r="N35" i="4"/>
  <c r="N37" i="4"/>
  <c r="K33" i="5"/>
  <c r="K19" i="5"/>
  <c r="J621" i="6"/>
  <c r="J507" i="6"/>
  <c r="J36" i="6" s="1"/>
  <c r="K498" i="6"/>
  <c r="J500" i="6"/>
  <c r="J369" i="6" s="1"/>
  <c r="J499" i="6"/>
  <c r="J240" i="6" s="1"/>
  <c r="L264" i="6"/>
  <c r="L239" i="6" s="1"/>
  <c r="L26" i="6" s="1"/>
  <c r="P181" i="4"/>
  <c r="P102" i="4"/>
  <c r="J35" i="2" l="1"/>
  <c r="N159" i="6"/>
  <c r="N162" i="6" s="1"/>
  <c r="N124" i="6" s="1"/>
  <c r="P503" i="6"/>
  <c r="P381" i="6" s="1"/>
  <c r="P378" i="6" s="1"/>
  <c r="P668" i="6" s="1"/>
  <c r="O544" i="6"/>
  <c r="M669" i="6"/>
  <c r="M672" i="6" s="1"/>
  <c r="M673" i="6" s="1"/>
  <c r="P502" i="6"/>
  <c r="P255" i="6" s="1"/>
  <c r="J104" i="2"/>
  <c r="I35" i="6"/>
  <c r="N23" i="4"/>
  <c r="N28" i="4" s="1"/>
  <c r="N38" i="4" s="1"/>
  <c r="Q36" i="3"/>
  <c r="Q44" i="3" s="1"/>
  <c r="J34" i="6"/>
  <c r="J365" i="6"/>
  <c r="I72" i="7"/>
  <c r="I73" i="7" s="1"/>
  <c r="I75" i="7" s="1"/>
  <c r="I86" i="7"/>
  <c r="L78" i="7"/>
  <c r="L84" i="7" s="1"/>
  <c r="L9" i="7" s="1"/>
  <c r="L35" i="2" s="1"/>
  <c r="O403" i="5"/>
  <c r="O69" i="5"/>
  <c r="M525" i="6"/>
  <c r="M523" i="6" s="1"/>
  <c r="M515" i="6" s="1"/>
  <c r="M269" i="6"/>
  <c r="M268" i="6" s="1"/>
  <c r="M274" i="6"/>
  <c r="L56" i="2"/>
  <c r="L42" i="6"/>
  <c r="M60" i="2"/>
  <c r="M91" i="6"/>
  <c r="M79" i="6" s="1"/>
  <c r="M73" i="6" s="1"/>
  <c r="M75" i="2"/>
  <c r="N13" i="6"/>
  <c r="M38" i="4"/>
  <c r="M31" i="4"/>
  <c r="M39" i="4" s="1"/>
  <c r="Q181" i="4"/>
  <c r="N10" i="5"/>
  <c r="N48" i="5"/>
  <c r="L32" i="6"/>
  <c r="L616" i="6"/>
  <c r="M32" i="5"/>
  <c r="M59" i="6"/>
  <c r="M11" i="6" s="1"/>
  <c r="M108" i="6"/>
  <c r="Q102" i="4"/>
  <c r="Q18" i="4" s="1"/>
  <c r="P18" i="4"/>
  <c r="M635" i="6"/>
  <c r="O17" i="4"/>
  <c r="O36" i="4" s="1"/>
  <c r="O50" i="2"/>
  <c r="O49" i="2" s="1"/>
  <c r="K85" i="7"/>
  <c r="K9" i="7"/>
  <c r="O145" i="6"/>
  <c r="O136" i="6" s="1"/>
  <c r="O130" i="6" s="1"/>
  <c r="M80" i="6"/>
  <c r="N305" i="5"/>
  <c r="N23" i="5" s="1"/>
  <c r="Q22" i="2"/>
  <c r="Q19" i="2" s="1"/>
  <c r="Q8" i="4"/>
  <c r="K25" i="5"/>
  <c r="M38" i="2"/>
  <c r="N297" i="6"/>
  <c r="N298" i="6" s="1"/>
  <c r="N290" i="6"/>
  <c r="N288" i="6" s="1"/>
  <c r="N284" i="6" s="1"/>
  <c r="N242" i="6" s="1"/>
  <c r="N241" i="6" s="1"/>
  <c r="N633" i="6" s="1"/>
  <c r="N125" i="6"/>
  <c r="P544" i="6"/>
  <c r="O35" i="4"/>
  <c r="O37" i="4"/>
  <c r="O211" i="5"/>
  <c r="O210" i="5" s="1"/>
  <c r="O203" i="5"/>
  <c r="O202" i="5" s="1"/>
  <c r="O187" i="5" s="1"/>
  <c r="O195" i="5"/>
  <c r="O108" i="5"/>
  <c r="P73" i="5"/>
  <c r="O78" i="5"/>
  <c r="O222" i="5" s="1"/>
  <c r="J8" i="2"/>
  <c r="N62" i="6"/>
  <c r="N14" i="6" s="1"/>
  <c r="O307" i="5"/>
  <c r="N240" i="5"/>
  <c r="I672" i="6"/>
  <c r="I673" i="6" s="1"/>
  <c r="I670" i="6"/>
  <c r="N370" i="6"/>
  <c r="N634" i="6" s="1"/>
  <c r="N31" i="6"/>
  <c r="K621" i="6"/>
  <c r="K500" i="6"/>
  <c r="K369" i="6" s="1"/>
  <c r="K499" i="6"/>
  <c r="K240" i="6" s="1"/>
  <c r="K507" i="6"/>
  <c r="K36" i="6" s="1"/>
  <c r="L61" i="2"/>
  <c r="N375" i="5"/>
  <c r="J28" i="6"/>
  <c r="J237" i="6"/>
  <c r="P36" i="3"/>
  <c r="P44" i="3" s="1"/>
  <c r="P43" i="3"/>
  <c r="P388" i="5"/>
  <c r="P309" i="5" s="1"/>
  <c r="P306" i="5" s="1"/>
  <c r="P387" i="5"/>
  <c r="P178" i="5" s="1"/>
  <c r="P174" i="5" s="1"/>
  <c r="P175" i="5" s="1"/>
  <c r="P35" i="4"/>
  <c r="P37" i="4"/>
  <c r="K458" i="5"/>
  <c r="K465" i="5"/>
  <c r="L638" i="6"/>
  <c r="L639" i="6" s="1"/>
  <c r="L636" i="6"/>
  <c r="L495" i="6"/>
  <c r="L37" i="6"/>
  <c r="L116" i="2" s="1"/>
  <c r="N14" i="5"/>
  <c r="M670" i="6" l="1"/>
  <c r="I45" i="6"/>
  <c r="I38" i="6"/>
  <c r="N60" i="6"/>
  <c r="O137" i="6"/>
  <c r="O418" i="6" s="1"/>
  <c r="N12" i="6"/>
  <c r="N632" i="6" s="1"/>
  <c r="N31" i="4"/>
  <c r="N39" i="4" s="1"/>
  <c r="O23" i="4"/>
  <c r="O28" i="4" s="1"/>
  <c r="O38" i="4" s="1"/>
  <c r="L8" i="2"/>
  <c r="L235" i="7" s="1"/>
  <c r="L234" i="7" s="1"/>
  <c r="L58" i="7" s="1"/>
  <c r="N522" i="6"/>
  <c r="M519" i="6"/>
  <c r="M514" i="6" s="1"/>
  <c r="M513" i="6" s="1"/>
  <c r="M58" i="6"/>
  <c r="N451" i="5"/>
  <c r="N53" i="5"/>
  <c r="N217" i="5"/>
  <c r="N357" i="6" s="1"/>
  <c r="N356" i="6" s="1"/>
  <c r="N353" i="6" s="1"/>
  <c r="N253" i="6" s="1"/>
  <c r="N172" i="5"/>
  <c r="N241" i="5"/>
  <c r="O251" i="5"/>
  <c r="O221" i="5"/>
  <c r="P17" i="4"/>
  <c r="P50" i="2"/>
  <c r="P49" i="2" s="1"/>
  <c r="N233" i="5"/>
  <c r="N216" i="5"/>
  <c r="N225" i="5"/>
  <c r="N208" i="5"/>
  <c r="N200" i="5"/>
  <c r="N9" i="5"/>
  <c r="J617" i="6"/>
  <c r="J256" i="6"/>
  <c r="P85" i="5"/>
  <c r="P75" i="5" s="1"/>
  <c r="P62" i="5" s="1"/>
  <c r="P60" i="5" s="1"/>
  <c r="P59" i="5" s="1"/>
  <c r="Q17" i="4"/>
  <c r="Q36" i="4" s="1"/>
  <c r="Q50" i="2"/>
  <c r="Q49" i="2" s="1"/>
  <c r="K28" i="6"/>
  <c r="J63" i="2"/>
  <c r="J55" i="2" s="1"/>
  <c r="J20" i="6"/>
  <c r="N75" i="2"/>
  <c r="K104" i="2"/>
  <c r="K35" i="2"/>
  <c r="K237" i="6"/>
  <c r="O194" i="5"/>
  <c r="O186" i="5" s="1"/>
  <c r="O245" i="5"/>
  <c r="O244" i="5" s="1"/>
  <c r="O238" i="5" s="1"/>
  <c r="K35" i="5"/>
  <c r="K28" i="5"/>
  <c r="M263" i="6"/>
  <c r="M275" i="6"/>
  <c r="I88" i="7"/>
  <c r="I90" i="7" s="1"/>
  <c r="I87" i="7"/>
  <c r="N379" i="5"/>
  <c r="N376" i="5"/>
  <c r="Q35" i="4"/>
  <c r="Q37" i="4"/>
  <c r="M279" i="6"/>
  <c r="M277" i="6" s="1"/>
  <c r="N77" i="6"/>
  <c r="O49" i="5"/>
  <c r="N38" i="2"/>
  <c r="K34" i="6"/>
  <c r="K365" i="6"/>
  <c r="P307" i="5"/>
  <c r="N86" i="2"/>
  <c r="N256" i="5"/>
  <c r="J241" i="7"/>
  <c r="J240" i="7" s="1"/>
  <c r="J193" i="7"/>
  <c r="J192" i="7" s="1"/>
  <c r="J235" i="7"/>
  <c r="J234" i="7" s="1"/>
  <c r="J187" i="7"/>
  <c r="J186" i="7" s="1"/>
  <c r="J105" i="7"/>
  <c r="J24" i="7"/>
  <c r="J123" i="2"/>
  <c r="J7" i="1"/>
  <c r="I109" i="7"/>
  <c r="J109" i="7" s="1"/>
  <c r="K109" i="7" s="1"/>
  <c r="O188" i="5"/>
  <c r="O61" i="6"/>
  <c r="M638" i="6"/>
  <c r="M639" i="6" s="1"/>
  <c r="M636" i="6"/>
  <c r="L87" i="2"/>
  <c r="O404" i="5"/>
  <c r="O399" i="5"/>
  <c r="O398" i="5" s="1"/>
  <c r="J618" i="6"/>
  <c r="J382" i="6"/>
  <c r="J89" i="2"/>
  <c r="J85" i="2" s="1"/>
  <c r="J30" i="6"/>
  <c r="L24" i="7" l="1"/>
  <c r="N25" i="2"/>
  <c r="I46" i="6"/>
  <c r="P134" i="6"/>
  <c r="O159" i="6"/>
  <c r="O162" i="6" s="1"/>
  <c r="O124" i="6" s="1"/>
  <c r="O417" i="6"/>
  <c r="O416" i="6" s="1"/>
  <c r="O412" i="6" s="1"/>
  <c r="O371" i="6" s="1"/>
  <c r="L193" i="7"/>
  <c r="L192" i="7" s="1"/>
  <c r="L50" i="7" s="1"/>
  <c r="N242" i="5"/>
  <c r="L7" i="1"/>
  <c r="O31" i="4"/>
  <c r="O39" i="4" s="1"/>
  <c r="L241" i="7"/>
  <c r="L240" i="7" s="1"/>
  <c r="L59" i="7" s="1"/>
  <c r="L187" i="7"/>
  <c r="L186" i="7" s="1"/>
  <c r="L49" i="7" s="1"/>
  <c r="Q23" i="4"/>
  <c r="Q28" i="4" s="1"/>
  <c r="Q38" i="4" s="1"/>
  <c r="I11" i="7"/>
  <c r="I98" i="2"/>
  <c r="I71" i="2" s="1"/>
  <c r="I10" i="1" s="1"/>
  <c r="K89" i="2"/>
  <c r="K30" i="6"/>
  <c r="J619" i="6"/>
  <c r="L96" i="2"/>
  <c r="L15" i="7"/>
  <c r="O254" i="5"/>
  <c r="O250" i="5"/>
  <c r="N635" i="6"/>
  <c r="J96" i="2"/>
  <c r="K24" i="7"/>
  <c r="J15" i="7"/>
  <c r="M264" i="6"/>
  <c r="M239" i="6" s="1"/>
  <c r="M26" i="6" s="1"/>
  <c r="O170" i="5"/>
  <c r="O15" i="5" s="1"/>
  <c r="O39" i="2" s="1"/>
  <c r="N17" i="5"/>
  <c r="K240" i="7"/>
  <c r="J59" i="7"/>
  <c r="K59" i="7" s="1"/>
  <c r="O13" i="6"/>
  <c r="J102" i="7"/>
  <c r="K105" i="7"/>
  <c r="I10" i="7"/>
  <c r="P403" i="5"/>
  <c r="P69" i="5"/>
  <c r="N252" i="6"/>
  <c r="N667" i="6" s="1"/>
  <c r="N25" i="6"/>
  <c r="K63" i="2"/>
  <c r="K20" i="6"/>
  <c r="K186" i="7"/>
  <c r="J49" i="7"/>
  <c r="K8" i="2"/>
  <c r="M57" i="6"/>
  <c r="M10" i="6"/>
  <c r="M9" i="6" s="1"/>
  <c r="N111" i="6"/>
  <c r="N113" i="6" s="1"/>
  <c r="N105" i="6" s="1"/>
  <c r="N107" i="6" s="1"/>
  <c r="N83" i="6"/>
  <c r="N78" i="6" s="1"/>
  <c r="N91" i="6" s="1"/>
  <c r="N79" i="6" s="1"/>
  <c r="N80" i="6" s="1"/>
  <c r="O375" i="5"/>
  <c r="J108" i="7"/>
  <c r="P77" i="5"/>
  <c r="O370" i="6"/>
  <c r="O634" i="6" s="1"/>
  <c r="O31" i="6"/>
  <c r="J44" i="6"/>
  <c r="O297" i="6"/>
  <c r="O298" i="6" s="1"/>
  <c r="O290" i="6"/>
  <c r="O288" i="6" s="1"/>
  <c r="O284" i="6" s="1"/>
  <c r="O242" i="6" s="1"/>
  <c r="O241" i="6" s="1"/>
  <c r="O633" i="6" s="1"/>
  <c r="O125" i="6"/>
  <c r="D109" i="7"/>
  <c r="L109" i="7" s="1"/>
  <c r="K234" i="7"/>
  <c r="J58" i="7"/>
  <c r="K58" i="7" s="1"/>
  <c r="M266" i="6"/>
  <c r="M238" i="6"/>
  <c r="K81" i="7"/>
  <c r="K100" i="2"/>
  <c r="P36" i="4"/>
  <c r="P23" i="4"/>
  <c r="P28" i="4" s="1"/>
  <c r="M490" i="6"/>
  <c r="K192" i="7"/>
  <c r="J50" i="7"/>
  <c r="K50" i="7" s="1"/>
  <c r="K618" i="6"/>
  <c r="K382" i="6"/>
  <c r="O10" i="5"/>
  <c r="O48" i="5"/>
  <c r="N380" i="5"/>
  <c r="N27" i="5"/>
  <c r="N113" i="2" s="1"/>
  <c r="K36" i="5"/>
  <c r="K617" i="6"/>
  <c r="K256" i="6"/>
  <c r="J43" i="6"/>
  <c r="J29" i="6"/>
  <c r="N8" i="5"/>
  <c r="N10" i="2"/>
  <c r="N9" i="2" s="1"/>
  <c r="N401" i="5"/>
  <c r="O220" i="5"/>
  <c r="O219" i="5" s="1"/>
  <c r="O189" i="5" s="1"/>
  <c r="O191" i="5" s="1"/>
  <c r="P145" i="6"/>
  <c r="P136" i="6" s="1"/>
  <c r="P130" i="6" s="1"/>
  <c r="I69" i="2" l="1"/>
  <c r="I36" i="2" s="1"/>
  <c r="I217" i="7" s="1"/>
  <c r="I218" i="7" s="1"/>
  <c r="O62" i="6"/>
  <c r="J35" i="6"/>
  <c r="P137" i="6"/>
  <c r="Q31" i="4"/>
  <c r="Q39" i="4" s="1"/>
  <c r="O169" i="5"/>
  <c r="N279" i="6"/>
  <c r="N277" i="6" s="1"/>
  <c r="O77" i="6"/>
  <c r="O216" i="5"/>
  <c r="O225" i="5"/>
  <c r="O208" i="5"/>
  <c r="O200" i="5"/>
  <c r="O233" i="5"/>
  <c r="O9" i="5"/>
  <c r="P38" i="4"/>
  <c r="P31" i="4"/>
  <c r="P39" i="4" s="1"/>
  <c r="K55" i="2"/>
  <c r="P404" i="5"/>
  <c r="P399" i="5"/>
  <c r="P398" i="5" s="1"/>
  <c r="O451" i="5"/>
  <c r="O53" i="5"/>
  <c r="O217" i="5"/>
  <c r="O357" i="6" s="1"/>
  <c r="O356" i="6" s="1"/>
  <c r="O353" i="6" s="1"/>
  <c r="O253" i="6" s="1"/>
  <c r="N525" i="6"/>
  <c r="N523" i="6" s="1"/>
  <c r="N515" i="6" s="1"/>
  <c r="N269" i="6"/>
  <c r="N268" i="6" s="1"/>
  <c r="N274" i="6"/>
  <c r="N73" i="6"/>
  <c r="O239" i="5"/>
  <c r="P61" i="6"/>
  <c r="N32" i="5"/>
  <c r="P211" i="5"/>
  <c r="P210" i="5" s="1"/>
  <c r="P203" i="5"/>
  <c r="P202" i="5" s="1"/>
  <c r="P187" i="5" s="1"/>
  <c r="P195" i="5"/>
  <c r="P108" i="5"/>
  <c r="P78" i="5"/>
  <c r="P222" i="5" s="1"/>
  <c r="N108" i="6"/>
  <c r="N59" i="6"/>
  <c r="N11" i="6" s="1"/>
  <c r="I229" i="7"/>
  <c r="I230" i="7" s="1"/>
  <c r="I205" i="7"/>
  <c r="I206" i="7" s="1"/>
  <c r="I223" i="7"/>
  <c r="I224" i="7" s="1"/>
  <c r="I211" i="7"/>
  <c r="I212" i="7" s="1"/>
  <c r="I124" i="2"/>
  <c r="I8" i="1"/>
  <c r="I9" i="1" s="1"/>
  <c r="I11" i="1" s="1"/>
  <c r="I70" i="2"/>
  <c r="I99" i="2" s="1"/>
  <c r="O359" i="5"/>
  <c r="O357" i="5" s="1"/>
  <c r="O253" i="5"/>
  <c r="K44" i="6"/>
  <c r="K619" i="6"/>
  <c r="M21" i="6"/>
  <c r="P418" i="6"/>
  <c r="P417" i="6"/>
  <c r="P416" i="6" s="1"/>
  <c r="P412" i="6" s="1"/>
  <c r="P371" i="6" s="1"/>
  <c r="P159" i="6"/>
  <c r="P162" i="6" s="1"/>
  <c r="P124" i="6" s="1"/>
  <c r="J38" i="6"/>
  <c r="J45" i="6"/>
  <c r="K14" i="1"/>
  <c r="N41" i="2"/>
  <c r="K15" i="7"/>
  <c r="K25" i="7"/>
  <c r="K96" i="2"/>
  <c r="K85" i="2"/>
  <c r="O86" i="2"/>
  <c r="J103" i="7"/>
  <c r="K108" i="7"/>
  <c r="K103" i="7" s="1"/>
  <c r="K30" i="7" s="1"/>
  <c r="K119" i="2" s="1"/>
  <c r="M615" i="6"/>
  <c r="M8" i="6"/>
  <c r="M24" i="2"/>
  <c r="M23" i="2" s="1"/>
  <c r="K49" i="7"/>
  <c r="N60" i="2"/>
  <c r="K106" i="7"/>
  <c r="K102" i="7"/>
  <c r="K29" i="7" s="1"/>
  <c r="M491" i="6"/>
  <c r="M494" i="6"/>
  <c r="M400" i="6"/>
  <c r="M401" i="6"/>
  <c r="M390" i="6" s="1"/>
  <c r="M367" i="6" s="1"/>
  <c r="M67" i="6"/>
  <c r="N669" i="6"/>
  <c r="D154" i="7"/>
  <c r="J29" i="7"/>
  <c r="N638" i="6"/>
  <c r="N639" i="6" s="1"/>
  <c r="N636" i="6"/>
  <c r="J622" i="6"/>
  <c r="J623" i="6" s="1"/>
  <c r="J620" i="6"/>
  <c r="M109" i="7"/>
  <c r="N109" i="7" s="1"/>
  <c r="L108" i="7"/>
  <c r="L103" i="7" s="1"/>
  <c r="O376" i="5"/>
  <c r="O379" i="5"/>
  <c r="K193" i="7"/>
  <c r="K235" i="7"/>
  <c r="K187" i="7"/>
  <c r="K241" i="7"/>
  <c r="K123" i="2"/>
  <c r="K7" i="1"/>
  <c r="L123" i="2"/>
  <c r="K43" i="6"/>
  <c r="K29" i="6"/>
  <c r="P49" i="5"/>
  <c r="M61" i="2"/>
  <c r="I199" i="7" l="1"/>
  <c r="I200" i="7" s="1"/>
  <c r="J46" i="6"/>
  <c r="O14" i="6"/>
  <c r="O12" i="6" s="1"/>
  <c r="O60" i="6"/>
  <c r="P290" i="6"/>
  <c r="P288" i="6" s="1"/>
  <c r="P284" i="6" s="1"/>
  <c r="P242" i="6" s="1"/>
  <c r="P241" i="6" s="1"/>
  <c r="P633" i="6" s="1"/>
  <c r="P297" i="6"/>
  <c r="P298" i="6" s="1"/>
  <c r="P125" i="6"/>
  <c r="M495" i="6"/>
  <c r="M37" i="6"/>
  <c r="M116" i="2" s="1"/>
  <c r="P370" i="6"/>
  <c r="P634" i="6" s="1"/>
  <c r="P31" i="6"/>
  <c r="I213" i="7"/>
  <c r="J212" i="7"/>
  <c r="S212" i="7" s="1"/>
  <c r="P375" i="5"/>
  <c r="D430" i="5" a="1"/>
  <c r="M56" i="2"/>
  <c r="O240" i="5"/>
  <c r="O172" i="5" s="1"/>
  <c r="O17" i="5" s="1"/>
  <c r="O41" i="2" s="1"/>
  <c r="O256" i="5"/>
  <c r="I219" i="7"/>
  <c r="J218" i="7"/>
  <c r="S218" i="7" s="1"/>
  <c r="O305" i="5"/>
  <c r="O23" i="5" s="1"/>
  <c r="I207" i="7"/>
  <c r="J206" i="7"/>
  <c r="S206" i="7" s="1"/>
  <c r="P245" i="5"/>
  <c r="P244" i="5" s="1"/>
  <c r="P238" i="5" s="1"/>
  <c r="P194" i="5"/>
  <c r="P186" i="5" s="1"/>
  <c r="P13" i="6"/>
  <c r="O111" i="6"/>
  <c r="O113" i="6" s="1"/>
  <c r="O105" i="6" s="1"/>
  <c r="O107" i="6" s="1"/>
  <c r="O83" i="6"/>
  <c r="O78" i="6" s="1"/>
  <c r="O91" i="6" s="1"/>
  <c r="O79" i="6" s="1"/>
  <c r="O73" i="6" s="1"/>
  <c r="P251" i="5"/>
  <c r="P221" i="5"/>
  <c r="P220" i="5" s="1"/>
  <c r="P219" i="5" s="1"/>
  <c r="P189" i="5" s="1"/>
  <c r="M78" i="7"/>
  <c r="M84" i="7" s="1"/>
  <c r="M9" i="7" s="1"/>
  <c r="M35" i="2" s="1"/>
  <c r="N672" i="6"/>
  <c r="N673" i="6" s="1"/>
  <c r="N670" i="6"/>
  <c r="K118" i="2"/>
  <c r="K26" i="7"/>
  <c r="M616" i="6"/>
  <c r="K90" i="2"/>
  <c r="K80" i="7" s="1"/>
  <c r="K74" i="7" s="1"/>
  <c r="K622" i="6"/>
  <c r="K623" i="6" s="1"/>
  <c r="K620" i="6"/>
  <c r="I125" i="2"/>
  <c r="I111" i="2"/>
  <c r="I231" i="7"/>
  <c r="J230" i="7"/>
  <c r="S230" i="7" s="1"/>
  <c r="O171" i="5"/>
  <c r="O16" i="5" s="1"/>
  <c r="O40" i="2" s="1"/>
  <c r="O241" i="5"/>
  <c r="O242" i="5" s="1"/>
  <c r="O252" i="6"/>
  <c r="O667" i="6" s="1"/>
  <c r="O25" i="6"/>
  <c r="O8" i="5"/>
  <c r="O10" i="2"/>
  <c r="O9" i="2" s="1"/>
  <c r="O401" i="5"/>
  <c r="N264" i="6"/>
  <c r="N239" i="6" s="1"/>
  <c r="N26" i="6" s="1"/>
  <c r="P10" i="5"/>
  <c r="P48" i="5"/>
  <c r="D106" i="7"/>
  <c r="L106" i="7" s="1"/>
  <c r="I24" i="1"/>
  <c r="O522" i="6"/>
  <c r="N519" i="6"/>
  <c r="N514" i="6" s="1"/>
  <c r="N513" i="6" s="1"/>
  <c r="N58" i="6"/>
  <c r="O380" i="5"/>
  <c r="O27" i="5"/>
  <c r="O113" i="2" s="1"/>
  <c r="I225" i="7"/>
  <c r="J224" i="7"/>
  <c r="S224" i="7" s="1"/>
  <c r="L30" i="7"/>
  <c r="L119" i="2" s="1"/>
  <c r="M42" i="6"/>
  <c r="M32" i="6"/>
  <c r="D172" i="7"/>
  <c r="J30" i="7"/>
  <c r="J119" i="2" s="1"/>
  <c r="P217" i="5"/>
  <c r="P357" i="6" s="1"/>
  <c r="P356" i="6" s="1"/>
  <c r="P353" i="6" s="1"/>
  <c r="P253" i="6" s="1"/>
  <c r="P188" i="5"/>
  <c r="J118" i="2"/>
  <c r="J112" i="2" s="1"/>
  <c r="K154" i="7"/>
  <c r="K160" i="7" s="1"/>
  <c r="J119" i="7" s="1"/>
  <c r="J33" i="7" s="1"/>
  <c r="K35" i="6"/>
  <c r="P62" i="6"/>
  <c r="P14" i="6" s="1"/>
  <c r="I201" i="7"/>
  <c r="J200" i="7"/>
  <c r="S200" i="7" s="1"/>
  <c r="N263" i="6"/>
  <c r="N275" i="6"/>
  <c r="O14" i="5"/>
  <c r="O632" i="6" l="1"/>
  <c r="O635" i="6" s="1"/>
  <c r="O25" i="2"/>
  <c r="L154" i="7"/>
  <c r="M154" i="7" s="1"/>
  <c r="N154" i="7" s="1"/>
  <c r="O154" i="7" s="1"/>
  <c r="P154" i="7" s="1"/>
  <c r="J26" i="7"/>
  <c r="M8" i="2"/>
  <c r="M24" i="7" s="1"/>
  <c r="P522" i="6"/>
  <c r="O519" i="6"/>
  <c r="O514" i="6" s="1"/>
  <c r="O58" i="6"/>
  <c r="K112" i="2"/>
  <c r="Q13" i="6"/>
  <c r="P12" i="6"/>
  <c r="D432" i="5"/>
  <c r="D431" i="5"/>
  <c r="D430" i="5"/>
  <c r="D434" i="5"/>
  <c r="P434" i="5" s="1"/>
  <c r="D433" i="5"/>
  <c r="Q14" i="6"/>
  <c r="J127" i="2"/>
  <c r="J15" i="1"/>
  <c r="M87" i="2"/>
  <c r="N57" i="6"/>
  <c r="N10" i="6"/>
  <c r="N9" i="6" s="1"/>
  <c r="O32" i="5"/>
  <c r="P60" i="6"/>
  <c r="P376" i="5"/>
  <c r="P379" i="5"/>
  <c r="O38" i="2"/>
  <c r="M106" i="7"/>
  <c r="N106" i="7" s="1"/>
  <c r="L105" i="7"/>
  <c r="L102" i="7" s="1"/>
  <c r="O60" i="2"/>
  <c r="J231" i="7"/>
  <c r="P191" i="5"/>
  <c r="J225" i="7"/>
  <c r="N490" i="6"/>
  <c r="P451" i="5"/>
  <c r="P53" i="5"/>
  <c r="O669" i="6"/>
  <c r="O638" i="6"/>
  <c r="O639" i="6" s="1"/>
  <c r="O636" i="6"/>
  <c r="P254" i="5"/>
  <c r="P250" i="5"/>
  <c r="P239" i="5" s="1"/>
  <c r="P171" i="5" s="1"/>
  <c r="P16" i="5" s="1"/>
  <c r="P170" i="5"/>
  <c r="P15" i="5" s="1"/>
  <c r="J213" i="7"/>
  <c r="P216" i="5"/>
  <c r="P225" i="5"/>
  <c r="P208" i="5"/>
  <c r="P200" i="5"/>
  <c r="P233" i="5"/>
  <c r="Q10" i="5"/>
  <c r="Q9" i="5" s="1"/>
  <c r="P9" i="5"/>
  <c r="O525" i="6"/>
  <c r="O523" i="6" s="1"/>
  <c r="O515" i="6" s="1"/>
  <c r="O269" i="6"/>
  <c r="O268" i="6" s="1"/>
  <c r="O274" i="6"/>
  <c r="J207" i="7"/>
  <c r="K38" i="6"/>
  <c r="K45" i="6"/>
  <c r="P252" i="6"/>
  <c r="P667" i="6" s="1"/>
  <c r="P669" i="6" s="1"/>
  <c r="P25" i="6"/>
  <c r="N61" i="2"/>
  <c r="I126" i="2"/>
  <c r="I22" i="1"/>
  <c r="I25" i="1" s="1"/>
  <c r="Q31" i="6"/>
  <c r="P86" i="2"/>
  <c r="N266" i="6"/>
  <c r="N238" i="6"/>
  <c r="O108" i="6"/>
  <c r="O59" i="6"/>
  <c r="O11" i="6" s="1"/>
  <c r="O75" i="2"/>
  <c r="J219" i="7"/>
  <c r="J201" i="7"/>
  <c r="J106" i="2"/>
  <c r="K172" i="7"/>
  <c r="K178" i="7" s="1"/>
  <c r="J121" i="7" s="1"/>
  <c r="J35" i="7" s="1"/>
  <c r="J108" i="2" s="1"/>
  <c r="O80" i="6"/>
  <c r="M7" i="1" l="1"/>
  <c r="M235" i="7"/>
  <c r="M234" i="7" s="1"/>
  <c r="M58" i="7" s="1"/>
  <c r="M123" i="2"/>
  <c r="M193" i="7"/>
  <c r="M192" i="7" s="1"/>
  <c r="M50" i="7" s="1"/>
  <c r="M241" i="7"/>
  <c r="M240" i="7" s="1"/>
  <c r="M59" i="7" s="1"/>
  <c r="M187" i="7"/>
  <c r="M186" i="7" s="1"/>
  <c r="M49" i="7" s="1"/>
  <c r="M108" i="7"/>
  <c r="M103" i="7" s="1"/>
  <c r="J38" i="7"/>
  <c r="J68" i="2" s="1"/>
  <c r="K68" i="2" s="1"/>
  <c r="J39" i="7"/>
  <c r="J97" i="2" s="1"/>
  <c r="J90" i="2" s="1"/>
  <c r="M105" i="7"/>
  <c r="M102" i="7" s="1"/>
  <c r="M29" i="7" s="1"/>
  <c r="M118" i="2" s="1"/>
  <c r="N21" i="6"/>
  <c r="P8" i="5"/>
  <c r="P10" i="2"/>
  <c r="P9" i="2" s="1"/>
  <c r="P401" i="5"/>
  <c r="P380" i="5"/>
  <c r="P27" i="5"/>
  <c r="P113" i="2" s="1"/>
  <c r="L430" i="5"/>
  <c r="L435" i="5" s="1"/>
  <c r="L383" i="5" s="1"/>
  <c r="K127" i="2"/>
  <c r="K15" i="1"/>
  <c r="L172" i="7"/>
  <c r="P218" i="7"/>
  <c r="P219" i="7" s="1"/>
  <c r="O218" i="7"/>
  <c r="O219" i="7" s="1"/>
  <c r="N218" i="7"/>
  <c r="N219" i="7" s="1"/>
  <c r="M218" i="7"/>
  <c r="M219" i="7" s="1"/>
  <c r="L218" i="7"/>
  <c r="L219" i="7" s="1"/>
  <c r="Q218" i="7"/>
  <c r="Q219" i="7" s="1"/>
  <c r="M96" i="2"/>
  <c r="M15" i="7"/>
  <c r="K46" i="6"/>
  <c r="Q8" i="5"/>
  <c r="Q10" i="2"/>
  <c r="Q9" i="2" s="1"/>
  <c r="Q212" i="7"/>
  <c r="Q213" i="7" s="1"/>
  <c r="P212" i="7"/>
  <c r="P213" i="7" s="1"/>
  <c r="O212" i="7"/>
  <c r="O213" i="7" s="1"/>
  <c r="N212" i="7"/>
  <c r="N213" i="7" s="1"/>
  <c r="M212" i="7"/>
  <c r="M213" i="7" s="1"/>
  <c r="L212" i="7"/>
  <c r="L213" i="7" s="1"/>
  <c r="N431" i="5"/>
  <c r="O431" i="5" s="1"/>
  <c r="P431" i="5" s="1"/>
  <c r="M431" i="5"/>
  <c r="O57" i="6"/>
  <c r="O10" i="6"/>
  <c r="O9" i="6" s="1"/>
  <c r="P77" i="6"/>
  <c r="O279" i="6"/>
  <c r="O277" i="6" s="1"/>
  <c r="O672" i="6"/>
  <c r="O673" i="6" s="1"/>
  <c r="O670" i="6"/>
  <c r="Q224" i="7"/>
  <c r="Q225" i="7" s="1"/>
  <c r="P224" i="7"/>
  <c r="P225" i="7" s="1"/>
  <c r="O224" i="7"/>
  <c r="O225" i="7" s="1"/>
  <c r="N224" i="7"/>
  <c r="N225" i="7" s="1"/>
  <c r="M224" i="7"/>
  <c r="M225" i="7" s="1"/>
  <c r="L224" i="7"/>
  <c r="L225" i="7" s="1"/>
  <c r="L29" i="7"/>
  <c r="N432" i="5"/>
  <c r="O432" i="5" s="1"/>
  <c r="P432" i="5" s="1"/>
  <c r="N206" i="7"/>
  <c r="N207" i="7" s="1"/>
  <c r="M206" i="7"/>
  <c r="M207" i="7" s="1"/>
  <c r="L206" i="7"/>
  <c r="L207" i="7" s="1"/>
  <c r="Q206" i="7"/>
  <c r="Q207" i="7" s="1"/>
  <c r="P206" i="7"/>
  <c r="P207" i="7" s="1"/>
  <c r="O206" i="7"/>
  <c r="O207" i="7" s="1"/>
  <c r="P632" i="6"/>
  <c r="P635" i="6" s="1"/>
  <c r="P25" i="2"/>
  <c r="O513" i="6"/>
  <c r="J81" i="7"/>
  <c r="J100" i="2"/>
  <c r="Q86" i="2"/>
  <c r="Q15" i="5"/>
  <c r="Q39" i="2" s="1"/>
  <c r="P39" i="2"/>
  <c r="P169" i="5"/>
  <c r="Q12" i="6"/>
  <c r="Q25" i="2" s="1"/>
  <c r="M30" i="7"/>
  <c r="M119" i="2" s="1"/>
  <c r="Q25" i="6"/>
  <c r="Q60" i="2" s="1"/>
  <c r="P60" i="2"/>
  <c r="Q16" i="5"/>
  <c r="Q40" i="2" s="1"/>
  <c r="P40" i="2"/>
  <c r="N615" i="6"/>
  <c r="N8" i="6"/>
  <c r="N24" i="2"/>
  <c r="N23" i="2" s="1"/>
  <c r="P672" i="6"/>
  <c r="P673" i="6" s="1"/>
  <c r="P670" i="6"/>
  <c r="O263" i="6"/>
  <c r="O275" i="6"/>
  <c r="P359" i="5"/>
  <c r="P357" i="5" s="1"/>
  <c r="P305" i="5" s="1"/>
  <c r="P23" i="5" s="1"/>
  <c r="P253" i="5"/>
  <c r="N230" i="7"/>
  <c r="N231" i="7" s="1"/>
  <c r="M230" i="7"/>
  <c r="M231" i="7" s="1"/>
  <c r="L230" i="7"/>
  <c r="L231" i="7" s="1"/>
  <c r="Q230" i="7"/>
  <c r="Q231" i="7" s="1"/>
  <c r="P230" i="7"/>
  <c r="P231" i="7" s="1"/>
  <c r="O230" i="7"/>
  <c r="O231" i="7" s="1"/>
  <c r="N400" i="6"/>
  <c r="N401" i="6"/>
  <c r="N390" i="6" s="1"/>
  <c r="N367" i="6" s="1"/>
  <c r="N67" i="6"/>
  <c r="O433" i="5"/>
  <c r="P433" i="5" s="1"/>
  <c r="Q200" i="7"/>
  <c r="Q201" i="7" s="1"/>
  <c r="P200" i="7"/>
  <c r="P201" i="7" s="1"/>
  <c r="O200" i="7"/>
  <c r="O201" i="7" s="1"/>
  <c r="N200" i="7"/>
  <c r="N201" i="7" s="1"/>
  <c r="M200" i="7"/>
  <c r="M201" i="7" s="1"/>
  <c r="L200" i="7"/>
  <c r="L201" i="7" s="1"/>
  <c r="N491" i="6"/>
  <c r="N494" i="6"/>
  <c r="J67" i="2" l="1"/>
  <c r="Q23" i="5"/>
  <c r="P75" i="2"/>
  <c r="N42" i="6"/>
  <c r="J14" i="1"/>
  <c r="K67" i="2"/>
  <c r="Q32" i="5"/>
  <c r="L385" i="5"/>
  <c r="L304" i="5" s="1"/>
  <c r="L384" i="5"/>
  <c r="L173" i="5" s="1"/>
  <c r="L456" i="5"/>
  <c r="L389" i="5"/>
  <c r="L26" i="5" s="1"/>
  <c r="L101" i="2" s="1"/>
  <c r="N616" i="6"/>
  <c r="O264" i="6"/>
  <c r="O239" i="6" s="1"/>
  <c r="O26" i="6" s="1"/>
  <c r="M430" i="5"/>
  <c r="N430" i="5" s="1"/>
  <c r="N435" i="5" s="1"/>
  <c r="N383" i="5" s="1"/>
  <c r="O266" i="6"/>
  <c r="O238" i="6"/>
  <c r="P14" i="5"/>
  <c r="P111" i="6"/>
  <c r="P113" i="6" s="1"/>
  <c r="P105" i="6" s="1"/>
  <c r="P107" i="6" s="1"/>
  <c r="P83" i="6"/>
  <c r="P78" i="6" s="1"/>
  <c r="P32" i="5"/>
  <c r="N495" i="6"/>
  <c r="N37" i="6"/>
  <c r="N116" i="2" s="1"/>
  <c r="N32" i="6"/>
  <c r="O615" i="6"/>
  <c r="O8" i="6"/>
  <c r="O24" i="2"/>
  <c r="O23" i="2" s="1"/>
  <c r="M172" i="7"/>
  <c r="N172" i="7" s="1"/>
  <c r="O172" i="7" s="1"/>
  <c r="N56" i="2"/>
  <c r="O490" i="6"/>
  <c r="L26" i="7"/>
  <c r="L118" i="2"/>
  <c r="L112" i="2" s="1"/>
  <c r="O401" i="6"/>
  <c r="O390" i="6" s="1"/>
  <c r="O367" i="6" s="1"/>
  <c r="O400" i="6"/>
  <c r="O67" i="6"/>
  <c r="M112" i="2"/>
  <c r="M26" i="7"/>
  <c r="P240" i="5"/>
  <c r="P256" i="5"/>
  <c r="N78" i="7"/>
  <c r="N84" i="7" s="1"/>
  <c r="N9" i="7" s="1"/>
  <c r="N35" i="2" s="1"/>
  <c r="P636" i="6"/>
  <c r="P638" i="6"/>
  <c r="P639" i="6" s="1"/>
  <c r="J80" i="7"/>
  <c r="J74" i="7" s="1"/>
  <c r="J79" i="7"/>
  <c r="N8" i="2" l="1"/>
  <c r="N123" i="2" s="1"/>
  <c r="L127" i="2"/>
  <c r="L15" i="1"/>
  <c r="Q14" i="5"/>
  <c r="P38" i="2"/>
  <c r="K79" i="7"/>
  <c r="K72" i="7" s="1"/>
  <c r="K73" i="7" s="1"/>
  <c r="K75" i="7" s="1"/>
  <c r="P430" i="5"/>
  <c r="P435" i="5" s="1"/>
  <c r="P383" i="5" s="1"/>
  <c r="O491" i="6"/>
  <c r="O494" i="6"/>
  <c r="M435" i="5"/>
  <c r="M383" i="5" s="1"/>
  <c r="O430" i="5"/>
  <c r="O435" i="5" s="1"/>
  <c r="O383" i="5" s="1"/>
  <c r="L18" i="5"/>
  <c r="L167" i="5"/>
  <c r="P172" i="7"/>
  <c r="O78" i="7"/>
  <c r="O84" i="7" s="1"/>
  <c r="O9" i="7" s="1"/>
  <c r="O35" i="2" s="1"/>
  <c r="O21" i="6"/>
  <c r="L24" i="5"/>
  <c r="L300" i="5"/>
  <c r="P172" i="5"/>
  <c r="P241" i="5"/>
  <c r="P242" i="5" s="1"/>
  <c r="O42" i="6"/>
  <c r="N456" i="5"/>
  <c r="N389" i="5"/>
  <c r="N26" i="5" s="1"/>
  <c r="N101" i="2" s="1"/>
  <c r="N385" i="5"/>
  <c r="N304" i="5" s="1"/>
  <c r="N384" i="5"/>
  <c r="N173" i="5" s="1"/>
  <c r="O61" i="2"/>
  <c r="J72" i="7"/>
  <c r="J73" i="7" s="1"/>
  <c r="J75" i="7" s="1"/>
  <c r="J86" i="7"/>
  <c r="O616" i="6"/>
  <c r="P525" i="6"/>
  <c r="P523" i="6" s="1"/>
  <c r="P515" i="6" s="1"/>
  <c r="P269" i="6"/>
  <c r="P268" i="6" s="1"/>
  <c r="P274" i="6"/>
  <c r="O32" i="6"/>
  <c r="P91" i="6"/>
  <c r="P79" i="6" s="1"/>
  <c r="P73" i="6" s="1"/>
  <c r="N87" i="2"/>
  <c r="P108" i="6"/>
  <c r="P59" i="6"/>
  <c r="P11" i="6" s="1"/>
  <c r="M127" i="2"/>
  <c r="M15" i="1"/>
  <c r="Q75" i="2"/>
  <c r="N235" i="7" l="1"/>
  <c r="N234" i="7" s="1"/>
  <c r="N58" i="7" s="1"/>
  <c r="N7" i="1"/>
  <c r="N24" i="7"/>
  <c r="N193" i="7"/>
  <c r="N192" i="7" s="1"/>
  <c r="N50" i="7" s="1"/>
  <c r="N241" i="7"/>
  <c r="N240" i="7" s="1"/>
  <c r="N59" i="7" s="1"/>
  <c r="N105" i="7"/>
  <c r="N102" i="7" s="1"/>
  <c r="N29" i="7" s="1"/>
  <c r="N187" i="7"/>
  <c r="N186" i="7" s="1"/>
  <c r="N49" i="7" s="1"/>
  <c r="N108" i="7"/>
  <c r="N103" i="7" s="1"/>
  <c r="N30" i="7" s="1"/>
  <c r="N119" i="2" s="1"/>
  <c r="P80" i="6"/>
  <c r="P519" i="6"/>
  <c r="P514" i="6" s="1"/>
  <c r="P513" i="6" s="1"/>
  <c r="P58" i="6"/>
  <c r="P389" i="5"/>
  <c r="P26" i="5" s="1"/>
  <c r="P101" i="2" s="1"/>
  <c r="P385" i="5"/>
  <c r="P304" i="5" s="1"/>
  <c r="P384" i="5"/>
  <c r="P173" i="5" s="1"/>
  <c r="P18" i="5" s="1"/>
  <c r="P456" i="5"/>
  <c r="P263" i="6"/>
  <c r="P275" i="6"/>
  <c r="Q38" i="2"/>
  <c r="L76" i="2"/>
  <c r="L72" i="2" s="1"/>
  <c r="L20" i="5"/>
  <c r="O56" i="2"/>
  <c r="N18" i="5"/>
  <c r="N167" i="5"/>
  <c r="O8" i="2"/>
  <c r="L452" i="5"/>
  <c r="L168" i="5"/>
  <c r="L179" i="5"/>
  <c r="L30" i="5"/>
  <c r="L42" i="2"/>
  <c r="L37" i="2" s="1"/>
  <c r="L13" i="5"/>
  <c r="N96" i="2"/>
  <c r="N15" i="7"/>
  <c r="N24" i="5"/>
  <c r="N300" i="5"/>
  <c r="O389" i="5"/>
  <c r="O26" i="5" s="1"/>
  <c r="O101" i="2" s="1"/>
  <c r="O385" i="5"/>
  <c r="O304" i="5" s="1"/>
  <c r="O384" i="5"/>
  <c r="O173" i="5" s="1"/>
  <c r="O456" i="5"/>
  <c r="M456" i="5"/>
  <c r="M389" i="5"/>
  <c r="M26" i="5" s="1"/>
  <c r="M101" i="2" s="1"/>
  <c r="M385" i="5"/>
  <c r="M304" i="5" s="1"/>
  <c r="M384" i="5"/>
  <c r="M173" i="5" s="1"/>
  <c r="P17" i="5"/>
  <c r="P167" i="5"/>
  <c r="Q11" i="6"/>
  <c r="O87" i="2"/>
  <c r="J88" i="7"/>
  <c r="J90" i="7" s="1"/>
  <c r="K86" i="7"/>
  <c r="L453" i="5"/>
  <c r="L310" i="5"/>
  <c r="L301" i="5"/>
  <c r="O495" i="6"/>
  <c r="O37" i="6"/>
  <c r="O116" i="2" s="1"/>
  <c r="P279" i="6" l="1"/>
  <c r="P277" i="6" s="1"/>
  <c r="P264" i="6" s="1"/>
  <c r="P239" i="6" s="1"/>
  <c r="P26" i="6" s="1"/>
  <c r="P61" i="2" s="1"/>
  <c r="J11" i="7"/>
  <c r="J98" i="2"/>
  <c r="M24" i="5"/>
  <c r="M300" i="5"/>
  <c r="N30" i="5"/>
  <c r="N42" i="2"/>
  <c r="N37" i="2" s="1"/>
  <c r="N13" i="5"/>
  <c r="N76" i="2"/>
  <c r="N72" i="2" s="1"/>
  <c r="N20" i="5"/>
  <c r="P238" i="6"/>
  <c r="P266" i="6"/>
  <c r="L454" i="5"/>
  <c r="Q18" i="5"/>
  <c r="Q42" i="2" s="1"/>
  <c r="P42" i="2"/>
  <c r="N453" i="5"/>
  <c r="N301" i="5"/>
  <c r="N310" i="5"/>
  <c r="O235" i="7"/>
  <c r="O234" i="7" s="1"/>
  <c r="O58" i="7" s="1"/>
  <c r="O108" i="7"/>
  <c r="O103" i="7" s="1"/>
  <c r="O187" i="7"/>
  <c r="O186" i="7" s="1"/>
  <c r="O49" i="7" s="1"/>
  <c r="O105" i="7"/>
  <c r="O102" i="7" s="1"/>
  <c r="O241" i="7"/>
  <c r="O240" i="7" s="1"/>
  <c r="O59" i="7" s="1"/>
  <c r="O193" i="7"/>
  <c r="O192" i="7" s="1"/>
  <c r="O50" i="7" s="1"/>
  <c r="O24" i="7"/>
  <c r="O123" i="2"/>
  <c r="O7" i="1"/>
  <c r="P452" i="5"/>
  <c r="P179" i="5"/>
  <c r="P168" i="5"/>
  <c r="L34" i="5"/>
  <c r="P24" i="5"/>
  <c r="P300" i="5"/>
  <c r="P57" i="6"/>
  <c r="P10" i="6"/>
  <c r="Q17" i="5"/>
  <c r="P41" i="2"/>
  <c r="P13" i="5"/>
  <c r="O18" i="5"/>
  <c r="O167" i="5"/>
  <c r="L33" i="5"/>
  <c r="L19" i="5"/>
  <c r="L25" i="5" s="1"/>
  <c r="N26" i="7"/>
  <c r="N118" i="2"/>
  <c r="N112" i="2" s="1"/>
  <c r="Q101" i="2"/>
  <c r="J10" i="7"/>
  <c r="K88" i="7"/>
  <c r="K10" i="7" s="1"/>
  <c r="M18" i="5"/>
  <c r="M167" i="5"/>
  <c r="O24" i="5"/>
  <c r="O300" i="5"/>
  <c r="N452" i="5"/>
  <c r="N454" i="5" s="1"/>
  <c r="N179" i="5"/>
  <c r="N168" i="5"/>
  <c r="P490" i="6"/>
  <c r="D545" i="6" a="1"/>
  <c r="J69" i="2" l="1"/>
  <c r="Q26" i="6"/>
  <c r="Q61" i="2" s="1"/>
  <c r="P37" i="2"/>
  <c r="O30" i="5"/>
  <c r="O42" i="2"/>
  <c r="O37" i="2" s="1"/>
  <c r="O13" i="5"/>
  <c r="P453" i="5"/>
  <c r="P301" i="5"/>
  <c r="P310" i="5"/>
  <c r="L457" i="5"/>
  <c r="L458" i="5" s="1"/>
  <c r="L455" i="5"/>
  <c r="M452" i="5"/>
  <c r="M168" i="5"/>
  <c r="M179" i="5"/>
  <c r="P33" i="5"/>
  <c r="P19" i="5"/>
  <c r="K69" i="2"/>
  <c r="O96" i="2"/>
  <c r="O15" i="7"/>
  <c r="N457" i="5"/>
  <c r="N458" i="5" s="1"/>
  <c r="N455" i="5"/>
  <c r="P454" i="5"/>
  <c r="J36" i="2"/>
  <c r="N127" i="2"/>
  <c r="N15" i="1"/>
  <c r="Q41" i="2"/>
  <c r="Q37" i="2" s="1"/>
  <c r="Q13" i="5"/>
  <c r="P21" i="6"/>
  <c r="M453" i="5"/>
  <c r="M310" i="5"/>
  <c r="M301" i="5"/>
  <c r="Q24" i="5"/>
  <c r="P76" i="2"/>
  <c r="P72" i="2" s="1"/>
  <c r="P20" i="5"/>
  <c r="N34" i="5"/>
  <c r="M76" i="2"/>
  <c r="M72" i="2" s="1"/>
  <c r="M20" i="5"/>
  <c r="P491" i="6"/>
  <c r="P494" i="6"/>
  <c r="L28" i="5"/>
  <c r="L36" i="5" s="1"/>
  <c r="L35" i="5"/>
  <c r="K90" i="7"/>
  <c r="O29" i="7"/>
  <c r="N33" i="5"/>
  <c r="N19" i="5"/>
  <c r="N25" i="5" s="1"/>
  <c r="D547" i="6"/>
  <c r="D546" i="6"/>
  <c r="D545" i="6"/>
  <c r="D549" i="6"/>
  <c r="P549" i="6" s="1"/>
  <c r="D548" i="6"/>
  <c r="O453" i="5"/>
  <c r="O301" i="5"/>
  <c r="O310" i="5"/>
  <c r="Q10" i="6"/>
  <c r="Q9" i="6" s="1"/>
  <c r="P9" i="6"/>
  <c r="P30" i="5"/>
  <c r="J71" i="2"/>
  <c r="J10" i="1" s="1"/>
  <c r="M30" i="5"/>
  <c r="M42" i="2"/>
  <c r="M37" i="2" s="1"/>
  <c r="M13" i="5"/>
  <c r="O76" i="2"/>
  <c r="O72" i="2" s="1"/>
  <c r="O20" i="5"/>
  <c r="O452" i="5"/>
  <c r="O179" i="5"/>
  <c r="O168" i="5"/>
  <c r="P401" i="6"/>
  <c r="P390" i="6" s="1"/>
  <c r="P367" i="6" s="1"/>
  <c r="P400" i="6"/>
  <c r="P67" i="6"/>
  <c r="O30" i="7"/>
  <c r="O119" i="2" s="1"/>
  <c r="O454" i="5" l="1"/>
  <c r="M33" i="5"/>
  <c r="M19" i="5"/>
  <c r="M25" i="5" s="1"/>
  <c r="M546" i="6"/>
  <c r="N546" i="6" s="1"/>
  <c r="N547" i="6"/>
  <c r="O547" i="6" s="1"/>
  <c r="P547" i="6" s="1"/>
  <c r="P34" i="5"/>
  <c r="Q33" i="5"/>
  <c r="Q19" i="5"/>
  <c r="M34" i="5"/>
  <c r="Q76" i="2"/>
  <c r="Q72" i="2" s="1"/>
  <c r="Q20" i="5"/>
  <c r="P25" i="5"/>
  <c r="P32" i="6"/>
  <c r="O118" i="2"/>
  <c r="O112" i="2" s="1"/>
  <c r="O26" i="7"/>
  <c r="N28" i="5"/>
  <c r="N36" i="5" s="1"/>
  <c r="N35" i="5"/>
  <c r="K11" i="7"/>
  <c r="K98" i="2"/>
  <c r="P457" i="5"/>
  <c r="P458" i="5" s="1"/>
  <c r="P455" i="5"/>
  <c r="O457" i="5"/>
  <c r="O458" i="5" s="1"/>
  <c r="O455" i="5"/>
  <c r="O548" i="6"/>
  <c r="P548" i="6" s="1"/>
  <c r="K36" i="2"/>
  <c r="O34" i="5"/>
  <c r="P615" i="6"/>
  <c r="P8" i="6"/>
  <c r="P24" i="2"/>
  <c r="P23" i="2" s="1"/>
  <c r="J229" i="7"/>
  <c r="J228" i="7" s="1"/>
  <c r="J205" i="7"/>
  <c r="J204" i="7" s="1"/>
  <c r="J217" i="7"/>
  <c r="J216" i="7" s="1"/>
  <c r="J223" i="7"/>
  <c r="J222" i="7" s="1"/>
  <c r="J211" i="7"/>
  <c r="J210" i="7" s="1"/>
  <c r="J199" i="7"/>
  <c r="J198" i="7" s="1"/>
  <c r="J124" i="2"/>
  <c r="J8" i="1"/>
  <c r="J9" i="1" s="1"/>
  <c r="J11" i="1" s="1"/>
  <c r="J70" i="2"/>
  <c r="J99" i="2" s="1"/>
  <c r="O33" i="5"/>
  <c r="O19" i="5"/>
  <c r="O25" i="5" s="1"/>
  <c r="Q8" i="6"/>
  <c r="Q24" i="2"/>
  <c r="Q23" i="2" s="1"/>
  <c r="L545" i="6"/>
  <c r="L550" i="6" s="1"/>
  <c r="L498" i="6" s="1"/>
  <c r="P495" i="6"/>
  <c r="P37" i="6"/>
  <c r="P116" i="2" s="1"/>
  <c r="M454" i="5"/>
  <c r="Q21" i="6"/>
  <c r="P56" i="2"/>
  <c r="M545" i="6" l="1"/>
  <c r="M550" i="6" s="1"/>
  <c r="M498" i="6" s="1"/>
  <c r="O546" i="6"/>
  <c r="P546" i="6" s="1"/>
  <c r="O28" i="5"/>
  <c r="O36" i="5" s="1"/>
  <c r="O35" i="5"/>
  <c r="K216" i="7"/>
  <c r="J55" i="7"/>
  <c r="O127" i="2"/>
  <c r="O15" i="1"/>
  <c r="Q34" i="5"/>
  <c r="Q56" i="2"/>
  <c r="Q78" i="7"/>
  <c r="Q84" i="7" s="1"/>
  <c r="Q9" i="7" s="1"/>
  <c r="Q35" i="2" s="1"/>
  <c r="Q8" i="2" s="1"/>
  <c r="K204" i="7"/>
  <c r="J52" i="7"/>
  <c r="K52" i="7" s="1"/>
  <c r="K124" i="2"/>
  <c r="K8" i="1"/>
  <c r="K9" i="1" s="1"/>
  <c r="K70" i="2"/>
  <c r="Q32" i="6"/>
  <c r="P87" i="2"/>
  <c r="M28" i="5"/>
  <c r="M36" i="5" s="1"/>
  <c r="M35" i="5"/>
  <c r="J111" i="2"/>
  <c r="J125" i="2"/>
  <c r="J24" i="1"/>
  <c r="J22" i="1"/>
  <c r="J25" i="1" s="1"/>
  <c r="J54" i="1"/>
  <c r="P78" i="7"/>
  <c r="P84" i="7" s="1"/>
  <c r="P9" i="7" s="1"/>
  <c r="P35" i="2" s="1"/>
  <c r="K71" i="2"/>
  <c r="K217" i="7" s="1"/>
  <c r="P28" i="5"/>
  <c r="P36" i="5" s="1"/>
  <c r="P35" i="5"/>
  <c r="K228" i="7"/>
  <c r="J57" i="7"/>
  <c r="K57" i="7" s="1"/>
  <c r="L621" i="6"/>
  <c r="L500" i="6"/>
  <c r="L369" i="6" s="1"/>
  <c r="L499" i="6"/>
  <c r="L240" i="6" s="1"/>
  <c r="L507" i="6"/>
  <c r="L36" i="6" s="1"/>
  <c r="L104" i="2" s="1"/>
  <c r="Q42" i="6"/>
  <c r="M621" i="6"/>
  <c r="M500" i="6"/>
  <c r="M369" i="6" s="1"/>
  <c r="M499" i="6"/>
  <c r="M240" i="6" s="1"/>
  <c r="M507" i="6"/>
  <c r="M36" i="6" s="1"/>
  <c r="M104" i="2" s="1"/>
  <c r="K198" i="7"/>
  <c r="J51" i="7"/>
  <c r="P42" i="6"/>
  <c r="Q25" i="5"/>
  <c r="K210" i="7"/>
  <c r="J53" i="7"/>
  <c r="K53" i="7" s="1"/>
  <c r="P616" i="6"/>
  <c r="M457" i="5"/>
  <c r="M458" i="5" s="1"/>
  <c r="M455" i="5"/>
  <c r="K222" i="7"/>
  <c r="J56" i="7"/>
  <c r="K56" i="7" s="1"/>
  <c r="N545" i="6" l="1"/>
  <c r="Q241" i="7"/>
  <c r="Q240" i="7" s="1"/>
  <c r="Q59" i="7" s="1"/>
  <c r="Q193" i="7"/>
  <c r="Q192" i="7" s="1"/>
  <c r="Q50" i="7" s="1"/>
  <c r="Q235" i="7"/>
  <c r="Q234" i="7" s="1"/>
  <c r="Q58" i="7" s="1"/>
  <c r="Q187" i="7"/>
  <c r="Q186" i="7" s="1"/>
  <c r="Q49" i="7" s="1"/>
  <c r="Q7" i="1"/>
  <c r="Q127" i="2"/>
  <c r="K51" i="7"/>
  <c r="K48" i="7" s="1"/>
  <c r="J48" i="7"/>
  <c r="K199" i="7"/>
  <c r="K99" i="2"/>
  <c r="K211" i="7"/>
  <c r="J54" i="7"/>
  <c r="K55" i="7"/>
  <c r="K54" i="7" s="1"/>
  <c r="M28" i="6"/>
  <c r="M237" i="6"/>
  <c r="M34" i="6"/>
  <c r="M365" i="6"/>
  <c r="P8" i="2"/>
  <c r="Q123" i="2" s="1"/>
  <c r="K223" i="7"/>
  <c r="L28" i="6"/>
  <c r="L237" i="6"/>
  <c r="J126" i="2"/>
  <c r="K10" i="1"/>
  <c r="K11" i="1" s="1"/>
  <c r="Q28" i="5"/>
  <c r="Q36" i="5" s="1"/>
  <c r="Q35" i="5"/>
  <c r="L34" i="6"/>
  <c r="L365" i="6"/>
  <c r="Q87" i="2"/>
  <c r="K205" i="7"/>
  <c r="J58" i="1"/>
  <c r="J57" i="1"/>
  <c r="J55" i="1"/>
  <c r="J56" i="1"/>
  <c r="K229" i="7"/>
  <c r="O545" i="6" l="1"/>
  <c r="N550" i="6"/>
  <c r="N498" i="6" s="1"/>
  <c r="L618" i="6"/>
  <c r="L382" i="6"/>
  <c r="J12" i="1"/>
  <c r="M617" i="6"/>
  <c r="M256" i="6"/>
  <c r="K125" i="2"/>
  <c r="K111" i="2"/>
  <c r="M63" i="2"/>
  <c r="M55" i="2" s="1"/>
  <c r="M20" i="6"/>
  <c r="L617" i="6"/>
  <c r="L256" i="6"/>
  <c r="M618" i="6"/>
  <c r="M382" i="6"/>
  <c r="M89" i="2"/>
  <c r="M85" i="2" s="1"/>
  <c r="M30" i="6"/>
  <c r="L89" i="2"/>
  <c r="L85" i="2" s="1"/>
  <c r="L30" i="6"/>
  <c r="K54" i="1"/>
  <c r="K24" i="1"/>
  <c r="K22" i="1"/>
  <c r="K25" i="1" s="1"/>
  <c r="J60" i="7"/>
  <c r="J61" i="7" s="1"/>
  <c r="J120" i="2" s="1"/>
  <c r="J16" i="1" s="1"/>
  <c r="L63" i="2"/>
  <c r="L55" i="2" s="1"/>
  <c r="L20" i="6"/>
  <c r="P187" i="7"/>
  <c r="P186" i="7" s="1"/>
  <c r="P49" i="7" s="1"/>
  <c r="P105" i="7"/>
  <c r="P102" i="7" s="1"/>
  <c r="P241" i="7"/>
  <c r="P240" i="7" s="1"/>
  <c r="P59" i="7" s="1"/>
  <c r="P193" i="7"/>
  <c r="P192" i="7" s="1"/>
  <c r="P50" i="7" s="1"/>
  <c r="P235" i="7"/>
  <c r="P234" i="7" s="1"/>
  <c r="P58" i="7" s="1"/>
  <c r="P108" i="7"/>
  <c r="P103" i="7" s="1"/>
  <c r="P24" i="7"/>
  <c r="P123" i="2"/>
  <c r="P7" i="1"/>
  <c r="K60" i="7"/>
  <c r="N500" i="6" l="1"/>
  <c r="N369" i="6" s="1"/>
  <c r="N499" i="6"/>
  <c r="N240" i="6" s="1"/>
  <c r="N507" i="6"/>
  <c r="N36" i="6" s="1"/>
  <c r="N104" i="2" s="1"/>
  <c r="N621" i="6"/>
  <c r="O550" i="6"/>
  <c r="O498" i="6" s="1"/>
  <c r="P545" i="6"/>
  <c r="P550" i="6" s="1"/>
  <c r="P498" i="6" s="1"/>
  <c r="Q24" i="7"/>
  <c r="P96" i="2"/>
  <c r="P15" i="7"/>
  <c r="P30" i="7"/>
  <c r="P119" i="2" s="1"/>
  <c r="D173" i="7" a="1"/>
  <c r="M619" i="6"/>
  <c r="K58" i="1"/>
  <c r="K57" i="1"/>
  <c r="K56" i="1"/>
  <c r="K55" i="1"/>
  <c r="K126" i="2"/>
  <c r="K61" i="7"/>
  <c r="K120" i="2" s="1"/>
  <c r="J13" i="1"/>
  <c r="J17" i="1" s="1"/>
  <c r="J20" i="1" s="1"/>
  <c r="P29" i="7"/>
  <c r="D155" i="7" a="1"/>
  <c r="M44" i="6"/>
  <c r="M43" i="6"/>
  <c r="M29" i="6"/>
  <c r="M35" i="6" s="1"/>
  <c r="L43" i="6"/>
  <c r="L29" i="6"/>
  <c r="L35" i="6" s="1"/>
  <c r="L44" i="6"/>
  <c r="L619" i="6"/>
  <c r="P621" i="6" l="1"/>
  <c r="P500" i="6"/>
  <c r="P369" i="6" s="1"/>
  <c r="P499" i="6"/>
  <c r="P240" i="6" s="1"/>
  <c r="P507" i="6"/>
  <c r="P36" i="6" s="1"/>
  <c r="P104" i="2" s="1"/>
  <c r="Q104" i="2" s="1"/>
  <c r="O500" i="6"/>
  <c r="O369" i="6" s="1"/>
  <c r="O499" i="6"/>
  <c r="O240" i="6" s="1"/>
  <c r="O507" i="6"/>
  <c r="O36" i="6" s="1"/>
  <c r="O104" i="2" s="1"/>
  <c r="O621" i="6"/>
  <c r="N28" i="6"/>
  <c r="N237" i="6"/>
  <c r="N34" i="6"/>
  <c r="N365" i="6"/>
  <c r="K16" i="1"/>
  <c r="M622" i="6"/>
  <c r="M623" i="6" s="1"/>
  <c r="M620" i="6"/>
  <c r="M45" i="6"/>
  <c r="M38" i="6"/>
  <c r="M46" i="6" s="1"/>
  <c r="L45" i="6"/>
  <c r="L38" i="6"/>
  <c r="L46" i="6" s="1"/>
  <c r="K12" i="1"/>
  <c r="D174" i="7"/>
  <c r="D173" i="7"/>
  <c r="D177" i="7"/>
  <c r="P177" i="7" s="1"/>
  <c r="D176" i="7"/>
  <c r="D175" i="7"/>
  <c r="L622" i="6"/>
  <c r="L623" i="6" s="1"/>
  <c r="L620" i="6"/>
  <c r="P26" i="7"/>
  <c r="P118" i="2"/>
  <c r="P112" i="2" s="1"/>
  <c r="D158" i="7"/>
  <c r="D157" i="7"/>
  <c r="D156" i="7"/>
  <c r="D155" i="7"/>
  <c r="D159" i="7"/>
  <c r="P159" i="7" s="1"/>
  <c r="Q96" i="2"/>
  <c r="Q90" i="2" s="1"/>
  <c r="Q15" i="7"/>
  <c r="O237" i="6" l="1"/>
  <c r="O28" i="6"/>
  <c r="O34" i="6"/>
  <c r="O365" i="6"/>
  <c r="N382" i="6"/>
  <c r="N618" i="6"/>
  <c r="N30" i="6"/>
  <c r="N89" i="2"/>
  <c r="N85" i="2" s="1"/>
  <c r="P28" i="6"/>
  <c r="P237" i="6"/>
  <c r="N617" i="6"/>
  <c r="N256" i="6"/>
  <c r="P34" i="6"/>
  <c r="P365" i="6"/>
  <c r="N63" i="2"/>
  <c r="N55" i="2" s="1"/>
  <c r="N20" i="6"/>
  <c r="N175" i="7"/>
  <c r="O175" i="7" s="1"/>
  <c r="P175" i="7" s="1"/>
  <c r="O176" i="7"/>
  <c r="P176" i="7" s="1"/>
  <c r="P127" i="2"/>
  <c r="P15" i="1"/>
  <c r="K13" i="1"/>
  <c r="K17" i="1" s="1"/>
  <c r="L173" i="7"/>
  <c r="L178" i="7" s="1"/>
  <c r="L121" i="7" s="1"/>
  <c r="L35" i="7" s="1"/>
  <c r="L108" i="2" s="1"/>
  <c r="M156" i="7"/>
  <c r="N156" i="7" s="1"/>
  <c r="M174" i="7"/>
  <c r="L155" i="7"/>
  <c r="L160" i="7" s="1"/>
  <c r="L119" i="7" s="1"/>
  <c r="L33" i="7" s="1"/>
  <c r="N157" i="7"/>
  <c r="O158" i="7"/>
  <c r="P158" i="7" s="1"/>
  <c r="N44" i="6" l="1"/>
  <c r="P618" i="6"/>
  <c r="P382" i="6"/>
  <c r="Q34" i="6"/>
  <c r="P89" i="2"/>
  <c r="P85" i="2" s="1"/>
  <c r="P30" i="6"/>
  <c r="N619" i="6"/>
  <c r="O382" i="6"/>
  <c r="O618" i="6"/>
  <c r="P256" i="6"/>
  <c r="P617" i="6"/>
  <c r="P619" i="6" s="1"/>
  <c r="O89" i="2"/>
  <c r="O85" i="2" s="1"/>
  <c r="O30" i="6"/>
  <c r="N29" i="6"/>
  <c r="N35" i="6" s="1"/>
  <c r="N43" i="6"/>
  <c r="O63" i="2"/>
  <c r="O55" i="2" s="1"/>
  <c r="O20" i="6"/>
  <c r="P63" i="2"/>
  <c r="P55" i="2" s="1"/>
  <c r="P20" i="6"/>
  <c r="Q28" i="6"/>
  <c r="O617" i="6"/>
  <c r="O619" i="6" s="1"/>
  <c r="O622" i="6" s="1"/>
  <c r="O623" i="6" s="1"/>
  <c r="O256" i="6"/>
  <c r="N174" i="7"/>
  <c r="O174" i="7" s="1"/>
  <c r="P174" i="7" s="1"/>
  <c r="M155" i="7"/>
  <c r="M160" i="7" s="1"/>
  <c r="M119" i="7" s="1"/>
  <c r="M33" i="7" s="1"/>
  <c r="M106" i="2" s="1"/>
  <c r="L106" i="2"/>
  <c r="L39" i="7"/>
  <c r="L97" i="2" s="1"/>
  <c r="L90" i="2" s="1"/>
  <c r="L38" i="7"/>
  <c r="L68" i="2" s="1"/>
  <c r="L67" i="2" s="1"/>
  <c r="O157" i="7"/>
  <c r="P157" i="7" s="1"/>
  <c r="M173" i="7"/>
  <c r="O156" i="7"/>
  <c r="P156" i="7" s="1"/>
  <c r="N155" i="7" l="1"/>
  <c r="N160" i="7" s="1"/>
  <c r="N119" i="7" s="1"/>
  <c r="N33" i="7" s="1"/>
  <c r="P622" i="6"/>
  <c r="P623" i="6" s="1"/>
  <c r="P620" i="6"/>
  <c r="O29" i="6"/>
  <c r="O35" i="6" s="1"/>
  <c r="O43" i="6"/>
  <c r="Q89" i="2"/>
  <c r="Q85" i="2" s="1"/>
  <c r="Q80" i="7" s="1"/>
  <c r="Q74" i="7" s="1"/>
  <c r="Q30" i="6"/>
  <c r="Q44" i="6" s="1"/>
  <c r="N38" i="6"/>
  <c r="N46" i="6" s="1"/>
  <c r="N45" i="6"/>
  <c r="Q20" i="6"/>
  <c r="Q63" i="2"/>
  <c r="Q55" i="2" s="1"/>
  <c r="O620" i="6"/>
  <c r="P29" i="6"/>
  <c r="P35" i="6" s="1"/>
  <c r="P43" i="6"/>
  <c r="P44" i="6"/>
  <c r="O44" i="6"/>
  <c r="N622" i="6"/>
  <c r="N623" i="6" s="1"/>
  <c r="N620" i="6"/>
  <c r="L79" i="7"/>
  <c r="L80" i="7"/>
  <c r="L74" i="7" s="1"/>
  <c r="L81" i="7"/>
  <c r="L100" i="2"/>
  <c r="O155" i="7"/>
  <c r="O160" i="7" s="1"/>
  <c r="O119" i="7" s="1"/>
  <c r="O33" i="7" s="1"/>
  <c r="N106" i="2"/>
  <c r="M178" i="7"/>
  <c r="M121" i="7" s="1"/>
  <c r="M35" i="7" s="1"/>
  <c r="N173" i="7"/>
  <c r="O38" i="6" l="1"/>
  <c r="O46" i="6" s="1"/>
  <c r="O45" i="6"/>
  <c r="P38" i="6"/>
  <c r="P46" i="6" s="1"/>
  <c r="P45" i="6"/>
  <c r="Q29" i="6"/>
  <c r="Q35" i="6" s="1"/>
  <c r="Q43" i="6"/>
  <c r="P155" i="7"/>
  <c r="P160" i="7" s="1"/>
  <c r="P119" i="7" s="1"/>
  <c r="P33" i="7" s="1"/>
  <c r="P106" i="2" s="1"/>
  <c r="L14" i="1"/>
  <c r="L72" i="7"/>
  <c r="L73" i="7" s="1"/>
  <c r="L75" i="7" s="1"/>
  <c r="L86" i="7"/>
  <c r="N178" i="7"/>
  <c r="N121" i="7" s="1"/>
  <c r="N35" i="7" s="1"/>
  <c r="O173" i="7"/>
  <c r="O178" i="7" s="1"/>
  <c r="O121" i="7" s="1"/>
  <c r="O35" i="7" s="1"/>
  <c r="O108" i="2" s="1"/>
  <c r="O106" i="2"/>
  <c r="M108" i="2"/>
  <c r="M39" i="7"/>
  <c r="M97" i="2" s="1"/>
  <c r="M90" i="2" s="1"/>
  <c r="M38" i="7"/>
  <c r="M68" i="2" s="1"/>
  <c r="M67" i="2" s="1"/>
  <c r="Q45" i="6" l="1"/>
  <c r="Q38" i="6"/>
  <c r="Q46" i="6" s="1"/>
  <c r="O38" i="7"/>
  <c r="O68" i="2" s="1"/>
  <c r="O67" i="2" s="1"/>
  <c r="O79" i="7" s="1"/>
  <c r="P173" i="7"/>
  <c r="P178" i="7" s="1"/>
  <c r="P121" i="7" s="1"/>
  <c r="P35" i="7" s="1"/>
  <c r="P108" i="2" s="1"/>
  <c r="Q108" i="2" s="1"/>
  <c r="L88" i="7"/>
  <c r="L10" i="7" s="1"/>
  <c r="L69" i="2" s="1"/>
  <c r="M79" i="7"/>
  <c r="O39" i="7"/>
  <c r="O97" i="2" s="1"/>
  <c r="O90" i="2" s="1"/>
  <c r="M80" i="7"/>
  <c r="M74" i="7" s="1"/>
  <c r="M81" i="7"/>
  <c r="M100" i="2"/>
  <c r="N108" i="2"/>
  <c r="N39" i="7"/>
  <c r="N97" i="2" s="1"/>
  <c r="N90" i="2" s="1"/>
  <c r="N38" i="7"/>
  <c r="N68" i="2" s="1"/>
  <c r="N67" i="2" s="1"/>
  <c r="O81" i="7"/>
  <c r="O100" i="2"/>
  <c r="Q106" i="2"/>
  <c r="P38" i="7" l="1"/>
  <c r="P68" i="2" s="1"/>
  <c r="P39" i="7"/>
  <c r="P97" i="2" s="1"/>
  <c r="P90" i="2" s="1"/>
  <c r="P81" i="7"/>
  <c r="P100" i="2"/>
  <c r="O72" i="7"/>
  <c r="M72" i="7"/>
  <c r="M73" i="7" s="1"/>
  <c r="M75" i="7" s="1"/>
  <c r="M86" i="7"/>
  <c r="Q68" i="2"/>
  <c r="Q67" i="2" s="1"/>
  <c r="P67" i="2"/>
  <c r="N79" i="7"/>
  <c r="P80" i="7"/>
  <c r="P74" i="7" s="1"/>
  <c r="N80" i="7"/>
  <c r="N74" i="7" s="1"/>
  <c r="N81" i="7"/>
  <c r="N100" i="2"/>
  <c r="P14" i="1"/>
  <c r="Q81" i="7"/>
  <c r="Q100" i="2"/>
  <c r="M14" i="1"/>
  <c r="L36" i="2"/>
  <c r="O14" i="1"/>
  <c r="O80" i="7"/>
  <c r="O74" i="7" s="1"/>
  <c r="L90" i="7"/>
  <c r="L11" i="7" l="1"/>
  <c r="L98" i="2"/>
  <c r="N14" i="1"/>
  <c r="N72" i="7"/>
  <c r="N73" i="7" s="1"/>
  <c r="N75" i="7" s="1"/>
  <c r="N86" i="7"/>
  <c r="Q79" i="7"/>
  <c r="M88" i="7"/>
  <c r="M10" i="7" s="1"/>
  <c r="M69" i="2" s="1"/>
  <c r="P79" i="7"/>
  <c r="O86" i="7"/>
  <c r="O73" i="7"/>
  <c r="O75" i="7" s="1"/>
  <c r="Q14" i="1"/>
  <c r="Q15" i="1" s="1"/>
  <c r="L124" i="2"/>
  <c r="L8" i="1"/>
  <c r="L9" i="1" s="1"/>
  <c r="L70" i="2"/>
  <c r="Q72" i="7" l="1"/>
  <c r="Q73" i="7" s="1"/>
  <c r="Q75" i="7" s="1"/>
  <c r="Q86" i="7"/>
  <c r="P72" i="7"/>
  <c r="P73" i="7" s="1"/>
  <c r="P75" i="7" s="1"/>
  <c r="P86" i="7"/>
  <c r="N88" i="7"/>
  <c r="N10" i="7" s="1"/>
  <c r="N69" i="2" s="1"/>
  <c r="M90" i="7"/>
  <c r="L71" i="2"/>
  <c r="L99" i="2" s="1"/>
  <c r="M36" i="2"/>
  <c r="O88" i="7"/>
  <c r="O10" i="7" s="1"/>
  <c r="O69" i="2" s="1"/>
  <c r="O90" i="7" l="1"/>
  <c r="O11" i="7" s="1"/>
  <c r="L125" i="2"/>
  <c r="L111" i="2"/>
  <c r="N36" i="2"/>
  <c r="N90" i="7"/>
  <c r="M124" i="2"/>
  <c r="M8" i="1"/>
  <c r="M9" i="1" s="1"/>
  <c r="M70" i="2"/>
  <c r="P88" i="7"/>
  <c r="P10" i="7" s="1"/>
  <c r="P69" i="2" s="1"/>
  <c r="L10" i="1"/>
  <c r="L11" i="1" s="1"/>
  <c r="L205" i="7"/>
  <c r="L204" i="7" s="1"/>
  <c r="L52" i="7" s="1"/>
  <c r="L217" i="7"/>
  <c r="L216" i="7" s="1"/>
  <c r="L55" i="7" s="1"/>
  <c r="L211" i="7"/>
  <c r="L210" i="7" s="1"/>
  <c r="L53" i="7" s="1"/>
  <c r="L223" i="7"/>
  <c r="L222" i="7" s="1"/>
  <c r="L56" i="7" s="1"/>
  <c r="L199" i="7"/>
  <c r="L198" i="7" s="1"/>
  <c r="L51" i="7" s="1"/>
  <c r="L229" i="7"/>
  <c r="L228" i="7" s="1"/>
  <c r="L57" i="7" s="1"/>
  <c r="M11" i="7"/>
  <c r="M98" i="2"/>
  <c r="Q88" i="7"/>
  <c r="Q10" i="7" s="1"/>
  <c r="Q69" i="2" s="1"/>
  <c r="Q36" i="2" s="1"/>
  <c r="O36" i="2"/>
  <c r="O98" i="2" l="1"/>
  <c r="O71" i="2" s="1"/>
  <c r="O10" i="1" s="1"/>
  <c r="P90" i="7"/>
  <c r="P11" i="7" s="1"/>
  <c r="L48" i="7"/>
  <c r="Q90" i="7"/>
  <c r="Q11" i="7" s="1"/>
  <c r="P98" i="2"/>
  <c r="Q98" i="2"/>
  <c r="Q71" i="2" s="1"/>
  <c r="Q10" i="1" s="1"/>
  <c r="N11" i="7"/>
  <c r="N98" i="2"/>
  <c r="N124" i="2"/>
  <c r="N8" i="1"/>
  <c r="N9" i="1" s="1"/>
  <c r="N70" i="2"/>
  <c r="O124" i="2"/>
  <c r="O8" i="1"/>
  <c r="O9" i="1" s="1"/>
  <c r="O70" i="2"/>
  <c r="M71" i="2"/>
  <c r="L54" i="7"/>
  <c r="L126" i="2"/>
  <c r="L24" i="1"/>
  <c r="L22" i="1"/>
  <c r="L25" i="1" s="1"/>
  <c r="L54" i="1"/>
  <c r="Q124" i="2"/>
  <c r="Q8" i="1"/>
  <c r="Q9" i="1" s="1"/>
  <c r="Q70" i="2"/>
  <c r="P36" i="2"/>
  <c r="L60" i="7" l="1"/>
  <c r="L61" i="7" s="1"/>
  <c r="L120" i="2" s="1"/>
  <c r="L16" i="1" s="1"/>
  <c r="Q211" i="7"/>
  <c r="Q210" i="7" s="1"/>
  <c r="Q53" i="7" s="1"/>
  <c r="Q217" i="7"/>
  <c r="Q216" i="7" s="1"/>
  <c r="Q55" i="7" s="1"/>
  <c r="Q223" i="7"/>
  <c r="Q222" i="7" s="1"/>
  <c r="Q56" i="7" s="1"/>
  <c r="Q205" i="7"/>
  <c r="Q204" i="7" s="1"/>
  <c r="Q52" i="7" s="1"/>
  <c r="O217" i="7"/>
  <c r="O216" i="7" s="1"/>
  <c r="O55" i="7" s="1"/>
  <c r="O205" i="7"/>
  <c r="O204" i="7" s="1"/>
  <c r="O52" i="7" s="1"/>
  <c r="P124" i="2"/>
  <c r="P8" i="1"/>
  <c r="P9" i="1" s="1"/>
  <c r="P70" i="2"/>
  <c r="M10" i="1"/>
  <c r="M11" i="1" s="1"/>
  <c r="M199" i="7"/>
  <c r="M198" i="7" s="1"/>
  <c r="M51" i="7" s="1"/>
  <c r="M229" i="7"/>
  <c r="M228" i="7" s="1"/>
  <c r="M57" i="7" s="1"/>
  <c r="M205" i="7"/>
  <c r="M204" i="7" s="1"/>
  <c r="M52" i="7" s="1"/>
  <c r="M217" i="7"/>
  <c r="M216" i="7" s="1"/>
  <c r="M55" i="7" s="1"/>
  <c r="M223" i="7"/>
  <c r="M222" i="7" s="1"/>
  <c r="M56" i="7" s="1"/>
  <c r="M211" i="7"/>
  <c r="M210" i="7" s="1"/>
  <c r="M53" i="7" s="1"/>
  <c r="O199" i="7"/>
  <c r="O198" i="7" s="1"/>
  <c r="O51" i="7" s="1"/>
  <c r="O229" i="7"/>
  <c r="O228" i="7" s="1"/>
  <c r="O57" i="7" s="1"/>
  <c r="Q99" i="2"/>
  <c r="Q229" i="7"/>
  <c r="Q228" i="7" s="1"/>
  <c r="Q57" i="7" s="1"/>
  <c r="O211" i="7"/>
  <c r="O210" i="7" s="1"/>
  <c r="O53" i="7" s="1"/>
  <c r="M99" i="2"/>
  <c r="Q11" i="1"/>
  <c r="O99" i="2"/>
  <c r="O223" i="7"/>
  <c r="O222" i="7" s="1"/>
  <c r="O56" i="7" s="1"/>
  <c r="L56" i="1"/>
  <c r="L55" i="1"/>
  <c r="L58" i="1"/>
  <c r="L57" i="1"/>
  <c r="O11" i="1"/>
  <c r="P71" i="2"/>
  <c r="P10" i="1" s="1"/>
  <c r="Q199" i="7"/>
  <c r="Q198" i="7" s="1"/>
  <c r="Q51" i="7" s="1"/>
  <c r="N71" i="2"/>
  <c r="Q54" i="7" l="1"/>
  <c r="Q48" i="7"/>
  <c r="Q60" i="7" s="1"/>
  <c r="O48" i="7"/>
  <c r="M54" i="7"/>
  <c r="N10" i="1"/>
  <c r="N11" i="1" s="1"/>
  <c r="N223" i="7"/>
  <c r="N222" i="7" s="1"/>
  <c r="N56" i="7" s="1"/>
  <c r="N211" i="7"/>
  <c r="N210" i="7" s="1"/>
  <c r="N53" i="7" s="1"/>
  <c r="N199" i="7"/>
  <c r="N198" i="7" s="1"/>
  <c r="N51" i="7" s="1"/>
  <c r="N229" i="7"/>
  <c r="N228" i="7" s="1"/>
  <c r="N57" i="7" s="1"/>
  <c r="N205" i="7"/>
  <c r="N204" i="7" s="1"/>
  <c r="N52" i="7" s="1"/>
  <c r="N217" i="7"/>
  <c r="N216" i="7" s="1"/>
  <c r="N55" i="7" s="1"/>
  <c r="O22" i="1"/>
  <c r="O25" i="1" s="1"/>
  <c r="O54" i="1"/>
  <c r="O24" i="1"/>
  <c r="M22" i="1"/>
  <c r="M25" i="1" s="1"/>
  <c r="M24" i="1"/>
  <c r="M54" i="1"/>
  <c r="P223" i="7"/>
  <c r="P222" i="7" s="1"/>
  <c r="P56" i="7" s="1"/>
  <c r="Q22" i="1"/>
  <c r="Q25" i="1" s="1"/>
  <c r="Q54" i="1"/>
  <c r="Q24" i="1"/>
  <c r="P217" i="7"/>
  <c r="P216" i="7" s="1"/>
  <c r="P55" i="7" s="1"/>
  <c r="M125" i="2"/>
  <c r="M111" i="2"/>
  <c r="P205" i="7"/>
  <c r="P204" i="7" s="1"/>
  <c r="P52" i="7" s="1"/>
  <c r="L12" i="1"/>
  <c r="P99" i="2"/>
  <c r="P229" i="7"/>
  <c r="P228" i="7" s="1"/>
  <c r="P57" i="7" s="1"/>
  <c r="P11" i="1"/>
  <c r="O54" i="7"/>
  <c r="O60" i="7" s="1"/>
  <c r="O111" i="2"/>
  <c r="O125" i="2"/>
  <c r="P199" i="7"/>
  <c r="P198" i="7" s="1"/>
  <c r="P51" i="7" s="1"/>
  <c r="N99" i="2"/>
  <c r="Q125" i="2"/>
  <c r="Q111" i="2"/>
  <c r="Q126" i="2" s="1"/>
  <c r="M48" i="7"/>
  <c r="P211" i="7"/>
  <c r="P210" i="7" s="1"/>
  <c r="P53" i="7" s="1"/>
  <c r="M60" i="7" l="1"/>
  <c r="P48" i="7"/>
  <c r="N54" i="7"/>
  <c r="M55" i="1"/>
  <c r="M56" i="1"/>
  <c r="M57" i="1"/>
  <c r="M58" i="1"/>
  <c r="O126" i="2"/>
  <c r="L13" i="1"/>
  <c r="L17" i="1" s="1"/>
  <c r="L20" i="1" s="1"/>
  <c r="Q58" i="1"/>
  <c r="Q57" i="1"/>
  <c r="Q56" i="1"/>
  <c r="Q55" i="1"/>
  <c r="M61" i="7"/>
  <c r="M120" i="2" s="1"/>
  <c r="M16" i="1" s="1"/>
  <c r="M126" i="2"/>
  <c r="N48" i="7"/>
  <c r="N60" i="7" s="1"/>
  <c r="O61" i="7" s="1"/>
  <c r="O120" i="2" s="1"/>
  <c r="O16" i="1" s="1"/>
  <c r="P125" i="2"/>
  <c r="P111" i="2"/>
  <c r="P126" i="2" s="1"/>
  <c r="O58" i="1"/>
  <c r="O56" i="1"/>
  <c r="O55" i="1"/>
  <c r="O57" i="1"/>
  <c r="N125" i="2"/>
  <c r="N111" i="2"/>
  <c r="P54" i="1"/>
  <c r="P24" i="1"/>
  <c r="P22" i="1"/>
  <c r="P25" i="1" s="1"/>
  <c r="P54" i="7"/>
  <c r="P60" i="7" s="1"/>
  <c r="N54" i="1"/>
  <c r="N22" i="1"/>
  <c r="N25" i="1" s="1"/>
  <c r="N24" i="1"/>
  <c r="Q12" i="1" l="1"/>
  <c r="Q13" i="1" s="1"/>
  <c r="O12" i="1"/>
  <c r="Q61" i="7"/>
  <c r="Q120" i="2" s="1"/>
  <c r="Q16" i="1" s="1"/>
  <c r="P61" i="7"/>
  <c r="P120" i="2" s="1"/>
  <c r="P16" i="1" s="1"/>
  <c r="O13" i="1"/>
  <c r="O17" i="1" s="1"/>
  <c r="O20" i="1" s="1"/>
  <c r="N61" i="7"/>
  <c r="N120" i="2" s="1"/>
  <c r="N16" i="1" s="1"/>
  <c r="N126" i="2"/>
  <c r="M12" i="1"/>
  <c r="P58" i="1"/>
  <c r="P57" i="1"/>
  <c r="P56" i="1"/>
  <c r="P55" i="1"/>
  <c r="N57" i="1"/>
  <c r="N56" i="1"/>
  <c r="N58" i="1"/>
  <c r="N55" i="1"/>
  <c r="Q17" i="1" l="1"/>
  <c r="Q20" i="1" s="1"/>
  <c r="F32" i="1" s="1"/>
  <c r="N12" i="1"/>
  <c r="N13" i="1" s="1"/>
  <c r="N17" i="1" s="1"/>
  <c r="N20" i="1" s="1"/>
  <c r="M13" i="1"/>
  <c r="M17" i="1" s="1"/>
  <c r="M20" i="1" s="1"/>
  <c r="P12" i="1"/>
  <c r="P13" i="1" l="1"/>
  <c r="P17" i="1" s="1"/>
  <c r="P20" i="1" s="1"/>
  <c r="F31" i="1" s="1"/>
  <c r="F30" i="1" l="1"/>
  <c r="F39" i="1" l="1"/>
  <c r="J32" i="1"/>
  <c r="D1" i="1"/>
  <c r="D1" i="2"/>
  <c r="D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<sst xmlns="http://schemas.openxmlformats.org/spreadsheetml/2006/main" count="2057" uniqueCount="737">
  <si>
    <t>Project Shield</t>
  </si>
  <si>
    <t>Operating Value</t>
  </si>
  <si>
    <t>DCF</t>
  </si>
  <si>
    <t>Terminal</t>
  </si>
  <si>
    <t>m KRW</t>
  </si>
  <si>
    <t>FY</t>
  </si>
  <si>
    <t>1~3Q</t>
    <phoneticPr fontId="7" type="noConversion"/>
  </si>
  <si>
    <t>4Q</t>
    <phoneticPr fontId="7" type="noConversion"/>
  </si>
  <si>
    <t>Projection</t>
    <phoneticPr fontId="3" type="noConversion"/>
  </si>
  <si>
    <t>Revenue</t>
    <phoneticPr fontId="6" type="noConversion"/>
  </si>
  <si>
    <t>COGS</t>
    <phoneticPr fontId="3" type="noConversion"/>
  </si>
  <si>
    <t>Gross Profit</t>
    <phoneticPr fontId="6" type="noConversion"/>
  </si>
  <si>
    <t>SG&amp;A</t>
    <phoneticPr fontId="3" type="noConversion"/>
  </si>
  <si>
    <t>EBIT</t>
  </si>
  <si>
    <t>Tax</t>
    <phoneticPr fontId="6" type="noConversion"/>
  </si>
  <si>
    <t>NOPLAT</t>
  </si>
  <si>
    <t>D&amp;A</t>
  </si>
  <si>
    <t>CAPEX</t>
  </si>
  <si>
    <t>△NWC</t>
  </si>
  <si>
    <t>FCF</t>
  </si>
  <si>
    <t>period</t>
  </si>
  <si>
    <t>PVIF</t>
  </si>
  <si>
    <t>PV of FCF</t>
  </si>
  <si>
    <t>EBITDA</t>
    <phoneticPr fontId="6" type="noConversion"/>
  </si>
  <si>
    <t>EBIT%</t>
  </si>
  <si>
    <t>EBITDA%</t>
    <phoneticPr fontId="6" type="noConversion"/>
  </si>
  <si>
    <t>Equity Value</t>
    <phoneticPr fontId="6" type="noConversion"/>
  </si>
  <si>
    <t>Sensitivity_Operating Value</t>
    <phoneticPr fontId="6" type="noConversion"/>
  </si>
  <si>
    <t>Operating Value</t>
    <phoneticPr fontId="3" type="noConversion"/>
  </si>
  <si>
    <t>projected FCF</t>
    <phoneticPr fontId="3" type="noConversion"/>
  </si>
  <si>
    <t>WACC</t>
    <phoneticPr fontId="6" type="noConversion"/>
  </si>
  <si>
    <t>terminal value</t>
    <phoneticPr fontId="3" type="noConversion"/>
  </si>
  <si>
    <t>NOA/투자주식</t>
    <phoneticPr fontId="3" type="noConversion"/>
  </si>
  <si>
    <t>PGR</t>
    <phoneticPr fontId="6" type="noConversion"/>
  </si>
  <si>
    <t>투자주식</t>
    <phoneticPr fontId="3" type="noConversion"/>
  </si>
  <si>
    <t>기타NOA</t>
    <phoneticPr fontId="3" type="noConversion"/>
  </si>
  <si>
    <t>Net Debt</t>
    <phoneticPr fontId="3" type="noConversion"/>
  </si>
  <si>
    <t>Cash</t>
    <phoneticPr fontId="3" type="noConversion"/>
  </si>
  <si>
    <t>Debt</t>
    <phoneticPr fontId="3" type="noConversion"/>
  </si>
  <si>
    <t>Equity Value</t>
    <phoneticPr fontId="3" type="noConversion"/>
  </si>
  <si>
    <t>WACC &amp; PGR</t>
    <phoneticPr fontId="6" type="noConversion"/>
  </si>
  <si>
    <t>WACC</t>
    <phoneticPr fontId="3" type="noConversion"/>
  </si>
  <si>
    <t>PGR</t>
    <phoneticPr fontId="3" type="noConversion"/>
  </si>
  <si>
    <t>※ 과표</t>
  </si>
  <si>
    <t>2억원 이하</t>
  </si>
  <si>
    <t>2억~200억원 이하</t>
  </si>
  <si>
    <t>200억원~3천억원 이하</t>
  </si>
  <si>
    <t>3천억원 초과</t>
  </si>
  <si>
    <t>총괄PL</t>
    <phoneticPr fontId="6" type="noConversion"/>
  </si>
  <si>
    <t>Projection 취합</t>
    <phoneticPr fontId="6" type="noConversion"/>
  </si>
  <si>
    <t>Revenue_Physical Security</t>
    <phoneticPr fontId="6" type="noConversion"/>
  </si>
  <si>
    <t>CMS</t>
  </si>
  <si>
    <t>FM</t>
  </si>
  <si>
    <t>FM</t>
    <phoneticPr fontId="6" type="noConversion"/>
  </si>
  <si>
    <t>Revenue_CyberSecurity</t>
    <phoneticPr fontId="6" type="noConversion"/>
  </si>
  <si>
    <t>ISAC / ES</t>
  </si>
  <si>
    <t>Manned Monitoring</t>
  </si>
  <si>
    <t>Consulting</t>
  </si>
  <si>
    <t>Solution / SI</t>
  </si>
  <si>
    <t>Cloud</t>
  </si>
  <si>
    <t>Mobile Security</t>
  </si>
  <si>
    <t>Revenue_Converged Security</t>
    <phoneticPr fontId="6" type="noConversion"/>
  </si>
  <si>
    <t>Converged Security Platform</t>
  </si>
  <si>
    <t>OT / ICS</t>
  </si>
  <si>
    <t>SI, DS, SMB</t>
  </si>
  <si>
    <t>Revenue_Life Care Services</t>
    <phoneticPr fontId="6" type="noConversion"/>
  </si>
  <si>
    <t>HomeCare</t>
  </si>
  <si>
    <t>CleanCare</t>
  </si>
  <si>
    <t>Parking</t>
  </si>
  <si>
    <t>Future Store</t>
  </si>
  <si>
    <t>Future Store</t>
    <phoneticPr fontId="6" type="noConversion"/>
  </si>
  <si>
    <t>Senior care</t>
    <phoneticPr fontId="7" type="noConversion"/>
  </si>
  <si>
    <t>Revenue_Global</t>
    <phoneticPr fontId="6" type="noConversion"/>
  </si>
  <si>
    <t>CSP</t>
  </si>
  <si>
    <t>Verification Key</t>
  </si>
  <si>
    <t>CMS</t>
    <phoneticPr fontId="6" type="noConversion"/>
  </si>
  <si>
    <t>Revenue_내부거래</t>
    <phoneticPr fontId="6" type="noConversion"/>
  </si>
  <si>
    <t>COGS</t>
    <phoneticPr fontId="6" type="noConversion"/>
  </si>
  <si>
    <t>COGS_Physical Security</t>
  </si>
  <si>
    <t>Labor Cost</t>
  </si>
  <si>
    <t>Transportation O/M Expense</t>
  </si>
  <si>
    <t>Communication Expense</t>
  </si>
  <si>
    <t>Other 출동 Expense</t>
  </si>
  <si>
    <t>Other COGS</t>
  </si>
  <si>
    <t>Other 관제 Expense</t>
  </si>
  <si>
    <t>COGS_CyberSecurity</t>
  </si>
  <si>
    <t>Material Cost</t>
  </si>
  <si>
    <t>Outsourcing Cost</t>
  </si>
  <si>
    <t>COGS_Converged Security</t>
  </si>
  <si>
    <t>COGS_Life Care Services</t>
  </si>
  <si>
    <t>Commission</t>
  </si>
  <si>
    <t>Revenue Sharing (Operation)</t>
  </si>
  <si>
    <t>Material / Construction Cost</t>
  </si>
  <si>
    <t>lease cost</t>
    <phoneticPr fontId="7" type="noConversion"/>
  </si>
  <si>
    <t>D&amp;A</t>
    <phoneticPr fontId="6" type="noConversion"/>
  </si>
  <si>
    <t>COGS_Global</t>
    <phoneticPr fontId="6" type="noConversion"/>
  </si>
  <si>
    <t>COGS_Others</t>
    <phoneticPr fontId="6" type="noConversion"/>
  </si>
  <si>
    <t>기존자산 및 공통자산</t>
    <phoneticPr fontId="6" type="noConversion"/>
  </si>
  <si>
    <t>COGS_내부거래</t>
    <phoneticPr fontId="6" type="noConversion"/>
  </si>
  <si>
    <t>SG&amp;A</t>
    <phoneticPr fontId="6" type="noConversion"/>
  </si>
  <si>
    <t>SG&amp;A_Physical Security</t>
  </si>
  <si>
    <t>Other SG&amp;A</t>
  </si>
  <si>
    <t>SG&amp;A_CyberSecurity</t>
  </si>
  <si>
    <t>SG&amp;A_Converged Security</t>
  </si>
  <si>
    <t>SG&amp;A_Life Care Services</t>
  </si>
  <si>
    <t>SG&amp;A_Group SG&amp;A</t>
    <phoneticPr fontId="6" type="noConversion"/>
  </si>
  <si>
    <t>Labor Cost</t>
    <phoneticPr fontId="6" type="noConversion"/>
  </si>
  <si>
    <t>Advertisement Expense</t>
    <phoneticPr fontId="6" type="noConversion"/>
  </si>
  <si>
    <t>Other Shared Expenses</t>
    <phoneticPr fontId="6" type="noConversion"/>
  </si>
  <si>
    <t>Other Rental Expenses</t>
    <phoneticPr fontId="7" type="noConversion"/>
  </si>
  <si>
    <t>Other Rental Expenses_Capstec</t>
    <phoneticPr fontId="7" type="noConversion"/>
  </si>
  <si>
    <t>Brand Fee</t>
  </si>
  <si>
    <t>D&amp;A_기존자산 및 공통자산</t>
  </si>
  <si>
    <t>SG&amp;A_내부거래 및 기타</t>
    <phoneticPr fontId="6" type="noConversion"/>
  </si>
  <si>
    <t>EBIT</t>
    <phoneticPr fontId="6" type="noConversion"/>
  </si>
  <si>
    <t>D&amp;A_Physical Security</t>
    <phoneticPr fontId="6" type="noConversion"/>
  </si>
  <si>
    <t>D&amp;A_CyberSecurity</t>
    <phoneticPr fontId="6" type="noConversion"/>
  </si>
  <si>
    <t>D&amp;A_Converged Security</t>
    <phoneticPr fontId="6" type="noConversion"/>
  </si>
  <si>
    <t>D&amp;A_Life Care Services</t>
    <phoneticPr fontId="6" type="noConversion"/>
  </si>
  <si>
    <t>D&amp;A_기존자산</t>
    <phoneticPr fontId="6" type="noConversion"/>
  </si>
  <si>
    <t>Amortization_신규자산</t>
  </si>
  <si>
    <t>Growth Capex</t>
  </si>
  <si>
    <t>Other Capex</t>
  </si>
  <si>
    <t>PPA Amortization</t>
  </si>
  <si>
    <t>PPA Amortization</t>
    <phoneticPr fontId="6" type="noConversion"/>
  </si>
  <si>
    <t>D&amp;A_내부거래</t>
    <phoneticPr fontId="6" type="noConversion"/>
  </si>
  <si>
    <t>CAPEX</t>
    <phoneticPr fontId="6" type="noConversion"/>
  </si>
  <si>
    <t>CAPEX_Physical Security</t>
    <phoneticPr fontId="6" type="noConversion"/>
  </si>
  <si>
    <t>CAPEX_CyberSecurity</t>
    <phoneticPr fontId="6" type="noConversion"/>
  </si>
  <si>
    <t>CAPEX_Converged Security</t>
    <phoneticPr fontId="6" type="noConversion"/>
  </si>
  <si>
    <t>CAPEX_Life Care Services</t>
    <phoneticPr fontId="6" type="noConversion"/>
  </si>
  <si>
    <t>CAPEX_Growth Capex</t>
    <phoneticPr fontId="6" type="noConversion"/>
  </si>
  <si>
    <t>CAPEX_Intangible Assets</t>
    <phoneticPr fontId="6" type="noConversion"/>
  </si>
  <si>
    <t>CAPEX_Other Capex</t>
    <phoneticPr fontId="6" type="noConversion"/>
  </si>
  <si>
    <t>-△NWC</t>
    <phoneticPr fontId="6" type="noConversion"/>
  </si>
  <si>
    <t>매출성장률</t>
    <phoneticPr fontId="7" type="noConversion"/>
  </si>
  <si>
    <t>원가율</t>
    <phoneticPr fontId="7" type="noConversion"/>
  </si>
  <si>
    <t>영업이익률</t>
    <phoneticPr fontId="7" type="noConversion"/>
  </si>
  <si>
    <t>EBITA%</t>
    <phoneticPr fontId="7" type="noConversion"/>
  </si>
  <si>
    <t>Capex/매출액</t>
    <phoneticPr fontId="7" type="noConversion"/>
  </si>
  <si>
    <t>21년 연결감사보고서</t>
    <phoneticPr fontId="7" type="noConversion"/>
  </si>
  <si>
    <t>22.3Q 연결보고서</t>
    <phoneticPr fontId="7" type="noConversion"/>
  </si>
  <si>
    <t>과거 Capex</t>
    <phoneticPr fontId="6" type="noConversion"/>
  </si>
  <si>
    <t>유형자산 취득</t>
    <phoneticPr fontId="6" type="noConversion"/>
  </si>
  <si>
    <t>무형자산 취득</t>
    <phoneticPr fontId="6" type="noConversion"/>
  </si>
  <si>
    <t>과거 D&amp;A</t>
    <phoneticPr fontId="6" type="noConversion"/>
  </si>
  <si>
    <t>유형자산상각비_cogs</t>
    <phoneticPr fontId="6" type="noConversion"/>
  </si>
  <si>
    <t>사용권자산상각비</t>
    <phoneticPr fontId="6" type="noConversion"/>
  </si>
  <si>
    <t>무형자산상각비_cogs</t>
    <phoneticPr fontId="6" type="noConversion"/>
  </si>
  <si>
    <t>유형자산상각비_sg&amp;a</t>
    <phoneticPr fontId="7" type="noConversion"/>
  </si>
  <si>
    <t>무형자산상각비_sg&amp;a</t>
    <phoneticPr fontId="7" type="noConversion"/>
  </si>
  <si>
    <t>D&amp;A_기존자산</t>
  </si>
  <si>
    <t>Parking Lease Depreciation</t>
  </si>
  <si>
    <t>Projection_Cybersecurity</t>
    <phoneticPr fontId="6" type="noConversion"/>
  </si>
  <si>
    <t>Projection_Cybersecurity</t>
  </si>
  <si>
    <t>Service Revenue</t>
  </si>
  <si>
    <t>OA Revenue</t>
  </si>
  <si>
    <t>Distributorship Revenue</t>
  </si>
  <si>
    <t>Tech Support / SI</t>
  </si>
  <si>
    <t>Cloud Security Service</t>
  </si>
  <si>
    <t>Cloud Security Solution</t>
  </si>
  <si>
    <t>Remote Monitoring</t>
  </si>
  <si>
    <t>Gross profit</t>
    <phoneticPr fontId="6" type="noConversion"/>
  </si>
  <si>
    <t>D&amp;A check</t>
    <phoneticPr fontId="6" type="noConversion"/>
  </si>
  <si>
    <t>Revenue Growth</t>
    <phoneticPr fontId="6" type="noConversion"/>
  </si>
  <si>
    <t>COGS %</t>
    <phoneticPr fontId="6" type="noConversion"/>
  </si>
  <si>
    <t>SG&amp;A %</t>
    <phoneticPr fontId="6" type="noConversion"/>
  </si>
  <si>
    <t>EBIT %</t>
    <phoneticPr fontId="6" type="noConversion"/>
  </si>
  <si>
    <t>EBITDA %</t>
    <phoneticPr fontId="6" type="noConversion"/>
  </si>
  <si>
    <t>1. ISAC / ES</t>
    <phoneticPr fontId="6" type="noConversion"/>
  </si>
  <si>
    <t>ISAC / ES Revenue</t>
  </si>
  <si>
    <t>Mn</t>
  </si>
  <si>
    <t>Mn</t>
    <phoneticPr fontId="6" type="noConversion"/>
  </si>
  <si>
    <t>1) Service Revenue</t>
    <phoneticPr fontId="6" type="noConversion"/>
  </si>
  <si>
    <t>Affiliate Clients</t>
  </si>
  <si>
    <t>#</t>
    <phoneticPr fontId="6" type="noConversion"/>
  </si>
  <si>
    <t>Increment</t>
  </si>
  <si>
    <t>Affiliate Service Average Price</t>
  </si>
  <si>
    <t>% Growth</t>
  </si>
  <si>
    <t>%</t>
    <phoneticPr fontId="6" type="noConversion"/>
  </si>
  <si>
    <t>2) OA Revenue</t>
    <phoneticPr fontId="6" type="noConversion"/>
  </si>
  <si>
    <t>%</t>
  </si>
  <si>
    <t>2. Manned Monitoring</t>
    <phoneticPr fontId="6" type="noConversion"/>
  </si>
  <si>
    <t>Manned Monitoring Revenue</t>
  </si>
  <si>
    <t>Manned Monitoring Customers</t>
  </si>
  <si>
    <t>#</t>
  </si>
  <si>
    <t>Manned Monitoring Price</t>
  </si>
  <si>
    <t>Manned Monitoring Employee</t>
  </si>
  <si>
    <t>Direct Employee</t>
  </si>
  <si>
    <t>% Total Employee</t>
  </si>
  <si>
    <t>Outsourced Employee</t>
  </si>
  <si>
    <t>Manned Monitoring Customers / Employee</t>
  </si>
  <si>
    <t>Manned Monitoring Price / Customer</t>
  </si>
  <si>
    <t>Margin Applied</t>
  </si>
  <si>
    <t>Customers / Employee</t>
  </si>
  <si>
    <t>Average Labor Cost / Employee</t>
  </si>
  <si>
    <t>3. Consulting</t>
    <phoneticPr fontId="6" type="noConversion"/>
  </si>
  <si>
    <t>Consulting Revenue</t>
  </si>
  <si>
    <t>Consulting Cases</t>
  </si>
  <si>
    <t>Consulting Revenue / Case</t>
  </si>
  <si>
    <t>Consulting Employee</t>
  </si>
  <si>
    <t>% Consulting Employee</t>
  </si>
  <si>
    <t>Consulting Cases / Employee</t>
  </si>
  <si>
    <t>Labor Cost / Case</t>
  </si>
  <si>
    <t>4. Solution / SI</t>
    <phoneticPr fontId="6" type="noConversion"/>
  </si>
  <si>
    <t>Solution / SI Revenue</t>
  </si>
  <si>
    <t>MN</t>
    <phoneticPr fontId="6" type="noConversion"/>
  </si>
  <si>
    <t>1) Distributorship Revenue</t>
    <phoneticPr fontId="6" type="noConversion"/>
  </si>
  <si>
    <t># of Vendors</t>
  </si>
  <si>
    <t>Revenue / Vendor</t>
  </si>
  <si>
    <t>Profitability Improvement</t>
  </si>
  <si>
    <t>2) Tech Support / SI Revenue</t>
    <phoneticPr fontId="6" type="noConversion"/>
  </si>
  <si>
    <t>% Revenue</t>
  </si>
  <si>
    <t>5. Cloud</t>
    <phoneticPr fontId="6" type="noConversion"/>
  </si>
  <si>
    <t>Cloud Security Revenue</t>
  </si>
  <si>
    <t>Cloud Captive</t>
  </si>
  <si>
    <t>Cloud Non-captive</t>
  </si>
  <si>
    <t>1) Cloud Captive</t>
    <phoneticPr fontId="6" type="noConversion"/>
  </si>
  <si>
    <t>Cloud Service Customer</t>
  </si>
  <si>
    <t>Cloud Service Average Price</t>
  </si>
  <si>
    <t>2) Cloud non-captive</t>
    <phoneticPr fontId="6" type="noConversion"/>
  </si>
  <si>
    <t>Cloud Solution Customer</t>
  </si>
  <si>
    <t># of Addressable Customers (Source: MOIS)</t>
  </si>
  <si>
    <t>Company M/S</t>
  </si>
  <si>
    <t>Cloud Solution Average Price</t>
  </si>
  <si>
    <t>3) Remote Monitoring</t>
    <phoneticPr fontId="6" type="noConversion"/>
  </si>
  <si>
    <t>6. Mobile Security</t>
    <phoneticPr fontId="6" type="noConversion"/>
  </si>
  <si>
    <t>T Guard Revenue</t>
  </si>
  <si>
    <t>T Guard Paid Users</t>
  </si>
  <si>
    <t>Beginning User</t>
  </si>
  <si>
    <t>Net New User</t>
    <phoneticPr fontId="7" type="noConversion"/>
  </si>
  <si>
    <t>Ending User</t>
  </si>
  <si>
    <t>T Guard Paid Users (Accumulated)</t>
  </si>
  <si>
    <t>T Guard MAU</t>
  </si>
  <si>
    <t>SKT Android Devices</t>
  </si>
  <si>
    <t>T Guard Penetration Rate</t>
  </si>
  <si>
    <t>Proportion of Paid Users</t>
  </si>
  <si>
    <t>T Guard ARPU</t>
  </si>
  <si>
    <t>ISAC / ES COGS</t>
    <phoneticPr fontId="6" type="noConversion"/>
  </si>
  <si>
    <t># of Employee</t>
  </si>
  <si>
    <t>Average Labor Cost</t>
  </si>
  <si>
    <t>Manned Monitoring COGS</t>
    <phoneticPr fontId="6" type="noConversion"/>
  </si>
  <si>
    <t>Labor Cost / Employee</t>
  </si>
  <si>
    <t>Consulting COGS</t>
    <phoneticPr fontId="6" type="noConversion"/>
  </si>
  <si>
    <t>Solution / SI COGS</t>
    <phoneticPr fontId="6" type="noConversion"/>
  </si>
  <si>
    <t>Distributorship Vendor Fee</t>
  </si>
  <si>
    <t>% Margin(Distributorship revenue)</t>
    <phoneticPr fontId="6" type="noConversion"/>
  </si>
  <si>
    <t>Other Material Cost</t>
  </si>
  <si>
    <t>% Revenue(Solution / SI revenue)</t>
    <phoneticPr fontId="6" type="noConversion"/>
  </si>
  <si>
    <t>&lt;m</t>
    <phoneticPr fontId="6" type="noConversion"/>
  </si>
  <si>
    <t>5.1. Cloud</t>
    <phoneticPr fontId="6" type="noConversion"/>
  </si>
  <si>
    <t>Cloud COGS</t>
    <phoneticPr fontId="6" type="noConversion"/>
  </si>
  <si>
    <t># of Customer</t>
    <phoneticPr fontId="7" type="noConversion"/>
  </si>
  <si>
    <t>Customer/employee</t>
    <phoneticPr fontId="7" type="noConversion"/>
  </si>
  <si>
    <t>5.2. Remote Monitoring</t>
    <phoneticPr fontId="6" type="noConversion"/>
  </si>
  <si>
    <t>Remote Monitoring COGS</t>
    <phoneticPr fontId="6" type="noConversion"/>
  </si>
  <si>
    <t>revenue / employee</t>
    <phoneticPr fontId="7" type="noConversion"/>
  </si>
  <si>
    <t>Mobile Security COGS</t>
    <phoneticPr fontId="6" type="noConversion"/>
  </si>
  <si>
    <t>% Mobile Security Revenue</t>
  </si>
  <si>
    <t>End user / employee</t>
    <phoneticPr fontId="7" type="noConversion"/>
  </si>
  <si>
    <t>Other SG&amp;A</t>
    <phoneticPr fontId="6" type="noConversion"/>
  </si>
  <si>
    <t>Gourp SG&amp;A</t>
    <phoneticPr fontId="6" type="noConversion"/>
  </si>
  <si>
    <t>ISAC / ES SG&amp;A</t>
    <phoneticPr fontId="6" type="noConversion"/>
  </si>
  <si>
    <t>client / employee</t>
    <phoneticPr fontId="7" type="noConversion"/>
  </si>
  <si>
    <t>Manned Monitoring SG&amp;A</t>
    <phoneticPr fontId="6" type="noConversion"/>
  </si>
  <si>
    <t>Consulting SG&amp;A</t>
    <phoneticPr fontId="6" type="noConversion"/>
  </si>
  <si>
    <t>Solution / SI SG&amp;A</t>
    <phoneticPr fontId="6" type="noConversion"/>
  </si>
  <si>
    <t>Cloud SG&amp;A</t>
    <phoneticPr fontId="6" type="noConversion"/>
  </si>
  <si>
    <t>Remote Monitoring SG&amp;A</t>
    <phoneticPr fontId="6" type="noConversion"/>
  </si>
  <si>
    <t>Revenue / employee</t>
    <phoneticPr fontId="7" type="noConversion"/>
  </si>
  <si>
    <t>Projection_Converged Security</t>
    <phoneticPr fontId="6" type="noConversion"/>
  </si>
  <si>
    <t>Projection_Converged Security</t>
  </si>
  <si>
    <t>SI Revenue</t>
  </si>
  <si>
    <t>DS Revenue</t>
  </si>
  <si>
    <t>SMB Revenue</t>
  </si>
  <si>
    <t>1. Converged Security Platform</t>
    <phoneticPr fontId="6" type="noConversion"/>
  </si>
  <si>
    <t>Converged Security Platform Revenue</t>
  </si>
  <si>
    <t>MN</t>
  </si>
  <si>
    <t>Service</t>
    <phoneticPr fontId="7" type="noConversion"/>
  </si>
  <si>
    <t>1) Service</t>
    <phoneticPr fontId="6" type="noConversion"/>
  </si>
  <si>
    <t>Converged Security Platform - FM Employees</t>
  </si>
  <si>
    <t>Employee / Site</t>
  </si>
  <si>
    <t># of Sites</t>
  </si>
  <si>
    <t>Average Revenue / Site</t>
  </si>
  <si>
    <t>CSP - Service - P/site (pre-markup)</t>
  </si>
  <si>
    <t>2) Solution / SI Revenue</t>
    <phoneticPr fontId="6" type="noConversion"/>
  </si>
  <si>
    <t>Converged Security Platform - Solution/SI</t>
  </si>
  <si>
    <t>Solution / Site Conversion</t>
  </si>
  <si>
    <t>Price / Solution</t>
  </si>
  <si>
    <t>1.1 Converged Security Platform Sites</t>
    <phoneticPr fontId="6" type="noConversion"/>
  </si>
  <si>
    <t>Additional Affiliate Site</t>
  </si>
  <si>
    <t>Additional Non-captive Site</t>
  </si>
  <si>
    <t>Conversion rate</t>
  </si>
  <si>
    <t>(x)</t>
    <phoneticPr fontId="7" type="noConversion"/>
  </si>
  <si>
    <t># of Sites (Solution)</t>
  </si>
  <si>
    <t>2. OT / ICS</t>
    <phoneticPr fontId="6" type="noConversion"/>
  </si>
  <si>
    <t>OT Revenue</t>
  </si>
  <si>
    <t>OT Market</t>
  </si>
  <si>
    <t>Implied ADT Caps M/S</t>
  </si>
  <si>
    <t>3. SI, DS, SMB</t>
    <phoneticPr fontId="6" type="noConversion"/>
  </si>
  <si>
    <t>SI, DS, SMB Revenue</t>
  </si>
  <si>
    <t>CyberGuard Revenue</t>
  </si>
  <si>
    <t>Other SMB Revenue (교육사업)</t>
  </si>
  <si>
    <t>Converged Security Platform COGS</t>
  </si>
  <si>
    <t>1) CSP - Service</t>
    <phoneticPr fontId="6" type="noConversion"/>
  </si>
  <si>
    <t>CSP - Service Employee Average Labor Cost</t>
    <phoneticPr fontId="7" type="noConversion"/>
  </si>
  <si>
    <t>CSP - Service Employee</t>
    <phoneticPr fontId="7" type="noConversion"/>
  </si>
  <si>
    <t>2) Solution / SI COGS</t>
    <phoneticPr fontId="6" type="noConversion"/>
  </si>
  <si>
    <t>COGS client / employee</t>
  </si>
  <si>
    <t>Improvement</t>
  </si>
  <si>
    <t>OT / ICS COGS</t>
  </si>
  <si>
    <t>3.1. SI, DS, SMB - SI COGS</t>
    <phoneticPr fontId="6" type="noConversion"/>
  </si>
  <si>
    <t>SI COGS</t>
  </si>
  <si>
    <t>3.2. SI, DS, SMB - DS COGS</t>
    <phoneticPr fontId="6" type="noConversion"/>
  </si>
  <si>
    <t>DS COGS</t>
  </si>
  <si>
    <t>3.3. SI, DS, SMB - SMB COGS</t>
    <phoneticPr fontId="6" type="noConversion"/>
  </si>
  <si>
    <t>SMB COGS</t>
    <phoneticPr fontId="6" type="noConversion"/>
  </si>
  <si>
    <t>1.1 Converged Security Platform - FM SG&amp;A</t>
    <phoneticPr fontId="6" type="noConversion"/>
  </si>
  <si>
    <t>Converged Security Platform - Service SG&amp;A</t>
    <phoneticPr fontId="7" type="noConversion"/>
  </si>
  <si>
    <t># of CSP - Service Sales Representatives</t>
    <phoneticPr fontId="7" type="noConversion"/>
  </si>
  <si>
    <t># of site increment / employee</t>
    <phoneticPr fontId="7" type="noConversion"/>
  </si>
  <si>
    <t>CSP - Service Sales Rep. Average Labor Cost</t>
    <phoneticPr fontId="7" type="noConversion"/>
  </si>
  <si>
    <t>1.2 Converged Security Platform - Solution / SI</t>
    <phoneticPr fontId="6" type="noConversion"/>
  </si>
  <si>
    <t>Solution / SI SG&amp;A</t>
  </si>
  <si>
    <t>Client / employee</t>
    <phoneticPr fontId="7" type="noConversion"/>
  </si>
  <si>
    <t>OT / ICS SG&amp;A</t>
  </si>
  <si>
    <t xml:space="preserve">3.1. SI, DS, SMB - SI </t>
    <phoneticPr fontId="6" type="noConversion"/>
  </si>
  <si>
    <t>SI SG&amp;A</t>
  </si>
  <si>
    <t>3.2. SI, DS, SMB - DS</t>
    <phoneticPr fontId="6" type="noConversion"/>
  </si>
  <si>
    <t>DS SG&amp;A</t>
  </si>
  <si>
    <t>3.3. SI, DS, SMB - SMB</t>
    <phoneticPr fontId="6" type="noConversion"/>
  </si>
  <si>
    <t>SMB SG&amp;A</t>
  </si>
  <si>
    <t>Projection_Physical Security</t>
    <phoneticPr fontId="6" type="noConversion"/>
  </si>
  <si>
    <t>Projection_Physical Security</t>
  </si>
  <si>
    <t>CMS Subscriber Revenue</t>
  </si>
  <si>
    <t>CMS Installation Revenue</t>
  </si>
  <si>
    <t>Commission</t>
    <phoneticPr fontId="6" type="noConversion"/>
  </si>
  <si>
    <t>D&amp;A_신규자산</t>
    <phoneticPr fontId="6" type="noConversion"/>
  </si>
  <si>
    <t>기타(NSOK 조정)</t>
    <phoneticPr fontId="6" type="noConversion"/>
  </si>
  <si>
    <t>Physical Security Revenue</t>
    <phoneticPr fontId="6" type="noConversion"/>
  </si>
  <si>
    <t>1-1) CMS Subscriber Revenue</t>
    <phoneticPr fontId="6" type="noConversion"/>
  </si>
  <si>
    <t>Total Annualized RMR(연환산)</t>
    <phoneticPr fontId="6" type="noConversion"/>
  </si>
  <si>
    <t>Non-Channel Annualized RMR</t>
  </si>
  <si>
    <t>Gross Add</t>
  </si>
  <si>
    <t>Net Churn</t>
  </si>
  <si>
    <t>Escalation</t>
  </si>
  <si>
    <t>Channel Annualized RMR</t>
  </si>
  <si>
    <t>Revenue Conversion Ratio</t>
  </si>
  <si>
    <t>Non-Channel Subscribers</t>
    <phoneticPr fontId="6" type="noConversion"/>
  </si>
  <si>
    <t>EA</t>
    <phoneticPr fontId="6" type="noConversion"/>
  </si>
  <si>
    <t>기초</t>
    <phoneticPr fontId="6" type="noConversion"/>
  </si>
  <si>
    <t>신규</t>
    <phoneticPr fontId="6" type="noConversion"/>
  </si>
  <si>
    <t>해지</t>
    <phoneticPr fontId="6" type="noConversion"/>
  </si>
  <si>
    <t>기타</t>
    <phoneticPr fontId="6" type="noConversion"/>
  </si>
  <si>
    <t>기말</t>
    <phoneticPr fontId="6" type="noConversion"/>
  </si>
  <si>
    <t>신규</t>
  </si>
  <si>
    <t># of New Accounts / Sales Representative</t>
    <phoneticPr fontId="7" type="noConversion"/>
  </si>
  <si>
    <t>% Improvement in productivity</t>
  </si>
  <si>
    <t># of Sales Representatives</t>
  </si>
  <si>
    <t>해지율</t>
    <phoneticPr fontId="6" type="noConversion"/>
  </si>
  <si>
    <t>Non-Channel Prices</t>
    <phoneticPr fontId="6" type="noConversion"/>
  </si>
  <si>
    <t>m KRW</t>
    <phoneticPr fontId="6" type="noConversion"/>
  </si>
  <si>
    <t>신규ARPU</t>
    <phoneticPr fontId="6" type="noConversion"/>
  </si>
  <si>
    <t>월</t>
    <phoneticPr fontId="6" type="noConversion"/>
  </si>
  <si>
    <t>% Growth</t>
    <phoneticPr fontId="6" type="noConversion"/>
  </si>
  <si>
    <t>해지ARPU</t>
    <phoneticPr fontId="6" type="noConversion"/>
  </si>
  <si>
    <t>월</t>
  </si>
  <si>
    <t>가격변동</t>
    <phoneticPr fontId="6" type="noConversion"/>
  </si>
  <si>
    <t>Existing Account Upsale</t>
  </si>
  <si>
    <t>Existing Account Discount</t>
    <phoneticPr fontId="6" type="noConversion"/>
  </si>
  <si>
    <t>Channel Subscribers</t>
    <phoneticPr fontId="6" type="noConversion"/>
  </si>
  <si>
    <t>EA</t>
  </si>
  <si>
    <t># of New Accounts / Agencies</t>
  </si>
  <si>
    <t># of Agencies</t>
  </si>
  <si>
    <t>Agency Increase (Decrease)</t>
  </si>
  <si>
    <t>해지율</t>
  </si>
  <si>
    <t>Channel Prices</t>
    <phoneticPr fontId="6" type="noConversion"/>
  </si>
  <si>
    <t>Existing Account Dsicount</t>
  </si>
  <si>
    <t>1-2) CMS Installation Revenue</t>
    <phoneticPr fontId="6" type="noConversion"/>
  </si>
  <si>
    <t>신규 Subscriber</t>
    <phoneticPr fontId="6" type="noConversion"/>
  </si>
  <si>
    <t>Average Installation Price</t>
  </si>
  <si>
    <t>2) FM</t>
    <phoneticPr fontId="6" type="noConversion"/>
  </si>
  <si>
    <t>FM Sites</t>
  </si>
  <si>
    <t>FM Revenue / Site</t>
  </si>
  <si>
    <t>FM Revenue</t>
    <phoneticPr fontId="6" type="noConversion"/>
  </si>
  <si>
    <t>FM Sites</t>
    <phoneticPr fontId="6" type="noConversion"/>
  </si>
  <si>
    <t># of Sales Represenatatives</t>
  </si>
  <si>
    <t>Sites / Sales Representatives</t>
    <phoneticPr fontId="7" type="noConversion"/>
  </si>
  <si>
    <t>FM Average Revenue</t>
    <phoneticPr fontId="6" type="noConversion"/>
  </si>
  <si>
    <t>FM Labor Cost / Site</t>
  </si>
  <si>
    <t>FM Employee / Site</t>
  </si>
  <si>
    <t>FM Employee</t>
    <phoneticPr fontId="6" type="noConversion"/>
  </si>
  <si>
    <t>FM Labor Cost / Employee</t>
  </si>
  <si>
    <t>Margin %</t>
    <phoneticPr fontId="6" type="noConversion"/>
  </si>
  <si>
    <t>Average Revenue</t>
    <phoneticPr fontId="6" type="noConversion"/>
  </si>
  <si>
    <t>Other COGS</t>
    <phoneticPr fontId="6" type="noConversion"/>
  </si>
  <si>
    <t>Physical Security COGS</t>
    <phoneticPr fontId="6" type="noConversion"/>
  </si>
  <si>
    <t>1-1) CMS Labor Cost</t>
    <phoneticPr fontId="6" type="noConversion"/>
  </si>
  <si>
    <t>출동인원 Cost</t>
  </si>
  <si>
    <t>관제인원 Cost</t>
  </si>
  <si>
    <t>기술지원 Cost</t>
  </si>
  <si>
    <t>Customer Service Cost</t>
  </si>
  <si>
    <t>R&amp;D 인원 Cost</t>
  </si>
  <si>
    <t>CMS Labor Cost</t>
    <phoneticPr fontId="6" type="noConversion"/>
  </si>
  <si>
    <t># of 출동인원</t>
  </si>
  <si>
    <t>인당 Site Coverage</t>
  </si>
  <si>
    <t>Average Salary of 출동인원</t>
  </si>
  <si>
    <t>인당매출액(subscriber revenue)</t>
    <phoneticPr fontId="6" type="noConversion"/>
  </si>
  <si>
    <t># of 관제인원</t>
    <phoneticPr fontId="6" type="noConversion"/>
  </si>
  <si>
    <t>Average Salary of 관제인원</t>
    <phoneticPr fontId="6" type="noConversion"/>
  </si>
  <si>
    <t># of 기술지원인원</t>
    <phoneticPr fontId="6" type="noConversion"/>
  </si>
  <si>
    <t>Average Salary of 기술지원인원</t>
    <phoneticPr fontId="6" type="noConversion"/>
  </si>
  <si>
    <t>Customer Service Cost</t>
    <phoneticPr fontId="6" type="noConversion"/>
  </si>
  <si>
    <t># of Customer Service인원</t>
    <phoneticPr fontId="6" type="noConversion"/>
  </si>
  <si>
    <t>Average Salary of Customer Service인원</t>
    <phoneticPr fontId="6" type="noConversion"/>
  </si>
  <si>
    <t># of R&amp;D인원</t>
    <phoneticPr fontId="6" type="noConversion"/>
  </si>
  <si>
    <t>Average Salary of R&amp;D인원</t>
    <phoneticPr fontId="6" type="noConversion"/>
  </si>
  <si>
    <t>1-2) CMS 기타원가</t>
    <phoneticPr fontId="6" type="noConversion"/>
  </si>
  <si>
    <t>Others</t>
    <phoneticPr fontId="7" type="noConversion"/>
  </si>
  <si>
    <t>합계</t>
    <phoneticPr fontId="7" type="noConversion"/>
  </si>
  <si>
    <t>Transporation Vehicles</t>
  </si>
  <si>
    <t>대당 출동인원</t>
    <phoneticPr fontId="6" type="noConversion"/>
  </si>
  <si>
    <t>Cost / Vehicle</t>
  </si>
  <si>
    <t>% of sales</t>
    <phoneticPr fontId="7" type="noConversion"/>
  </si>
  <si>
    <t>Other 기술지원 Expense</t>
  </si>
  <si>
    <t>Other Customer Service Expense</t>
  </si>
  <si>
    <t>Call Center Expense</t>
  </si>
  <si>
    <t>Other R&amp;D Expense</t>
  </si>
  <si>
    <t>2) FM COGS</t>
    <phoneticPr fontId="6" type="noConversion"/>
  </si>
  <si>
    <t>Other Cost</t>
    <phoneticPr fontId="6" type="noConversion"/>
  </si>
  <si>
    <t>FM COGS</t>
    <phoneticPr fontId="6" type="noConversion"/>
  </si>
  <si>
    <t># of FM Employee</t>
    <phoneticPr fontId="6" type="noConversion"/>
  </si>
  <si>
    <t>FM Employee Average Labor Cost</t>
  </si>
  <si>
    <t>Other Cost</t>
  </si>
  <si>
    <t>SG&amp;A</t>
  </si>
  <si>
    <t>Physical Security SG&amp;A</t>
    <phoneticPr fontId="6" type="noConversion"/>
  </si>
  <si>
    <t>1) CMS SG&amp;A</t>
    <phoneticPr fontId="6" type="noConversion"/>
  </si>
  <si>
    <t>Sales Commission</t>
    <phoneticPr fontId="6" type="noConversion"/>
  </si>
  <si>
    <t>Commission rate</t>
    <phoneticPr fontId="6" type="noConversion"/>
  </si>
  <si>
    <t>21년 매출(BP)</t>
    <phoneticPr fontId="6" type="noConversion"/>
  </si>
  <si>
    <t>대상 매출액_Non Channel</t>
    <phoneticPr fontId="6" type="noConversion"/>
  </si>
  <si>
    <t>Q(20년말)</t>
    <phoneticPr fontId="6" type="noConversion"/>
  </si>
  <si>
    <t>ARPU</t>
    <phoneticPr fontId="6" type="noConversion"/>
  </si>
  <si>
    <t>2018 신규</t>
    <phoneticPr fontId="6" type="noConversion"/>
  </si>
  <si>
    <t>2019 신규</t>
  </si>
  <si>
    <t>2020 신규</t>
  </si>
  <si>
    <t>2021 신규</t>
  </si>
  <si>
    <t>2022 신규</t>
  </si>
  <si>
    <t>2023 신규</t>
  </si>
  <si>
    <t>2024 신규</t>
  </si>
  <si>
    <t>2025 신규</t>
  </si>
  <si>
    <t>2026 신규</t>
  </si>
  <si>
    <t>2027 신규</t>
    <phoneticPr fontId="7" type="noConversion"/>
  </si>
  <si>
    <t>대상 매출액_Non Channel</t>
  </si>
  <si>
    <t>대상 매출액_Channel</t>
    <phoneticPr fontId="6" type="noConversion"/>
  </si>
  <si>
    <t>2027 신규</t>
  </si>
  <si>
    <t>% Revenue</t>
    <phoneticPr fontId="6" type="noConversion"/>
  </si>
  <si>
    <t>2) FM SG&amp;A</t>
    <phoneticPr fontId="6" type="noConversion"/>
  </si>
  <si>
    <t># of FM Sales Representatives</t>
  </si>
  <si>
    <t>FM Sales Rep. Average Labor Cost</t>
  </si>
  <si>
    <t>Physical Security CAPEX</t>
    <phoneticPr fontId="6" type="noConversion"/>
  </si>
  <si>
    <t>COGS</t>
  </si>
  <si>
    <t>Physical Security D&amp;A_신규자산</t>
    <phoneticPr fontId="6" type="noConversion"/>
  </si>
  <si>
    <t>D&amp;A_SG&amp;A</t>
    <phoneticPr fontId="6" type="noConversion"/>
  </si>
  <si>
    <t>D&amp;A_GOGS</t>
    <phoneticPr fontId="6" type="noConversion"/>
  </si>
  <si>
    <t>1-1) CMS CAPEX</t>
    <phoneticPr fontId="6" type="noConversion"/>
  </si>
  <si>
    <t>CMS CAPEX</t>
    <phoneticPr fontId="6" type="noConversion"/>
  </si>
  <si>
    <t>Existing Account CAPEX</t>
    <phoneticPr fontId="6" type="noConversion"/>
  </si>
  <si>
    <t>New Account CAPEX</t>
    <phoneticPr fontId="6" type="noConversion"/>
  </si>
  <si>
    <t>Existing Account CAPEX</t>
  </si>
  <si>
    <t>% Existing Account Revenue</t>
  </si>
  <si>
    <t>% New Account 계약금액</t>
    <phoneticPr fontId="6" type="noConversion"/>
  </si>
  <si>
    <t>1-2) FM CAPEX</t>
    <phoneticPr fontId="6" type="noConversion"/>
  </si>
  <si>
    <t>FM CAPEX</t>
    <phoneticPr fontId="6" type="noConversion"/>
  </si>
  <si>
    <t>2) D&amp;A</t>
    <phoneticPr fontId="6" type="noConversion"/>
  </si>
  <si>
    <t>내용연수</t>
    <phoneticPr fontId="6" type="noConversion"/>
  </si>
  <si>
    <t>매출</t>
    <phoneticPr fontId="6" type="noConversion"/>
  </si>
  <si>
    <t>원가</t>
    <phoneticPr fontId="6" type="noConversion"/>
  </si>
  <si>
    <t>판관</t>
    <phoneticPr fontId="6" type="noConversion"/>
  </si>
  <si>
    <t>영업이익</t>
    <phoneticPr fontId="6" type="noConversion"/>
  </si>
  <si>
    <t>Projection_Life Care Services</t>
    <phoneticPr fontId="6" type="noConversion"/>
  </si>
  <si>
    <t>3Q</t>
  </si>
  <si>
    <t>4Q</t>
  </si>
  <si>
    <t>Projection_Life Care Services</t>
  </si>
  <si>
    <t>HomeCare Subscriber Revenue</t>
  </si>
  <si>
    <t>HomeCare Platform Revenue</t>
  </si>
  <si>
    <t>CleanCare Subscriber Revenue</t>
  </si>
  <si>
    <t>CleanCare Service Revenue</t>
  </si>
  <si>
    <t>Operation Revenue</t>
  </si>
  <si>
    <t>Lease Revenue</t>
  </si>
  <si>
    <t>Senior Care</t>
  </si>
  <si>
    <t>Material / Construction Cost</t>
    <phoneticPr fontId="7" type="noConversion"/>
  </si>
  <si>
    <t>Lease cost</t>
    <phoneticPr fontId="7" type="noConversion"/>
  </si>
  <si>
    <t>Future Stores</t>
  </si>
  <si>
    <t>Life Care Services Revenue</t>
    <phoneticPr fontId="6" type="noConversion"/>
  </si>
  <si>
    <t>1-1) HomeCare Subscriber Revenue</t>
    <phoneticPr fontId="6" type="noConversion"/>
  </si>
  <si>
    <t>HomeCare Subscriber Revenue</t>
    <phoneticPr fontId="6" type="noConversion"/>
  </si>
  <si>
    <t>HomeCare Subscribers</t>
    <phoneticPr fontId="6" type="noConversion"/>
  </si>
  <si>
    <t>가구 수</t>
    <phoneticPr fontId="6" type="noConversion"/>
  </si>
  <si>
    <t>점유율(해지 미고려 기준)</t>
    <phoneticPr fontId="6" type="noConversion"/>
  </si>
  <si>
    <t>HomeCare Prices</t>
    <phoneticPr fontId="6" type="noConversion"/>
  </si>
  <si>
    <t>1-2) HomeCare Platform Revenue</t>
    <phoneticPr fontId="6" type="noConversion"/>
  </si>
  <si>
    <t>Platform Revenue</t>
  </si>
  <si>
    <t>Number of Users</t>
  </si>
  <si>
    <t>Platform Price / User</t>
  </si>
  <si>
    <t>HomeCare Platform Revenue</t>
    <phoneticPr fontId="6" type="noConversion"/>
  </si>
  <si>
    <t>HomeCare 기초 구독자수</t>
    <phoneticPr fontId="6" type="noConversion"/>
  </si>
  <si>
    <t>Penetration Rate</t>
  </si>
  <si>
    <t>사용자 수</t>
    <phoneticPr fontId="6" type="noConversion"/>
  </si>
  <si>
    <t>HomeCare 신규ARPU</t>
    <phoneticPr fontId="6" type="noConversion"/>
  </si>
  <si>
    <t>Price rate</t>
    <phoneticPr fontId="6" type="noConversion"/>
  </si>
  <si>
    <t>평균 단가</t>
    <phoneticPr fontId="6" type="noConversion"/>
  </si>
  <si>
    <t>2) CleanCare Revenue</t>
    <phoneticPr fontId="6" type="noConversion"/>
  </si>
  <si>
    <t>CleanCare Revenue</t>
    <phoneticPr fontId="6" type="noConversion"/>
  </si>
  <si>
    <t>Growth %</t>
    <phoneticPr fontId="6" type="noConversion"/>
  </si>
  <si>
    <t>2-1) CleanCare Subscriber Revenue</t>
    <phoneticPr fontId="6" type="noConversion"/>
  </si>
  <si>
    <t>CleanCare Subscriber Revenue</t>
    <phoneticPr fontId="6" type="noConversion"/>
  </si>
  <si>
    <t>CleanCare Subscribers</t>
    <phoneticPr fontId="6" type="noConversion"/>
  </si>
  <si>
    <t># of New Accounts / Sales Representative</t>
  </si>
  <si>
    <t>CMS Sales Representatives</t>
  </si>
  <si>
    <t>CleanCare Prices</t>
    <phoneticPr fontId="6" type="noConversion"/>
  </si>
  <si>
    <t>2-1) CleanCare Service Revenue</t>
    <phoneticPr fontId="6" type="noConversion"/>
  </si>
  <si>
    <t>Service Revenue</t>
    <phoneticPr fontId="6" type="noConversion"/>
  </si>
  <si>
    <t>CleanCare Subscribers</t>
  </si>
  <si>
    <t>Average Price</t>
    <phoneticPr fontId="6" type="noConversion"/>
  </si>
  <si>
    <t>CleanCare Service Revenue</t>
    <phoneticPr fontId="6" type="noConversion"/>
  </si>
  <si>
    <t>3-1) Parking - Operation Revenue</t>
    <phoneticPr fontId="6" type="noConversion"/>
  </si>
  <si>
    <t>Operation Revenue</t>
    <phoneticPr fontId="6" type="noConversion"/>
  </si>
  <si>
    <t>Parking Subscribers</t>
    <phoneticPr fontId="6" type="noConversion"/>
  </si>
  <si>
    <t>갱신</t>
    <phoneticPr fontId="6" type="noConversion"/>
  </si>
  <si>
    <t>리스조건</t>
    <phoneticPr fontId="6" type="noConversion"/>
  </si>
  <si>
    <t>재개약율</t>
    <phoneticPr fontId="6" type="noConversion"/>
  </si>
  <si>
    <t>Parking Prices</t>
    <phoneticPr fontId="6" type="noConversion"/>
  </si>
  <si>
    <t>갱신ARPU</t>
    <phoneticPr fontId="6" type="noConversion"/>
  </si>
  <si>
    <t>3-2) Parking - Lease Revenue</t>
    <phoneticPr fontId="6" type="noConversion"/>
  </si>
  <si>
    <t>Lease Revenue</t>
    <phoneticPr fontId="6" type="noConversion"/>
  </si>
  <si>
    <t>Lease Revenue / Site</t>
  </si>
  <si>
    <t>Parking - Lease Revenue</t>
    <phoneticPr fontId="6" type="noConversion"/>
  </si>
  <si>
    <t>4) Future Stores Revenue</t>
    <phoneticPr fontId="6" type="noConversion"/>
  </si>
  <si>
    <t>Future Stores Revenue</t>
    <phoneticPr fontId="6" type="noConversion"/>
  </si>
  <si>
    <t>Future Store Subscribers</t>
  </si>
  <si>
    <t># TAM</t>
    <phoneticPr fontId="7" type="noConversion"/>
  </si>
  <si>
    <t>% FS</t>
    <phoneticPr fontId="7" type="noConversion"/>
  </si>
  <si>
    <t>Future Stores ARPU</t>
  </si>
  <si>
    <t>Tech support cost</t>
  </si>
  <si>
    <t>Life Care Services COGS</t>
    <phoneticPr fontId="6" type="noConversion"/>
  </si>
  <si>
    <t>1) HomeCare COGS</t>
    <phoneticPr fontId="6" type="noConversion"/>
  </si>
  <si>
    <t>HomeCare</t>
    <phoneticPr fontId="6" type="noConversion"/>
  </si>
  <si>
    <t>HomeCare Installation Commission</t>
  </si>
  <si>
    <t>New Accounts</t>
    <phoneticPr fontId="7" type="noConversion"/>
  </si>
  <si>
    <t>Average Commission</t>
    <phoneticPr fontId="7" type="noConversion"/>
  </si>
  <si>
    <t>신규arpu</t>
  </si>
  <si>
    <t>계약금액</t>
  </si>
  <si>
    <t>OTHER COGS</t>
    <phoneticPr fontId="7" type="noConversion"/>
  </si>
  <si>
    <t>%사업계획</t>
    <phoneticPr fontId="7" type="noConversion"/>
  </si>
  <si>
    <t>% 누적 구독자 증가</t>
    <phoneticPr fontId="7" type="noConversion"/>
  </si>
  <si>
    <t>2) CleanCare COGS</t>
    <phoneticPr fontId="6" type="noConversion"/>
  </si>
  <si>
    <t>CleanCare</t>
    <phoneticPr fontId="6" type="noConversion"/>
  </si>
  <si>
    <t>Commission to Subcontractor</t>
  </si>
  <si>
    <t>Commission to Subcontractor</t>
    <phoneticPr fontId="7" type="noConversion"/>
  </si>
  <si>
    <t>[실적기반 추정]</t>
    <phoneticPr fontId="6" type="noConversion"/>
  </si>
  <si>
    <t>CleanCare COGS</t>
    <phoneticPr fontId="6" type="noConversion"/>
  </si>
  <si>
    <t>3) Parking COGS</t>
    <phoneticPr fontId="6" type="noConversion"/>
  </si>
  <si>
    <t>Parking</t>
    <phoneticPr fontId="6" type="noConversion"/>
  </si>
  <si>
    <t>Monitoring Employee Labor Cost</t>
  </si>
  <si>
    <t>Lease</t>
    <phoneticPr fontId="7" type="noConversion"/>
  </si>
  <si>
    <t>Material Cost (Operation)</t>
  </si>
  <si>
    <t>% Increment from Hydrogen Parking</t>
  </si>
  <si>
    <t>% Revenue(신규 계약금액 및 리스매출)</t>
    <phoneticPr fontId="6" type="noConversion"/>
  </si>
  <si>
    <t>% 사업계획</t>
    <phoneticPr fontId="7" type="noConversion"/>
  </si>
  <si>
    <t>Revenue Sharing (Operation)</t>
    <phoneticPr fontId="6" type="noConversion"/>
  </si>
  <si>
    <t>% Revenue(운영매출 中 수익배분계약 해당금액)</t>
    <phoneticPr fontId="6" type="noConversion"/>
  </si>
  <si>
    <t>Monitoring Employee Labor Cost</t>
    <phoneticPr fontId="6" type="noConversion"/>
  </si>
  <si>
    <t># of Monitoring Employee</t>
  </si>
  <si>
    <t>Ending subscribers</t>
    <phoneticPr fontId="7" type="noConversion"/>
  </si>
  <si>
    <t>COGS client / employee</t>
    <phoneticPr fontId="7" type="noConversion"/>
  </si>
  <si>
    <t>Labor Cost / Monitoring Employee</t>
  </si>
  <si>
    <t>4) Future Store COGS</t>
    <phoneticPr fontId="6" type="noConversion"/>
  </si>
  <si>
    <t>Tech support cost</t>
    <phoneticPr fontId="7" type="noConversion"/>
  </si>
  <si>
    <t>% CMS tech support cost / subscriber revenue</t>
    <phoneticPr fontId="7" type="noConversion"/>
  </si>
  <si>
    <t>Commission</t>
    <phoneticPr fontId="7" type="noConversion"/>
  </si>
  <si>
    <t>Life Care Services SG&amp;A</t>
    <phoneticPr fontId="6" type="noConversion"/>
  </si>
  <si>
    <t>1) HomeCare SG&amp;A</t>
    <phoneticPr fontId="6" type="noConversion"/>
  </si>
  <si>
    <t>Distribution Network Commission</t>
  </si>
  <si>
    <t>Strategy, Operation Employee</t>
  </si>
  <si>
    <t>Distribution Network Commission</t>
    <phoneticPr fontId="7" type="noConversion"/>
  </si>
  <si>
    <t>2) CleanCare SG&amp;A</t>
    <phoneticPr fontId="6" type="noConversion"/>
  </si>
  <si>
    <t>CleanCare Operating Employee</t>
  </si>
  <si>
    <t xml:space="preserve">   Clean Care ending subscriber</t>
    <phoneticPr fontId="7" type="noConversion"/>
  </si>
  <si>
    <t>3) Parking SG&amp;A</t>
    <phoneticPr fontId="6" type="noConversion"/>
  </si>
  <si>
    <t>Sales Representative Labor Cost</t>
  </si>
  <si>
    <t>Labor Cost / Sales Rep</t>
  </si>
  <si>
    <t>Engineering / Other Labor Cost</t>
    <phoneticPr fontId="7" type="noConversion"/>
  </si>
  <si>
    <t># of Employees</t>
  </si>
  <si>
    <t>4) Future Store SG&amp;A</t>
    <phoneticPr fontId="6" type="noConversion"/>
  </si>
  <si>
    <t>Future Stores Sales Commission</t>
    <phoneticPr fontId="7" type="noConversion"/>
  </si>
  <si>
    <t>Commission rate</t>
  </si>
  <si>
    <t>대상 매출액</t>
    <phoneticPr fontId="6" type="noConversion"/>
  </si>
  <si>
    <t>Q</t>
    <phoneticPr fontId="6" type="noConversion"/>
  </si>
  <si>
    <t>2022 신규</t>
    <phoneticPr fontId="7" type="noConversion"/>
  </si>
  <si>
    <t>2023 신규</t>
    <phoneticPr fontId="7" type="noConversion"/>
  </si>
  <si>
    <t>2024 신규</t>
    <phoneticPr fontId="7" type="noConversion"/>
  </si>
  <si>
    <t>2025 신규</t>
    <phoneticPr fontId="7" type="noConversion"/>
  </si>
  <si>
    <t>2026 신규</t>
    <phoneticPr fontId="7" type="noConversion"/>
  </si>
  <si>
    <t>Life Care Services CAPEX</t>
    <phoneticPr fontId="6" type="noConversion"/>
  </si>
  <si>
    <t>Parking Lease</t>
    <phoneticPr fontId="6" type="noConversion"/>
  </si>
  <si>
    <t>Life Care Services D&amp;A_신규자산</t>
    <phoneticPr fontId="6" type="noConversion"/>
  </si>
  <si>
    <t>1-1) HomeCare CAPEX</t>
    <phoneticPr fontId="6" type="noConversion"/>
  </si>
  <si>
    <t>HomeCare CAPEX</t>
    <phoneticPr fontId="6" type="noConversion"/>
  </si>
  <si>
    <t>Future Store CAPEX</t>
  </si>
  <si>
    <t>HomeCare CAPEX</t>
  </si>
  <si>
    <t>% Existing Account</t>
  </si>
  <si>
    <t>New Account CAPEX</t>
    <phoneticPr fontId="7" type="noConversion"/>
  </si>
  <si>
    <t>New Account 계약금액</t>
  </si>
  <si>
    <t>Future Store CAPEX</t>
    <phoneticPr fontId="7" type="noConversion"/>
  </si>
  <si>
    <t>% New Account 계약금액</t>
  </si>
  <si>
    <t>매출액</t>
    <phoneticPr fontId="7" type="noConversion"/>
  </si>
  <si>
    <t>New Account CAPEX</t>
  </si>
  <si>
    <t>% Gross Add</t>
  </si>
  <si>
    <t>3) D&amp;A_Lease</t>
    <phoneticPr fontId="6" type="noConversion"/>
  </si>
  <si>
    <t>New Parking Lease Payments</t>
    <phoneticPr fontId="6" type="noConversion"/>
  </si>
  <si>
    <t>Lease payment(리스파일 계산)</t>
    <phoneticPr fontId="7" type="noConversion"/>
  </si>
  <si>
    <t>% of revenue</t>
    <phoneticPr fontId="7" type="noConversion"/>
  </si>
  <si>
    <t>Parking Operation revenue</t>
    <phoneticPr fontId="7" type="noConversion"/>
  </si>
  <si>
    <t>기존 사용권자산 상각비(C4)</t>
    <phoneticPr fontId="7" type="noConversion"/>
  </si>
  <si>
    <t>Lease_CoGS</t>
    <phoneticPr fontId="7" type="noConversion"/>
  </si>
  <si>
    <t>Average Lease Payments / New Sites</t>
  </si>
  <si>
    <t>ARPU(연) 대비 리스료</t>
    <phoneticPr fontId="7" type="noConversion"/>
  </si>
  <si>
    <t>ARPU(연)</t>
    <phoneticPr fontId="7" type="noConversion"/>
  </si>
  <si>
    <t>ARPU</t>
    <phoneticPr fontId="7" type="noConversion"/>
  </si>
  <si>
    <t># of Lease Sites</t>
  </si>
  <si>
    <t>Proportion of Lease Sites</t>
  </si>
  <si>
    <t># of New Sites</t>
  </si>
  <si>
    <t>Parking Lease Schedule</t>
  </si>
  <si>
    <t>Lease Asset/Liability</t>
    <phoneticPr fontId="6" type="noConversion"/>
  </si>
  <si>
    <t>기간</t>
    <phoneticPr fontId="6" type="noConversion"/>
  </si>
  <si>
    <t>할인율</t>
    <phoneticPr fontId="6" type="noConversion"/>
  </si>
  <si>
    <t>https://www.statista.com/forecasts/887727/smart-home-penetration-rate-per-segment-in-japan\</t>
    <phoneticPr fontId="6" type="noConversion"/>
  </si>
  <si>
    <t>https://www.globenewswire.com/fr/news-release/2020/01/23/1974208/28124/en/Japan-Smart-Home-Market-Number-Household-Penetration-by-Application-Areas-Policies-Trends-Key-Company-Profiles-Forecast-to-2026.html</t>
    <phoneticPr fontId="6" type="noConversion"/>
  </si>
  <si>
    <t>FutureStore</t>
    <phoneticPr fontId="6" type="noConversion"/>
  </si>
  <si>
    <t>Projection_Others</t>
    <phoneticPr fontId="6" type="noConversion"/>
  </si>
  <si>
    <t>내부거래</t>
    <phoneticPr fontId="6" type="noConversion"/>
  </si>
  <si>
    <t>Group SG&amp;A</t>
    <phoneticPr fontId="6" type="noConversion"/>
  </si>
  <si>
    <t>Labor Expense</t>
  </si>
  <si>
    <t>Advertisement Expense</t>
  </si>
  <si>
    <t>Other Shared Expenses</t>
  </si>
  <si>
    <t>% T-1 Year Revenue</t>
  </si>
  <si>
    <t>Capex_기존자산</t>
    <phoneticPr fontId="6" type="noConversion"/>
  </si>
  <si>
    <t>Growth Capex</t>
    <phoneticPr fontId="6" type="noConversion"/>
  </si>
  <si>
    <t>Intangible Assets</t>
    <phoneticPr fontId="6" type="noConversion"/>
  </si>
  <si>
    <t>Other Capex</t>
    <phoneticPr fontId="6" type="noConversion"/>
  </si>
  <si>
    <t>Amortization_신규자산</t>
    <phoneticPr fontId="6" type="noConversion"/>
  </si>
  <si>
    <t>Projection_NWC</t>
    <phoneticPr fontId="6" type="noConversion"/>
  </si>
  <si>
    <t>NWC</t>
    <phoneticPr fontId="6" type="noConversion"/>
  </si>
  <si>
    <t>자산</t>
    <phoneticPr fontId="6" type="noConversion"/>
  </si>
  <si>
    <t>매출채권+계약자산</t>
  </si>
  <si>
    <t>미수금</t>
  </si>
  <si>
    <t>선급금</t>
  </si>
  <si>
    <t>선급비용</t>
  </si>
  <si>
    <t>재고자산</t>
    <phoneticPr fontId="6" type="noConversion"/>
  </si>
  <si>
    <t>부채</t>
    <phoneticPr fontId="6" type="noConversion"/>
  </si>
  <si>
    <t>매입채무</t>
  </si>
  <si>
    <t>미지급금</t>
  </si>
  <si>
    <t>미지급비용</t>
  </si>
  <si>
    <t>예수보증금</t>
  </si>
  <si>
    <t>계약부채</t>
  </si>
  <si>
    <t>△NWC</t>
    <phoneticPr fontId="6" type="noConversion"/>
  </si>
  <si>
    <t>.</t>
    <phoneticPr fontId="6" type="noConversion"/>
  </si>
  <si>
    <t>1) 내부거래 조정</t>
    <phoneticPr fontId="6" type="noConversion"/>
  </si>
  <si>
    <t>공시PL</t>
    <phoneticPr fontId="7" type="noConversion"/>
  </si>
  <si>
    <t>회사제시proforma</t>
    <phoneticPr fontId="7" type="noConversion"/>
  </si>
  <si>
    <t>공시</t>
    <phoneticPr fontId="7" type="noConversion"/>
  </si>
  <si>
    <t>영업비용</t>
    <phoneticPr fontId="7" type="noConversion"/>
  </si>
  <si>
    <t>조정전 금액</t>
    <phoneticPr fontId="6" type="noConversion"/>
  </si>
  <si>
    <t>SG&amp;A(상각비제외)</t>
    <phoneticPr fontId="6" type="noConversion"/>
  </si>
  <si>
    <t>조정금액</t>
    <phoneticPr fontId="6" type="noConversion"/>
  </si>
  <si>
    <t>% 조정전 금액</t>
    <phoneticPr fontId="6" type="noConversion"/>
  </si>
  <si>
    <t>영업비용</t>
    <phoneticPr fontId="6" type="noConversion"/>
  </si>
  <si>
    <t>% 조정전 금액</t>
  </si>
  <si>
    <t>2) Other CAPEX</t>
    <phoneticPr fontId="6" type="noConversion"/>
  </si>
  <si>
    <t>Capex_기존자산</t>
  </si>
  <si>
    <t>Intangible Assets</t>
  </si>
  <si>
    <t>Investment in Intangible Assets</t>
  </si>
  <si>
    <t>3) Other CAPEX_D&amp;A</t>
    <phoneticPr fontId="6" type="noConversion"/>
  </si>
  <si>
    <t>유형자산상각비</t>
    <phoneticPr fontId="6" type="noConversion"/>
  </si>
  <si>
    <t>무형자산상각비</t>
    <phoneticPr fontId="6" type="noConversion"/>
  </si>
  <si>
    <t>건물</t>
    <phoneticPr fontId="6" type="noConversion"/>
  </si>
  <si>
    <t>기계장치</t>
  </si>
  <si>
    <t>관제장치</t>
  </si>
  <si>
    <t>차량운반구</t>
  </si>
  <si>
    <t>공기구비품</t>
  </si>
  <si>
    <t>공기구비품_국고보조금</t>
  </si>
  <si>
    <t>임차자산개량권</t>
  </si>
  <si>
    <t>임차자산개량권_복구충당</t>
  </si>
  <si>
    <t>CMS이연공사비</t>
  </si>
  <si>
    <t>CIP</t>
    <phoneticPr fontId="6" type="noConversion"/>
  </si>
  <si>
    <t>사용권자산</t>
    <phoneticPr fontId="6" type="noConversion"/>
  </si>
  <si>
    <t>차량운반구_캡스텍</t>
    <phoneticPr fontId="6" type="noConversion"/>
  </si>
  <si>
    <t>공기구비품_캡스텍</t>
    <phoneticPr fontId="6" type="noConversion"/>
  </si>
  <si>
    <t>임차자산개량권_캡스텍</t>
    <phoneticPr fontId="6" type="noConversion"/>
  </si>
  <si>
    <t>CIP_캡스텍</t>
    <phoneticPr fontId="6" type="noConversion"/>
  </si>
  <si>
    <t>사용권자산_캡스텍</t>
    <phoneticPr fontId="6" type="noConversion"/>
  </si>
  <si>
    <t>소프트웨어</t>
  </si>
  <si>
    <t>소프트웨어_고정자산 CIP</t>
  </si>
  <si>
    <t>소프트웨어_캡스텍</t>
    <phoneticPr fontId="6" type="noConversion"/>
  </si>
  <si>
    <t>개발비</t>
  </si>
  <si>
    <t>개발비_고정자산 CIP(인포섹)</t>
  </si>
  <si>
    <t>특허권</t>
    <phoneticPr fontId="6" type="noConversion"/>
  </si>
  <si>
    <t>무형자산상각비_PPA</t>
    <phoneticPr fontId="6" type="noConversion"/>
  </si>
  <si>
    <t>고객인수대가</t>
  </si>
  <si>
    <t>브랜드</t>
    <phoneticPr fontId="6" type="noConversion"/>
  </si>
  <si>
    <t>5) NWC</t>
    <phoneticPr fontId="6" type="noConversion"/>
  </si>
  <si>
    <t>21 11~12</t>
    <phoneticPr fontId="6" type="noConversion"/>
  </si>
  <si>
    <t>3) 19~22.3Q</t>
  </si>
  <si>
    <t>21년 연결보고서</t>
    <phoneticPr fontId="7" type="noConversion"/>
  </si>
  <si>
    <t>매출채권+계약자산</t>
    <phoneticPr fontId="6" type="noConversion"/>
  </si>
  <si>
    <t>매출채권(순액)</t>
    <phoneticPr fontId="7" type="noConversion"/>
  </si>
  <si>
    <t>회전율</t>
    <phoneticPr fontId="7" type="noConversion"/>
  </si>
  <si>
    <t>회전기일</t>
    <phoneticPr fontId="7" type="noConversion"/>
  </si>
  <si>
    <t>미수금</t>
    <phoneticPr fontId="6" type="noConversion"/>
  </si>
  <si>
    <t>미수금(순액)</t>
    <phoneticPr fontId="7" type="noConversion"/>
  </si>
  <si>
    <t>선급금</t>
    <phoneticPr fontId="6" type="noConversion"/>
  </si>
  <si>
    <t>선급금</t>
    <phoneticPr fontId="7" type="noConversion"/>
  </si>
  <si>
    <t>영업비용</t>
  </si>
  <si>
    <t>선급비용</t>
    <phoneticPr fontId="6" type="noConversion"/>
  </si>
  <si>
    <t>선급비용</t>
    <phoneticPr fontId="7" type="noConversion"/>
  </si>
  <si>
    <t>재고자산(순액)</t>
    <phoneticPr fontId="7" type="noConversion"/>
  </si>
  <si>
    <t>매입채무</t>
    <phoneticPr fontId="6" type="noConversion"/>
  </si>
  <si>
    <t>매입채무</t>
    <phoneticPr fontId="7" type="noConversion"/>
  </si>
  <si>
    <t>미지급금</t>
    <phoneticPr fontId="6" type="noConversion"/>
  </si>
  <si>
    <t>미지급금</t>
    <phoneticPr fontId="7" type="noConversion"/>
  </si>
  <si>
    <t>미지급비용</t>
    <phoneticPr fontId="6" type="noConversion"/>
  </si>
  <si>
    <t>미지급비용</t>
    <phoneticPr fontId="7" type="noConversion"/>
  </si>
  <si>
    <t>예수보증금</t>
    <phoneticPr fontId="6" type="noConversion"/>
  </si>
  <si>
    <t>예수보증금</t>
    <phoneticPr fontId="7" type="noConversion"/>
  </si>
  <si>
    <t>계약부채</t>
    <phoneticPr fontId="6" type="noConversion"/>
  </si>
  <si>
    <t>계약부채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</si>
</sst>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176" formatCode="#,##0;[Red]\(#,##0\);\-"/>
    <numFmt numFmtId="177" formatCode="0.0%"/>
    <numFmt numFmtId="178" formatCode="#,##0.00;[Red]\(#,##0.00\);\-"/>
    <numFmt numFmtId="179" formatCode="#,##0.0;[Red]\(#,##0.0\);\-"/>
    <numFmt numFmtId="180" formatCode="#,##0.000;[Red]\(#,##0.000\);\-"/>
    <numFmt numFmtId="181" formatCode="_(* #,##0_);_(* \(#,##0\);_(* &quot;-&quot;_);@_)"/>
    <numFmt numFmtId="182" formatCode="_(* #,##0_);_(* \(#,##0\);_(* &quot;-&quot;_);_(@_)"/>
    <numFmt numFmtId="183" formatCode="_-* #,##0.0_-;\-* #,##0.0_-;_-* &quot;-&quot;_-;_-@_-"/>
    <numFmt numFmtId="184" formatCode="0&quot; Site Platform&quot;"/>
    <numFmt numFmtId="185" formatCode="#,##0.000_);[Red]\(#,##0.000\)"/>
    <numFmt numFmtId="186" formatCode="#,##0.0000;[Red]\(#,##0.0000\);\-"/>
    <numFmt numFmtId="187" formatCode="#,##0.00_);[Red]\(#,##0.00\)"/>
    <numFmt numFmtId="188" formatCode="#,##0.0000000_);[Red]\(#,##0.0000000\)"/>
    <numFmt numFmtId="189" formatCode="#,##0.0_);[Red]\(#,##0.0\)"/>
    <numFmt numFmtId="190" formatCode="#,##0.0000_);[Red]\(#,##0.0000\)"/>
    <numFmt numFmtId="191" formatCode="00.00%"/>
    <numFmt numFmtId="192" formatCode="0.0000_ "/>
  </numFmts>
  <fonts count="45">
    <font>
      <sz val="10"/>
      <color indexed="16"/>
      <name val="맑은 고딕"/>
      <family val="2"/>
      <scheme val="minor"/>
    </font>
    <font>
      <sz val="10"/>
      <color theme="1"/>
      <name val="맑은 고딕"/>
      <family val="2"/>
      <charset val="129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color theme="1"/>
      <name val="Credit Suisse Type Light"/>
      <family val="2"/>
    </font>
    <font>
      <i/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indexed="16"/>
      <name val="맑은 고딕"/>
      <family val="2"/>
      <scheme val="minor"/>
    </font>
    <font>
      <sz val="10"/>
      <color theme="4"/>
      <name val="맑은 고딕"/>
      <family val="2"/>
      <charset val="129"/>
    </font>
    <font>
      <sz val="10"/>
      <color rgb="FF0070C0"/>
      <name val="맑은 고딕"/>
      <family val="2"/>
      <charset val="129"/>
    </font>
    <font>
      <sz val="10"/>
      <color rgb="FF0070C0"/>
      <name val="맑은 고딕"/>
      <family val="3"/>
      <charset val="129"/>
    </font>
    <font>
      <sz val="10"/>
      <color rgb="FF0000FF"/>
      <name val="Arial"/>
      <family val="2"/>
    </font>
    <font>
      <b/>
      <sz val="9"/>
      <color theme="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rgb="FF0070C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color rgb="FF0070C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indexed="16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</font>
    <font>
      <i/>
      <sz val="9"/>
      <color rgb="FF0070C0"/>
      <name val="맑은 고딕"/>
      <family val="3"/>
      <charset val="129"/>
    </font>
    <font>
      <sz val="9"/>
      <color theme="7"/>
      <name val="맑은 고딕"/>
      <family val="3"/>
      <charset val="129"/>
    </font>
    <font>
      <i/>
      <sz val="9"/>
      <color indexed="16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sz val="9"/>
      <color rgb="FF00B0F0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theme="0"/>
      <name val="맑은 고딕"/>
      <family val="3"/>
      <charset val="129"/>
    </font>
    <font>
      <sz val="9"/>
      <color indexed="16"/>
      <name val="맑은 고딕"/>
      <family val="3"/>
      <charset val="129"/>
    </font>
    <font>
      <i/>
      <sz val="9"/>
      <color indexed="16"/>
      <name val="맑은 고딕"/>
      <family val="3"/>
      <charset val="129"/>
    </font>
    <font>
      <b/>
      <sz val="9"/>
      <color rgb="FF00B0F0"/>
      <name val="맑은 고딕"/>
      <family val="3"/>
      <charset val="129"/>
    </font>
    <font>
      <u/>
      <sz val="10"/>
      <color theme="10"/>
      <name val="맑은 고딕"/>
      <family val="2"/>
      <charset val="129"/>
    </font>
    <font>
      <u/>
      <sz val="9"/>
      <color theme="10"/>
      <name val="맑은 고딕"/>
      <family val="3"/>
      <charset val="129"/>
    </font>
    <font>
      <sz val="10"/>
      <color rgb="FF00B0F0"/>
      <name val="맑은 고딕"/>
      <family val="2"/>
      <charset val="129"/>
    </font>
    <font>
      <sz val="10"/>
      <name val="맑은 고딕"/>
      <family val="2"/>
      <charset val="129"/>
    </font>
    <font>
      <sz val="11"/>
      <color theme="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14EC5C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</borders>
  <cellStyleXfs count="7">
    <xf numFmtId="181" fontId="0" fillId="0" borderId="0"/>
    <xf numFmtId="182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</cellStyleXfs>
  <cellXfs count="458">
    <xf numFmtId="181" fontId="0" fillId="0" borderId="0" xfId="0"/>
    <xf numFmtId="176" fontId="2" fillId="2" borderId="0" xfId="3" applyNumberFormat="1" applyFont="1" applyFill="1">
      <alignment vertical="center"/>
    </xf>
    <xf numFmtId="176" fontId="4" fillId="2" borderId="0" xfId="3" applyNumberFormat="1" applyFont="1" applyFill="1">
      <alignment vertical="center"/>
    </xf>
    <xf numFmtId="176" fontId="2" fillId="2" borderId="1" xfId="3" applyNumberFormat="1" applyFont="1" applyFill="1" applyBorder="1">
      <alignment vertical="center"/>
    </xf>
    <xf numFmtId="176" fontId="5" fillId="0" borderId="0" xfId="3" applyNumberFormat="1" applyFont="1">
      <alignment vertical="center"/>
    </xf>
    <xf numFmtId="176" fontId="5" fillId="3" borderId="2" xfId="3" applyNumberFormat="1" applyFont="1" applyFill="1" applyBorder="1">
      <alignment vertical="center"/>
    </xf>
    <xf numFmtId="176" fontId="5" fillId="3" borderId="2" xfId="3" applyNumberFormat="1" applyFont="1" applyFill="1" applyBorder="1" applyAlignment="1">
      <alignment horizontal="center" vertical="center"/>
    </xf>
    <xf numFmtId="176" fontId="5" fillId="3" borderId="3" xfId="3" applyNumberFormat="1" applyFont="1" applyFill="1" applyBorder="1">
      <alignment vertical="center"/>
    </xf>
    <xf numFmtId="176" fontId="5" fillId="3" borderId="3" xfId="3" applyNumberFormat="1" applyFont="1" applyFill="1" applyBorder="1" applyAlignment="1">
      <alignment horizontal="center" vertical="center"/>
    </xf>
    <xf numFmtId="176" fontId="1" fillId="0" borderId="0" xfId="3" applyNumberFormat="1">
      <alignment vertical="center"/>
    </xf>
    <xf numFmtId="177" fontId="0" fillId="0" borderId="0" xfId="4" applyNumberFormat="1" applyFont="1">
      <alignment vertical="center"/>
    </xf>
    <xf numFmtId="176" fontId="8" fillId="2" borderId="0" xfId="3" applyNumberFormat="1" applyFont="1" applyFill="1">
      <alignment vertical="center"/>
    </xf>
    <xf numFmtId="176" fontId="9" fillId="0" borderId="2" xfId="3" applyNumberFormat="1" applyFont="1" applyBorder="1">
      <alignment vertical="center"/>
    </xf>
    <xf numFmtId="176" fontId="9" fillId="0" borderId="4" xfId="3" applyNumberFormat="1" applyFont="1" applyBorder="1">
      <alignment vertical="center"/>
    </xf>
    <xf numFmtId="176" fontId="5" fillId="0" borderId="3" xfId="3" applyNumberFormat="1" applyFont="1" applyBorder="1">
      <alignment vertical="center"/>
    </xf>
    <xf numFmtId="176" fontId="5" fillId="0" borderId="5" xfId="3" applyNumberFormat="1" applyFont="1" applyBorder="1">
      <alignment vertical="center"/>
    </xf>
    <xf numFmtId="176" fontId="9" fillId="0" borderId="0" xfId="3" applyNumberFormat="1" applyFont="1">
      <alignment vertical="center"/>
    </xf>
    <xf numFmtId="176" fontId="9" fillId="0" borderId="6" xfId="3" applyNumberFormat="1" applyFont="1" applyBorder="1">
      <alignment vertical="center"/>
    </xf>
    <xf numFmtId="176" fontId="5" fillId="0" borderId="6" xfId="3" applyNumberFormat="1" applyFont="1" applyBorder="1">
      <alignment vertical="center"/>
    </xf>
    <xf numFmtId="176" fontId="9" fillId="0" borderId="7" xfId="3" applyNumberFormat="1" applyFont="1" applyBorder="1">
      <alignment vertical="center"/>
    </xf>
    <xf numFmtId="176" fontId="9" fillId="0" borderId="8" xfId="3" applyNumberFormat="1" applyFont="1" applyBorder="1">
      <alignment vertical="center"/>
    </xf>
    <xf numFmtId="178" fontId="5" fillId="0" borderId="0" xfId="3" applyNumberFormat="1" applyFont="1">
      <alignment vertical="center"/>
    </xf>
    <xf numFmtId="179" fontId="5" fillId="4" borderId="0" xfId="3" applyNumberFormat="1" applyFont="1" applyFill="1">
      <alignment vertical="center"/>
    </xf>
    <xf numFmtId="180" fontId="5" fillId="0" borderId="3" xfId="3" applyNumberFormat="1" applyFont="1" applyBorder="1">
      <alignment vertical="center"/>
    </xf>
    <xf numFmtId="180" fontId="5" fillId="4" borderId="3" xfId="3" applyNumberFormat="1" applyFont="1" applyFill="1" applyBorder="1">
      <alignment vertical="center"/>
    </xf>
    <xf numFmtId="176" fontId="9" fillId="4" borderId="7" xfId="3" applyNumberFormat="1" applyFont="1" applyFill="1" applyBorder="1">
      <alignment vertical="center"/>
    </xf>
    <xf numFmtId="177" fontId="5" fillId="0" borderId="0" xfId="2" applyNumberFormat="1" applyFont="1" applyAlignment="1">
      <alignment vertical="center"/>
    </xf>
    <xf numFmtId="176" fontId="11" fillId="0" borderId="9" xfId="3" applyNumberFormat="1" applyFont="1" applyBorder="1">
      <alignment vertical="center"/>
    </xf>
    <xf numFmtId="176" fontId="11" fillId="0" borderId="2" xfId="3" applyNumberFormat="1" applyFont="1" applyBorder="1">
      <alignment vertical="center"/>
    </xf>
    <xf numFmtId="177" fontId="11" fillId="0" borderId="2" xfId="4" applyNumberFormat="1" applyFont="1" applyBorder="1">
      <alignment vertical="center"/>
    </xf>
    <xf numFmtId="177" fontId="11" fillId="0" borderId="4" xfId="4" applyNumberFormat="1" applyFont="1" applyBorder="1">
      <alignment vertical="center"/>
    </xf>
    <xf numFmtId="177" fontId="11" fillId="0" borderId="9" xfId="4" applyNumberFormat="1" applyFont="1" applyBorder="1">
      <alignment vertical="center"/>
    </xf>
    <xf numFmtId="176" fontId="11" fillId="0" borderId="10" xfId="3" applyNumberFormat="1" applyFont="1" applyBorder="1">
      <alignment vertical="center"/>
    </xf>
    <xf numFmtId="176" fontId="11" fillId="0" borderId="3" xfId="3" applyNumberFormat="1" applyFont="1" applyBorder="1">
      <alignment vertical="center"/>
    </xf>
    <xf numFmtId="177" fontId="11" fillId="0" borderId="3" xfId="4" applyNumberFormat="1" applyFont="1" applyBorder="1">
      <alignment vertical="center"/>
    </xf>
    <xf numFmtId="177" fontId="11" fillId="0" borderId="5" xfId="4" applyNumberFormat="1" applyFont="1" applyBorder="1">
      <alignment vertical="center"/>
    </xf>
    <xf numFmtId="177" fontId="11" fillId="0" borderId="10" xfId="4" applyNumberFormat="1" applyFont="1" applyBorder="1">
      <alignment vertical="center"/>
    </xf>
    <xf numFmtId="177" fontId="1" fillId="0" borderId="0" xfId="2" applyNumberFormat="1" applyFont="1" applyAlignment="1">
      <alignment vertical="center"/>
    </xf>
    <xf numFmtId="176" fontId="12" fillId="0" borderId="9" xfId="3" applyNumberFormat="1" applyFont="1" applyBorder="1">
      <alignment vertical="center"/>
    </xf>
    <xf numFmtId="176" fontId="12" fillId="0" borderId="2" xfId="3" applyNumberFormat="1" applyFont="1" applyBorder="1">
      <alignment vertical="center"/>
    </xf>
    <xf numFmtId="176" fontId="12" fillId="0" borderId="4" xfId="3" applyNumberFormat="1" applyFont="1" applyBorder="1">
      <alignment vertical="center"/>
    </xf>
    <xf numFmtId="176" fontId="5" fillId="0" borderId="11" xfId="3" applyNumberFormat="1" applyFont="1" applyBorder="1" applyAlignment="1">
      <alignment horizontal="left" vertical="center" indent="1"/>
    </xf>
    <xf numFmtId="176" fontId="5" fillId="0" borderId="0" xfId="3" applyNumberFormat="1" applyFont="1" applyAlignment="1">
      <alignment horizontal="left" vertical="center" indent="1"/>
    </xf>
    <xf numFmtId="176" fontId="1" fillId="5" borderId="9" xfId="3" applyNumberFormat="1" applyFill="1" applyBorder="1">
      <alignment vertical="center"/>
    </xf>
    <xf numFmtId="176" fontId="1" fillId="5" borderId="4" xfId="3" applyNumberFormat="1" applyFill="1" applyBorder="1">
      <alignment vertical="center"/>
    </xf>
    <xf numFmtId="176" fontId="1" fillId="5" borderId="12" xfId="3" applyNumberFormat="1" applyFill="1" applyBorder="1" applyAlignment="1">
      <alignment horizontal="centerContinuous" vertical="center"/>
    </xf>
    <xf numFmtId="176" fontId="1" fillId="5" borderId="7" xfId="3" applyNumberFormat="1" applyFill="1" applyBorder="1" applyAlignment="1">
      <alignment horizontal="centerContinuous" vertical="center"/>
    </xf>
    <xf numFmtId="176" fontId="1" fillId="5" borderId="8" xfId="3" applyNumberFormat="1" applyFill="1" applyBorder="1" applyAlignment="1">
      <alignment horizontal="centerContinuous" vertical="center"/>
    </xf>
    <xf numFmtId="176" fontId="5" fillId="0" borderId="10" xfId="3" applyNumberFormat="1" applyFont="1" applyBorder="1" applyAlignment="1">
      <alignment horizontal="left" vertical="center" indent="1"/>
    </xf>
    <xf numFmtId="176" fontId="5" fillId="0" borderId="3" xfId="3" applyNumberFormat="1" applyFont="1" applyBorder="1" applyAlignment="1">
      <alignment horizontal="left" vertical="center" indent="1"/>
    </xf>
    <xf numFmtId="176" fontId="1" fillId="5" borderId="10" xfId="3" applyNumberFormat="1" applyFill="1" applyBorder="1">
      <alignment vertical="center"/>
    </xf>
    <xf numFmtId="176" fontId="1" fillId="5" borderId="5" xfId="3" applyNumberFormat="1" applyFill="1" applyBorder="1">
      <alignment vertical="center"/>
    </xf>
    <xf numFmtId="10" fontId="0" fillId="5" borderId="13" xfId="4" applyNumberFormat="1" applyFont="1" applyFill="1" applyBorder="1">
      <alignment vertical="center"/>
    </xf>
    <xf numFmtId="176" fontId="12" fillId="0" borderId="9" xfId="3" applyNumberFormat="1" applyFont="1" applyBorder="1" applyAlignment="1">
      <alignment horizontal="left" vertical="center"/>
    </xf>
    <xf numFmtId="176" fontId="12" fillId="0" borderId="2" xfId="3" applyNumberFormat="1" applyFont="1" applyBorder="1" applyAlignment="1">
      <alignment horizontal="left" vertical="center"/>
    </xf>
    <xf numFmtId="176" fontId="1" fillId="5" borderId="14" xfId="3" applyNumberFormat="1" applyFill="1" applyBorder="1">
      <alignment vertical="center"/>
    </xf>
    <xf numFmtId="177" fontId="0" fillId="5" borderId="13" xfId="4" applyNumberFormat="1" applyFont="1" applyFill="1" applyBorder="1">
      <alignment vertical="center"/>
    </xf>
    <xf numFmtId="176" fontId="1" fillId="0" borderId="13" xfId="3" applyNumberFormat="1" applyBorder="1">
      <alignment vertical="center"/>
    </xf>
    <xf numFmtId="176" fontId="1" fillId="3" borderId="13" xfId="3" applyNumberFormat="1" applyFill="1" applyBorder="1">
      <alignment vertical="center"/>
    </xf>
    <xf numFmtId="176" fontId="1" fillId="5" borderId="15" xfId="3" applyNumberFormat="1" applyFill="1" applyBorder="1">
      <alignment vertical="center"/>
    </xf>
    <xf numFmtId="176" fontId="9" fillId="6" borderId="13" xfId="3" applyNumberFormat="1" applyFont="1" applyFill="1" applyBorder="1">
      <alignment vertical="center"/>
    </xf>
    <xf numFmtId="176" fontId="1" fillId="5" borderId="16" xfId="3" applyNumberFormat="1" applyFill="1" applyBorder="1">
      <alignment vertical="center"/>
    </xf>
    <xf numFmtId="176" fontId="12" fillId="5" borderId="12" xfId="3" applyNumberFormat="1" applyFont="1" applyFill="1" applyBorder="1">
      <alignment vertical="center"/>
    </xf>
    <xf numFmtId="176" fontId="12" fillId="5" borderId="7" xfId="3" applyNumberFormat="1" applyFont="1" applyFill="1" applyBorder="1">
      <alignment vertical="center"/>
    </xf>
    <xf numFmtId="176" fontId="12" fillId="5" borderId="8" xfId="3" applyNumberFormat="1" applyFont="1" applyFill="1" applyBorder="1">
      <alignment vertical="center"/>
    </xf>
    <xf numFmtId="176" fontId="5" fillId="0" borderId="9" xfId="3" applyNumberFormat="1" applyFont="1" applyBorder="1">
      <alignment vertical="center"/>
    </xf>
    <xf numFmtId="176" fontId="5" fillId="0" borderId="2" xfId="3" applyNumberFormat="1" applyFont="1" applyBorder="1">
      <alignment vertical="center"/>
    </xf>
    <xf numFmtId="10" fontId="5" fillId="0" borderId="4" xfId="4" applyNumberFormat="1" applyFont="1" applyBorder="1">
      <alignment vertical="center"/>
    </xf>
    <xf numFmtId="176" fontId="5" fillId="0" borderId="10" xfId="3" applyNumberFormat="1" applyFont="1" applyBorder="1">
      <alignment vertical="center"/>
    </xf>
    <xf numFmtId="177" fontId="5" fillId="0" borderId="5" xfId="4" applyNumberFormat="1" applyFont="1" applyBorder="1">
      <alignment vertical="center"/>
    </xf>
    <xf numFmtId="181" fontId="0" fillId="0" borderId="9" xfId="0" applyBorder="1" applyAlignment="1">
      <alignment vertical="center"/>
    </xf>
    <xf numFmtId="181" fontId="0" fillId="0" borderId="2" xfId="0" applyBorder="1" applyAlignment="1">
      <alignment vertical="center"/>
    </xf>
    <xf numFmtId="181" fontId="0" fillId="0" borderId="4" xfId="0" applyBorder="1" applyAlignment="1">
      <alignment vertical="center"/>
    </xf>
    <xf numFmtId="181" fontId="0" fillId="0" borderId="11" xfId="0" applyBorder="1" applyAlignment="1">
      <alignment vertical="center"/>
    </xf>
    <xf numFmtId="177" fontId="0" fillId="0" borderId="0" xfId="2" applyNumberFormat="1" applyFont="1" applyBorder="1" applyAlignment="1">
      <alignment vertical="center"/>
    </xf>
    <xf numFmtId="181" fontId="0" fillId="0" borderId="0" xfId="0" applyAlignment="1">
      <alignment vertical="center"/>
    </xf>
    <xf numFmtId="181" fontId="0" fillId="0" borderId="6" xfId="0" applyBorder="1" applyAlignment="1">
      <alignment vertical="center"/>
    </xf>
    <xf numFmtId="181" fontId="0" fillId="0" borderId="10" xfId="0" applyBorder="1" applyAlignment="1">
      <alignment vertical="center"/>
    </xf>
    <xf numFmtId="177" fontId="0" fillId="0" borderId="3" xfId="2" applyNumberFormat="1" applyFont="1" applyBorder="1" applyAlignment="1">
      <alignment vertical="center"/>
    </xf>
    <xf numFmtId="181" fontId="0" fillId="0" borderId="3" xfId="0" applyBorder="1" applyAlignment="1">
      <alignment vertical="center"/>
    </xf>
    <xf numFmtId="181" fontId="0" fillId="0" borderId="5" xfId="0" applyBorder="1" applyAlignment="1">
      <alignment vertical="center"/>
    </xf>
    <xf numFmtId="9" fontId="1" fillId="0" borderId="0" xfId="3" applyNumberFormat="1">
      <alignment vertical="center"/>
    </xf>
    <xf numFmtId="176" fontId="1" fillId="0" borderId="0" xfId="3" applyNumberFormat="1" applyAlignment="1">
      <alignment horizontal="left" vertical="center" indent="2"/>
    </xf>
    <xf numFmtId="176" fontId="1" fillId="0" borderId="6" xfId="3" applyNumberFormat="1" applyBorder="1">
      <alignment vertical="center"/>
    </xf>
    <xf numFmtId="176" fontId="5" fillId="0" borderId="0" xfId="3" applyNumberFormat="1" applyFont="1" applyAlignment="1">
      <alignment horizontal="left" vertical="center" indent="2"/>
    </xf>
    <xf numFmtId="176" fontId="1" fillId="0" borderId="3" xfId="3" applyNumberFormat="1" applyBorder="1">
      <alignment vertical="center"/>
    </xf>
    <xf numFmtId="176" fontId="1" fillId="0" borderId="5" xfId="3" applyNumberFormat="1" applyBorder="1">
      <alignment vertical="center"/>
    </xf>
    <xf numFmtId="176" fontId="9" fillId="0" borderId="17" xfId="3" applyNumberFormat="1" applyFont="1" applyBorder="1">
      <alignment vertical="center"/>
    </xf>
    <xf numFmtId="176" fontId="9" fillId="0" borderId="18" xfId="3" applyNumberFormat="1" applyFont="1" applyBorder="1">
      <alignment vertical="center"/>
    </xf>
    <xf numFmtId="176" fontId="1" fillId="0" borderId="0" xfId="3" applyNumberFormat="1" applyAlignment="1">
      <alignment horizontal="left" vertical="center" indent="1"/>
    </xf>
    <xf numFmtId="176" fontId="9" fillId="0" borderId="7" xfId="3" quotePrefix="1" applyNumberFormat="1" applyFont="1" applyBorder="1">
      <alignment vertical="center"/>
    </xf>
    <xf numFmtId="176" fontId="1" fillId="0" borderId="7" xfId="3" applyNumberFormat="1" applyBorder="1">
      <alignment vertical="center"/>
    </xf>
    <xf numFmtId="176" fontId="4" fillId="2" borderId="0" xfId="3" applyNumberFormat="1" applyFont="1" applyFill="1" applyAlignment="1">
      <alignment horizontal="center" vertical="center"/>
    </xf>
    <xf numFmtId="176" fontId="1" fillId="0" borderId="0" xfId="3" applyNumberFormat="1" applyAlignment="1">
      <alignment horizontal="center" vertical="center"/>
    </xf>
    <xf numFmtId="176" fontId="8" fillId="2" borderId="0" xfId="3" applyNumberFormat="1" applyFont="1" applyFill="1" applyAlignment="1">
      <alignment horizontal="center" vertical="center"/>
    </xf>
    <xf numFmtId="176" fontId="9" fillId="0" borderId="2" xfId="3" applyNumberFormat="1" applyFont="1" applyBorder="1" applyAlignment="1">
      <alignment horizontal="center" vertical="center"/>
    </xf>
    <xf numFmtId="176" fontId="9" fillId="0" borderId="0" xfId="3" applyNumberFormat="1" applyFont="1" applyAlignment="1">
      <alignment horizontal="center" vertical="center"/>
    </xf>
    <xf numFmtId="176" fontId="9" fillId="0" borderId="17" xfId="3" applyNumberFormat="1" applyFont="1" applyBorder="1" applyAlignment="1">
      <alignment horizontal="center" vertical="center"/>
    </xf>
    <xf numFmtId="176" fontId="1" fillId="0" borderId="3" xfId="3" applyNumberFormat="1" applyBorder="1" applyAlignment="1">
      <alignment horizontal="center" vertical="center"/>
    </xf>
    <xf numFmtId="176" fontId="11" fillId="0" borderId="2" xfId="3" applyNumberFormat="1" applyFont="1" applyBorder="1" applyAlignment="1">
      <alignment horizontal="center" vertical="center"/>
    </xf>
    <xf numFmtId="176" fontId="11" fillId="0" borderId="11" xfId="3" applyNumberFormat="1" applyFont="1" applyBorder="1">
      <alignment vertical="center"/>
    </xf>
    <xf numFmtId="176" fontId="11" fillId="0" borderId="0" xfId="3" applyNumberFormat="1" applyFont="1" applyAlignment="1">
      <alignment horizontal="center" vertical="center"/>
    </xf>
    <xf numFmtId="176" fontId="11" fillId="0" borderId="0" xfId="3" applyNumberFormat="1" applyFont="1">
      <alignment vertical="center"/>
    </xf>
    <xf numFmtId="177" fontId="11" fillId="0" borderId="0" xfId="4" applyNumberFormat="1" applyFont="1" applyBorder="1">
      <alignment vertical="center"/>
    </xf>
    <xf numFmtId="177" fontId="11" fillId="0" borderId="6" xfId="4" applyNumberFormat="1" applyFont="1" applyBorder="1">
      <alignment vertical="center"/>
    </xf>
    <xf numFmtId="176" fontId="11" fillId="0" borderId="3" xfId="3" applyNumberFormat="1" applyFont="1" applyBorder="1" applyAlignment="1">
      <alignment horizontal="center" vertical="center"/>
    </xf>
    <xf numFmtId="176" fontId="9" fillId="0" borderId="0" xfId="3" applyNumberFormat="1" applyFont="1" applyAlignment="1">
      <alignment horizontal="left" vertical="center"/>
    </xf>
    <xf numFmtId="177" fontId="0" fillId="0" borderId="3" xfId="4" applyNumberFormat="1" applyFont="1" applyBorder="1">
      <alignment vertical="center"/>
    </xf>
    <xf numFmtId="176" fontId="1" fillId="0" borderId="3" xfId="3" applyNumberFormat="1" applyBorder="1" applyAlignment="1">
      <alignment horizontal="left" vertical="center" indent="1"/>
    </xf>
    <xf numFmtId="176" fontId="14" fillId="0" borderId="0" xfId="3" applyNumberFormat="1" applyFont="1">
      <alignment vertical="center"/>
    </xf>
    <xf numFmtId="176" fontId="1" fillId="0" borderId="3" xfId="3" applyNumberFormat="1" applyBorder="1" applyAlignment="1">
      <alignment horizontal="left" vertical="center" indent="2"/>
    </xf>
    <xf numFmtId="177" fontId="1" fillId="0" borderId="5" xfId="2" applyNumberFormat="1" applyFont="1" applyBorder="1" applyAlignment="1">
      <alignment vertical="center"/>
    </xf>
    <xf numFmtId="177" fontId="15" fillId="0" borderId="3" xfId="4" applyNumberFormat="1" applyFont="1" applyBorder="1">
      <alignment vertical="center"/>
    </xf>
    <xf numFmtId="176" fontId="15" fillId="0" borderId="0" xfId="3" applyNumberFormat="1" applyFont="1">
      <alignment vertical="center"/>
    </xf>
    <xf numFmtId="176" fontId="16" fillId="0" borderId="0" xfId="3" applyNumberFormat="1" applyFont="1">
      <alignment vertical="center"/>
    </xf>
    <xf numFmtId="176" fontId="1" fillId="0" borderId="0" xfId="3" applyNumberFormat="1" applyAlignment="1">
      <alignment horizontal="left" vertical="center" indent="3"/>
    </xf>
    <xf numFmtId="176" fontId="1" fillId="0" borderId="0" xfId="3" applyNumberFormat="1" applyAlignment="1">
      <alignment horizontal="left" vertical="center" indent="4"/>
    </xf>
    <xf numFmtId="176" fontId="1" fillId="0" borderId="0" xfId="3" applyNumberFormat="1" applyAlignment="1">
      <alignment horizontal="left" vertical="center" indent="5"/>
    </xf>
    <xf numFmtId="176" fontId="1" fillId="0" borderId="0" xfId="3" applyNumberFormat="1" applyAlignment="1">
      <alignment horizontal="left" vertical="center" indent="6"/>
    </xf>
    <xf numFmtId="177" fontId="0" fillId="0" borderId="6" xfId="4" applyNumberFormat="1" applyFont="1" applyBorder="1">
      <alignment vertical="center"/>
    </xf>
    <xf numFmtId="177" fontId="14" fillId="0" borderId="0" xfId="4" applyNumberFormat="1" applyFont="1">
      <alignment vertical="center"/>
    </xf>
    <xf numFmtId="178" fontId="1" fillId="0" borderId="0" xfId="3" applyNumberFormat="1">
      <alignment vertical="center"/>
    </xf>
    <xf numFmtId="178" fontId="1" fillId="0" borderId="6" xfId="3" applyNumberFormat="1" applyBorder="1">
      <alignment vertical="center"/>
    </xf>
    <xf numFmtId="176" fontId="1" fillId="0" borderId="3" xfId="3" applyNumberFormat="1" applyBorder="1" applyAlignment="1">
      <alignment horizontal="left" vertical="center" indent="4"/>
    </xf>
    <xf numFmtId="178" fontId="1" fillId="0" borderId="3" xfId="3" applyNumberFormat="1" applyBorder="1">
      <alignment vertical="center"/>
    </xf>
    <xf numFmtId="177" fontId="1" fillId="0" borderId="19" xfId="2" applyNumberFormat="1" applyFont="1" applyBorder="1" applyAlignment="1">
      <alignment vertical="center"/>
    </xf>
    <xf numFmtId="177" fontId="1" fillId="0" borderId="6" xfId="2" applyNumberFormat="1" applyFont="1" applyBorder="1" applyAlignment="1">
      <alignment vertical="center"/>
    </xf>
    <xf numFmtId="179" fontId="1" fillId="0" borderId="0" xfId="3" applyNumberFormat="1">
      <alignment vertical="center"/>
    </xf>
    <xf numFmtId="179" fontId="1" fillId="0" borderId="6" xfId="3" applyNumberFormat="1" applyBorder="1">
      <alignment vertical="center"/>
    </xf>
    <xf numFmtId="177" fontId="14" fillId="0" borderId="3" xfId="4" applyNumberFormat="1" applyFont="1" applyBorder="1">
      <alignment vertical="center"/>
    </xf>
    <xf numFmtId="177" fontId="15" fillId="0" borderId="0" xfId="4" applyNumberFormat="1" applyFont="1">
      <alignment vertical="center"/>
    </xf>
    <xf numFmtId="176" fontId="1" fillId="0" borderId="3" xfId="3" applyNumberFormat="1" applyBorder="1" applyAlignment="1">
      <alignment horizontal="left" vertical="center" indent="3"/>
    </xf>
    <xf numFmtId="177" fontId="1" fillId="0" borderId="3" xfId="2" applyNumberFormat="1" applyFont="1" applyBorder="1" applyAlignment="1">
      <alignment vertical="center"/>
    </xf>
    <xf numFmtId="9" fontId="0" fillId="0" borderId="3" xfId="4" applyFont="1" applyBorder="1">
      <alignment vertical="center"/>
    </xf>
    <xf numFmtId="9" fontId="0" fillId="0" borderId="0" xfId="4" applyFont="1">
      <alignment vertical="center"/>
    </xf>
    <xf numFmtId="176" fontId="1" fillId="0" borderId="7" xfId="3" applyNumberFormat="1" applyBorder="1" applyAlignment="1">
      <alignment horizontal="center" vertical="center"/>
    </xf>
    <xf numFmtId="10" fontId="0" fillId="0" borderId="0" xfId="4" applyNumberFormat="1" applyFont="1">
      <alignment vertical="center"/>
    </xf>
    <xf numFmtId="176" fontId="1" fillId="0" borderId="4" xfId="3" applyNumberFormat="1" applyBorder="1">
      <alignment vertical="center"/>
    </xf>
    <xf numFmtId="179" fontId="5" fillId="0" borderId="0" xfId="3" applyNumberFormat="1" applyFont="1">
      <alignment vertical="center"/>
    </xf>
    <xf numFmtId="182" fontId="0" fillId="0" borderId="0" xfId="1" applyFont="1" applyAlignment="1">
      <alignment vertical="center"/>
    </xf>
    <xf numFmtId="9" fontId="0" fillId="0" borderId="0" xfId="4" applyFont="1" applyAlignment="1">
      <alignment horizontal="center" vertical="center"/>
    </xf>
    <xf numFmtId="176" fontId="1" fillId="0" borderId="3" xfId="3" applyNumberFormat="1" applyBorder="1" applyAlignment="1">
      <alignment horizontal="left" vertical="center"/>
    </xf>
    <xf numFmtId="184" fontId="17" fillId="7" borderId="20" xfId="0" applyNumberFormat="1" applyFont="1" applyFill="1" applyBorder="1"/>
    <xf numFmtId="177" fontId="14" fillId="0" borderId="0" xfId="4" applyNumberFormat="1" applyFont="1" applyFill="1">
      <alignment vertical="center"/>
    </xf>
    <xf numFmtId="177" fontId="0" fillId="0" borderId="0" xfId="4" applyNumberFormat="1" applyFont="1" applyFill="1">
      <alignment vertical="center"/>
    </xf>
    <xf numFmtId="177" fontId="14" fillId="0" borderId="3" xfId="4" applyNumberFormat="1" applyFont="1" applyFill="1" applyBorder="1">
      <alignment vertical="center"/>
    </xf>
    <xf numFmtId="177" fontId="1" fillId="0" borderId="6" xfId="2" applyNumberFormat="1" applyFont="1" applyFill="1" applyBorder="1" applyAlignment="1">
      <alignment vertical="center"/>
    </xf>
    <xf numFmtId="177" fontId="1" fillId="0" borderId="3" xfId="4" applyNumberFormat="1" applyFont="1" applyFill="1" applyBorder="1">
      <alignment vertical="center"/>
    </xf>
    <xf numFmtId="177" fontId="15" fillId="0" borderId="0" xfId="4" applyNumberFormat="1" applyFont="1" applyFill="1">
      <alignment vertical="center"/>
    </xf>
    <xf numFmtId="177" fontId="0" fillId="0" borderId="6" xfId="4" applyNumberFormat="1" applyFont="1" applyFill="1" applyBorder="1">
      <alignment vertical="center"/>
    </xf>
    <xf numFmtId="176" fontId="18" fillId="2" borderId="0" xfId="3" applyNumberFormat="1" applyFont="1" applyFill="1">
      <alignment vertical="center"/>
    </xf>
    <xf numFmtId="176" fontId="19" fillId="2" borderId="0" xfId="3" applyNumberFormat="1" applyFont="1" applyFill="1">
      <alignment vertical="center"/>
    </xf>
    <xf numFmtId="176" fontId="18" fillId="2" borderId="1" xfId="3" applyNumberFormat="1" applyFont="1" applyFill="1" applyBorder="1">
      <alignment vertical="center"/>
    </xf>
    <xf numFmtId="176" fontId="20" fillId="2" borderId="0" xfId="3" applyNumberFormat="1" applyFont="1" applyFill="1">
      <alignment vertical="center"/>
    </xf>
    <xf numFmtId="176" fontId="21" fillId="0" borderId="0" xfId="3" applyNumberFormat="1" applyFont="1">
      <alignment vertical="center"/>
    </xf>
    <xf numFmtId="176" fontId="22" fillId="2" borderId="0" xfId="3" applyNumberFormat="1" applyFont="1" applyFill="1">
      <alignment vertical="center"/>
    </xf>
    <xf numFmtId="176" fontId="21" fillId="3" borderId="2" xfId="3" applyNumberFormat="1" applyFont="1" applyFill="1" applyBorder="1">
      <alignment vertical="center"/>
    </xf>
    <xf numFmtId="176" fontId="21" fillId="3" borderId="2" xfId="3" applyNumberFormat="1" applyFont="1" applyFill="1" applyBorder="1" applyAlignment="1">
      <alignment horizontal="center" vertical="center"/>
    </xf>
    <xf numFmtId="176" fontId="23" fillId="3" borderId="2" xfId="3" applyNumberFormat="1" applyFont="1" applyFill="1" applyBorder="1" applyAlignment="1">
      <alignment horizontal="center" vertical="center"/>
    </xf>
    <xf numFmtId="176" fontId="21" fillId="3" borderId="3" xfId="3" applyNumberFormat="1" applyFont="1" applyFill="1" applyBorder="1">
      <alignment vertical="center"/>
    </xf>
    <xf numFmtId="176" fontId="21" fillId="3" borderId="3" xfId="3" applyNumberFormat="1" applyFont="1" applyFill="1" applyBorder="1" applyAlignment="1">
      <alignment horizontal="center" vertical="center"/>
    </xf>
    <xf numFmtId="176" fontId="23" fillId="3" borderId="3" xfId="3" applyNumberFormat="1" applyFont="1" applyFill="1" applyBorder="1" applyAlignment="1">
      <alignment horizontal="center" vertical="center"/>
    </xf>
    <xf numFmtId="176" fontId="24" fillId="2" borderId="0" xfId="3" applyNumberFormat="1" applyFont="1" applyFill="1">
      <alignment vertical="center"/>
    </xf>
    <xf numFmtId="176" fontId="25" fillId="2" borderId="0" xfId="3" applyNumberFormat="1" applyFont="1" applyFill="1">
      <alignment vertical="center"/>
    </xf>
    <xf numFmtId="182" fontId="21" fillId="0" borderId="0" xfId="1" applyFont="1" applyAlignment="1">
      <alignment vertical="center"/>
    </xf>
    <xf numFmtId="176" fontId="26" fillId="0" borderId="2" xfId="3" applyNumberFormat="1" applyFont="1" applyBorder="1">
      <alignment vertical="center"/>
    </xf>
    <xf numFmtId="176" fontId="23" fillId="0" borderId="0" xfId="3" applyNumberFormat="1" applyFont="1">
      <alignment vertical="center"/>
    </xf>
    <xf numFmtId="176" fontId="25" fillId="0" borderId="2" xfId="3" applyNumberFormat="1" applyFont="1" applyBorder="1">
      <alignment vertical="center"/>
    </xf>
    <xf numFmtId="176" fontId="21" fillId="0" borderId="0" xfId="3" applyNumberFormat="1" applyFont="1" applyAlignment="1">
      <alignment horizontal="left" vertical="center" indent="1"/>
    </xf>
    <xf numFmtId="177" fontId="21" fillId="0" borderId="0" xfId="4" applyNumberFormat="1" applyFont="1">
      <alignment vertical="center"/>
    </xf>
    <xf numFmtId="176" fontId="21" fillId="0" borderId="0" xfId="3" applyNumberFormat="1" applyFont="1" applyAlignment="1">
      <alignment horizontal="left" vertical="center" indent="2"/>
    </xf>
    <xf numFmtId="176" fontId="26" fillId="0" borderId="0" xfId="3" applyNumberFormat="1" applyFont="1">
      <alignment vertical="center"/>
    </xf>
    <xf numFmtId="176" fontId="25" fillId="0" borderId="0" xfId="3" applyNumberFormat="1" applyFont="1">
      <alignment vertical="center"/>
    </xf>
    <xf numFmtId="176" fontId="23" fillId="8" borderId="0" xfId="3" applyNumberFormat="1" applyFont="1" applyFill="1">
      <alignment vertical="center"/>
    </xf>
    <xf numFmtId="177" fontId="27" fillId="0" borderId="0" xfId="4" applyNumberFormat="1" applyFont="1">
      <alignment vertical="center"/>
    </xf>
    <xf numFmtId="176" fontId="26" fillId="0" borderId="17" xfId="3" applyNumberFormat="1" applyFont="1" applyBorder="1">
      <alignment vertical="center"/>
    </xf>
    <xf numFmtId="176" fontId="25" fillId="0" borderId="17" xfId="3" applyNumberFormat="1" applyFont="1" applyBorder="1">
      <alignment vertical="center"/>
    </xf>
    <xf numFmtId="176" fontId="21" fillId="0" borderId="3" xfId="3" applyNumberFormat="1" applyFont="1" applyBorder="1">
      <alignment vertical="center"/>
    </xf>
    <xf numFmtId="176" fontId="28" fillId="0" borderId="9" xfId="3" applyNumberFormat="1" applyFont="1" applyBorder="1">
      <alignment vertical="center"/>
    </xf>
    <xf numFmtId="176" fontId="28" fillId="0" borderId="2" xfId="3" applyNumberFormat="1" applyFont="1" applyBorder="1">
      <alignment vertical="center"/>
    </xf>
    <xf numFmtId="177" fontId="28" fillId="0" borderId="2" xfId="4" applyNumberFormat="1" applyFont="1" applyBorder="1">
      <alignment vertical="center"/>
    </xf>
    <xf numFmtId="177" fontId="28" fillId="0" borderId="4" xfId="4" applyNumberFormat="1" applyFont="1" applyBorder="1">
      <alignment vertical="center"/>
    </xf>
    <xf numFmtId="177" fontId="29" fillId="0" borderId="2" xfId="4" applyNumberFormat="1" applyFont="1" applyBorder="1">
      <alignment vertical="center"/>
    </xf>
    <xf numFmtId="176" fontId="28" fillId="0" borderId="11" xfId="3" applyNumberFormat="1" applyFont="1" applyBorder="1">
      <alignment vertical="center"/>
    </xf>
    <xf numFmtId="176" fontId="28" fillId="0" borderId="0" xfId="3" applyNumberFormat="1" applyFont="1">
      <alignment vertical="center"/>
    </xf>
    <xf numFmtId="177" fontId="28" fillId="0" borderId="0" xfId="4" applyNumberFormat="1" applyFont="1" applyBorder="1">
      <alignment vertical="center"/>
    </xf>
    <xf numFmtId="177" fontId="28" fillId="0" borderId="6" xfId="4" applyNumberFormat="1" applyFont="1" applyBorder="1">
      <alignment vertical="center"/>
    </xf>
    <xf numFmtId="177" fontId="29" fillId="0" borderId="0" xfId="4" applyNumberFormat="1" applyFont="1" applyBorder="1">
      <alignment vertical="center"/>
    </xf>
    <xf numFmtId="176" fontId="28" fillId="0" borderId="10" xfId="3" applyNumberFormat="1" applyFont="1" applyBorder="1">
      <alignment vertical="center"/>
    </xf>
    <xf numFmtId="176" fontId="28" fillId="0" borderId="3" xfId="3" applyNumberFormat="1" applyFont="1" applyBorder="1">
      <alignment vertical="center"/>
    </xf>
    <xf numFmtId="177" fontId="28" fillId="0" borderId="3" xfId="4" applyNumberFormat="1" applyFont="1" applyBorder="1">
      <alignment vertical="center"/>
    </xf>
    <xf numFmtId="177" fontId="28" fillId="0" borderId="5" xfId="4" applyNumberFormat="1" applyFont="1" applyBorder="1">
      <alignment vertical="center"/>
    </xf>
    <xf numFmtId="177" fontId="29" fillId="0" borderId="3" xfId="4" applyNumberFormat="1" applyFont="1" applyBorder="1">
      <alignment vertical="center"/>
    </xf>
    <xf numFmtId="177" fontId="23" fillId="0" borderId="0" xfId="3" applyNumberFormat="1" applyFont="1">
      <alignment vertical="center"/>
    </xf>
    <xf numFmtId="177" fontId="22" fillId="0" borderId="0" xfId="4" applyNumberFormat="1" applyFont="1">
      <alignment vertical="center"/>
    </xf>
    <xf numFmtId="182" fontId="27" fillId="0" borderId="0" xfId="1" applyFont="1" applyAlignment="1">
      <alignment vertical="center"/>
    </xf>
    <xf numFmtId="176" fontId="21" fillId="0" borderId="2" xfId="3" applyNumberFormat="1" applyFont="1" applyBorder="1">
      <alignment vertical="center"/>
    </xf>
    <xf numFmtId="176" fontId="21" fillId="0" borderId="4" xfId="3" applyNumberFormat="1" applyFont="1" applyBorder="1">
      <alignment vertical="center"/>
    </xf>
    <xf numFmtId="176" fontId="23" fillId="0" borderId="2" xfId="3" applyNumberFormat="1" applyFont="1" applyBorder="1">
      <alignment vertical="center"/>
    </xf>
    <xf numFmtId="176" fontId="21" fillId="0" borderId="17" xfId="3" applyNumberFormat="1" applyFont="1" applyBorder="1">
      <alignment vertical="center"/>
    </xf>
    <xf numFmtId="176" fontId="26" fillId="0" borderId="18" xfId="3" applyNumberFormat="1" applyFont="1" applyBorder="1">
      <alignment vertical="center"/>
    </xf>
    <xf numFmtId="176" fontId="21" fillId="9" borderId="0" xfId="3" applyNumberFormat="1" applyFont="1" applyFill="1">
      <alignment vertical="center"/>
    </xf>
    <xf numFmtId="176" fontId="26" fillId="0" borderId="0" xfId="3" applyNumberFormat="1" applyFont="1" applyAlignment="1">
      <alignment horizontal="left" vertical="center" indent="1"/>
    </xf>
    <xf numFmtId="9" fontId="28" fillId="10" borderId="0" xfId="3" applyNumberFormat="1" applyFont="1" applyFill="1">
      <alignment vertical="center"/>
    </xf>
    <xf numFmtId="177" fontId="31" fillId="0" borderId="0" xfId="4" applyNumberFormat="1" applyFont="1">
      <alignment vertical="center"/>
    </xf>
    <xf numFmtId="176" fontId="21" fillId="0" borderId="2" xfId="3" applyNumberFormat="1" applyFont="1" applyBorder="1" applyAlignment="1">
      <alignment horizontal="left" vertical="center" indent="1"/>
    </xf>
    <xf numFmtId="176" fontId="26" fillId="0" borderId="3" xfId="3" applyNumberFormat="1" applyFont="1" applyBorder="1" applyAlignment="1">
      <alignment horizontal="left" vertical="center" indent="1"/>
    </xf>
    <xf numFmtId="176" fontId="26" fillId="0" borderId="3" xfId="3" applyNumberFormat="1" applyFont="1" applyBorder="1">
      <alignment vertical="center"/>
    </xf>
    <xf numFmtId="176" fontId="25" fillId="0" borderId="3" xfId="3" applyNumberFormat="1" applyFont="1" applyBorder="1">
      <alignment vertical="center"/>
    </xf>
    <xf numFmtId="177" fontId="21" fillId="0" borderId="0" xfId="3" applyNumberFormat="1" applyFont="1">
      <alignment vertical="center"/>
    </xf>
    <xf numFmtId="176" fontId="28" fillId="0" borderId="0" xfId="3" applyNumberFormat="1" applyFont="1" applyAlignment="1">
      <alignment horizontal="left" vertical="center" indent="2"/>
    </xf>
    <xf numFmtId="176" fontId="33" fillId="0" borderId="0" xfId="3" applyNumberFormat="1" applyFont="1">
      <alignment vertical="center"/>
    </xf>
    <xf numFmtId="177" fontId="33" fillId="0" borderId="0" xfId="4" applyNumberFormat="1" applyFont="1">
      <alignment vertical="center"/>
    </xf>
    <xf numFmtId="185" fontId="21" fillId="0" borderId="0" xfId="3" applyNumberFormat="1" applyFont="1">
      <alignment vertical="center"/>
    </xf>
    <xf numFmtId="186" fontId="21" fillId="0" borderId="2" xfId="3" applyNumberFormat="1" applyFont="1" applyBorder="1">
      <alignment vertical="center"/>
    </xf>
    <xf numFmtId="186" fontId="23" fillId="8" borderId="2" xfId="3" applyNumberFormat="1" applyFont="1" applyFill="1" applyBorder="1">
      <alignment vertical="center"/>
    </xf>
    <xf numFmtId="186" fontId="21" fillId="8" borderId="2" xfId="3" applyNumberFormat="1" applyFont="1" applyFill="1" applyBorder="1">
      <alignment vertical="center"/>
    </xf>
    <xf numFmtId="180" fontId="21" fillId="0" borderId="0" xfId="3" applyNumberFormat="1" applyFont="1">
      <alignment vertical="center"/>
    </xf>
    <xf numFmtId="177" fontId="27" fillId="0" borderId="0" xfId="4" applyNumberFormat="1" applyFont="1" applyBorder="1">
      <alignment vertical="center"/>
    </xf>
    <xf numFmtId="186" fontId="21" fillId="0" borderId="0" xfId="3" applyNumberFormat="1" applyFont="1">
      <alignment vertical="center"/>
    </xf>
    <xf numFmtId="176" fontId="21" fillId="8" borderId="0" xfId="3" applyNumberFormat="1" applyFont="1" applyFill="1" applyAlignment="1">
      <alignment horizontal="left" vertical="center" indent="1"/>
    </xf>
    <xf numFmtId="176" fontId="21" fillId="0" borderId="6" xfId="3" applyNumberFormat="1" applyFont="1" applyBorder="1">
      <alignment vertical="center"/>
    </xf>
    <xf numFmtId="176" fontId="21" fillId="8" borderId="0" xfId="3" applyNumberFormat="1" applyFont="1" applyFill="1" applyAlignment="1">
      <alignment horizontal="left" vertical="center" indent="2"/>
    </xf>
    <xf numFmtId="176" fontId="23" fillId="0" borderId="6" xfId="3" applyNumberFormat="1" applyFont="1" applyBorder="1">
      <alignment vertical="center"/>
    </xf>
    <xf numFmtId="176" fontId="21" fillId="0" borderId="3" xfId="3" applyNumberFormat="1" applyFont="1" applyBorder="1" applyAlignment="1">
      <alignment horizontal="left" vertical="center" indent="2"/>
    </xf>
    <xf numFmtId="176" fontId="21" fillId="0" borderId="5" xfId="3" applyNumberFormat="1" applyFont="1" applyBorder="1">
      <alignment vertical="center"/>
    </xf>
    <xf numFmtId="176" fontId="23" fillId="0" borderId="3" xfId="3" applyNumberFormat="1" applyFont="1" applyBorder="1">
      <alignment vertical="center"/>
    </xf>
    <xf numFmtId="176" fontId="26" fillId="0" borderId="5" xfId="3" applyNumberFormat="1" applyFont="1" applyBorder="1">
      <alignment vertical="center"/>
    </xf>
    <xf numFmtId="9" fontId="21" fillId="0" borderId="0" xfId="3" applyNumberFormat="1" applyFont="1">
      <alignment vertical="center"/>
    </xf>
    <xf numFmtId="187" fontId="21" fillId="0" borderId="0" xfId="3" applyNumberFormat="1" applyFont="1">
      <alignment vertical="center"/>
    </xf>
    <xf numFmtId="177" fontId="30" fillId="0" borderId="0" xfId="4" applyNumberFormat="1" applyFont="1" applyBorder="1">
      <alignment vertical="center"/>
    </xf>
    <xf numFmtId="178" fontId="21" fillId="0" borderId="0" xfId="3" applyNumberFormat="1" applyFont="1">
      <alignment vertical="center"/>
    </xf>
    <xf numFmtId="178" fontId="30" fillId="0" borderId="0" xfId="3" applyNumberFormat="1" applyFont="1">
      <alignment vertical="center"/>
    </xf>
    <xf numFmtId="176" fontId="26" fillId="8" borderId="0" xfId="3" applyNumberFormat="1" applyFont="1" applyFill="1">
      <alignment vertical="center"/>
    </xf>
    <xf numFmtId="179" fontId="21" fillId="0" borderId="0" xfId="3" applyNumberFormat="1" applyFont="1">
      <alignment vertical="center"/>
    </xf>
    <xf numFmtId="179" fontId="23" fillId="0" borderId="0" xfId="3" applyNumberFormat="1" applyFont="1">
      <alignment vertical="center"/>
    </xf>
    <xf numFmtId="179" fontId="34" fillId="0" borderId="0" xfId="3" applyNumberFormat="1" applyFont="1">
      <alignment vertical="center"/>
    </xf>
    <xf numFmtId="176" fontId="33" fillId="0" borderId="2" xfId="3" applyNumberFormat="1" applyFont="1" applyBorder="1">
      <alignment vertical="center"/>
    </xf>
    <xf numFmtId="179" fontId="33" fillId="0" borderId="0" xfId="3" applyNumberFormat="1" applyFont="1">
      <alignment vertical="center"/>
    </xf>
    <xf numFmtId="177" fontId="33" fillId="0" borderId="0" xfId="3" applyNumberFormat="1" applyFont="1">
      <alignment vertical="center"/>
    </xf>
    <xf numFmtId="188" fontId="33" fillId="0" borderId="0" xfId="3" applyNumberFormat="1" applyFont="1">
      <alignment vertical="center"/>
    </xf>
    <xf numFmtId="189" fontId="21" fillId="0" borderId="0" xfId="3" applyNumberFormat="1" applyFont="1">
      <alignment vertical="center"/>
    </xf>
    <xf numFmtId="176" fontId="21" fillId="0" borderId="0" xfId="3" applyNumberFormat="1" applyFont="1" applyAlignment="1">
      <alignment horizontal="left" vertical="center" indent="3"/>
    </xf>
    <xf numFmtId="177" fontId="27" fillId="10" borderId="0" xfId="4" applyNumberFormat="1" applyFont="1" applyFill="1" applyBorder="1">
      <alignment vertical="center"/>
    </xf>
    <xf numFmtId="177" fontId="28" fillId="0" borderId="0" xfId="4" applyNumberFormat="1" applyFont="1">
      <alignment vertical="center"/>
    </xf>
    <xf numFmtId="177" fontId="29" fillId="0" borderId="0" xfId="4" applyNumberFormat="1" applyFont="1">
      <alignment vertical="center"/>
    </xf>
    <xf numFmtId="176" fontId="21" fillId="4" borderId="0" xfId="3" applyNumberFormat="1" applyFont="1" applyFill="1">
      <alignment vertical="center"/>
    </xf>
    <xf numFmtId="176" fontId="21" fillId="8" borderId="0" xfId="3" applyNumberFormat="1" applyFont="1" applyFill="1">
      <alignment vertical="center"/>
    </xf>
    <xf numFmtId="176" fontId="21" fillId="0" borderId="3" xfId="3" applyNumberFormat="1" applyFont="1" applyBorder="1" applyAlignment="1">
      <alignment horizontal="left" vertical="center" indent="1"/>
    </xf>
    <xf numFmtId="176" fontId="21" fillId="8" borderId="3" xfId="3" applyNumberFormat="1" applyFont="1" applyFill="1" applyBorder="1">
      <alignment vertical="center"/>
    </xf>
    <xf numFmtId="176" fontId="26" fillId="8" borderId="17" xfId="3" applyNumberFormat="1" applyFont="1" applyFill="1" applyBorder="1">
      <alignment vertical="center"/>
    </xf>
    <xf numFmtId="176" fontId="35" fillId="0" borderId="0" xfId="3" applyNumberFormat="1" applyFont="1">
      <alignment vertical="center"/>
    </xf>
    <xf numFmtId="190" fontId="21" fillId="0" borderId="0" xfId="3" applyNumberFormat="1" applyFont="1">
      <alignment vertical="center"/>
    </xf>
    <xf numFmtId="177" fontId="34" fillId="8" borderId="0" xfId="4" applyNumberFormat="1" applyFont="1" applyFill="1">
      <alignment vertical="center"/>
    </xf>
    <xf numFmtId="176" fontId="21" fillId="11" borderId="0" xfId="3" applyNumberFormat="1" applyFont="1" applyFill="1">
      <alignment vertical="center"/>
    </xf>
    <xf numFmtId="176" fontId="26" fillId="11" borderId="0" xfId="3" applyNumberFormat="1" applyFont="1" applyFill="1">
      <alignment vertical="center"/>
    </xf>
    <xf numFmtId="176" fontId="25" fillId="11" borderId="0" xfId="3" applyNumberFormat="1" applyFont="1" applyFill="1">
      <alignment vertical="center"/>
    </xf>
    <xf numFmtId="176" fontId="21" fillId="11" borderId="11" xfId="3" applyNumberFormat="1" applyFont="1" applyFill="1" applyBorder="1">
      <alignment vertical="center"/>
    </xf>
    <xf numFmtId="177" fontId="27" fillId="11" borderId="0" xfId="4" applyNumberFormat="1" applyFont="1" applyFill="1" applyBorder="1">
      <alignment vertical="center"/>
    </xf>
    <xf numFmtId="176" fontId="23" fillId="11" borderId="0" xfId="3" applyNumberFormat="1" applyFont="1" applyFill="1">
      <alignment vertical="center"/>
    </xf>
    <xf numFmtId="176" fontId="21" fillId="11" borderId="6" xfId="3" applyNumberFormat="1" applyFont="1" applyFill="1" applyBorder="1">
      <alignment vertical="center"/>
    </xf>
    <xf numFmtId="176" fontId="21" fillId="11" borderId="10" xfId="3" applyNumberFormat="1" applyFont="1" applyFill="1" applyBorder="1">
      <alignment vertical="center"/>
    </xf>
    <xf numFmtId="176" fontId="21" fillId="11" borderId="3" xfId="3" applyNumberFormat="1" applyFont="1" applyFill="1" applyBorder="1">
      <alignment vertical="center"/>
    </xf>
    <xf numFmtId="177" fontId="27" fillId="11" borderId="3" xfId="4" applyNumberFormat="1" applyFont="1" applyFill="1" applyBorder="1">
      <alignment vertical="center"/>
    </xf>
    <xf numFmtId="176" fontId="23" fillId="11" borderId="3" xfId="3" applyNumberFormat="1" applyFont="1" applyFill="1" applyBorder="1">
      <alignment vertical="center"/>
    </xf>
    <xf numFmtId="176" fontId="21" fillId="11" borderId="5" xfId="3" applyNumberFormat="1" applyFont="1" applyFill="1" applyBorder="1">
      <alignment vertical="center"/>
    </xf>
    <xf numFmtId="177" fontId="27" fillId="0" borderId="0" xfId="4" applyNumberFormat="1" applyFont="1" applyFill="1">
      <alignment vertical="center"/>
    </xf>
    <xf numFmtId="177" fontId="27" fillId="0" borderId="13" xfId="4" applyNumberFormat="1" applyFont="1" applyBorder="1">
      <alignment vertical="center"/>
    </xf>
    <xf numFmtId="176" fontId="26" fillId="0" borderId="7" xfId="3" applyNumberFormat="1" applyFont="1" applyBorder="1">
      <alignment vertical="center"/>
    </xf>
    <xf numFmtId="176" fontId="25" fillId="0" borderId="7" xfId="3" applyNumberFormat="1" applyFont="1" applyBorder="1">
      <alignment vertical="center"/>
    </xf>
    <xf numFmtId="177" fontId="27" fillId="0" borderId="6" xfId="4" applyNumberFormat="1" applyFont="1" applyBorder="1">
      <alignment vertical="center"/>
    </xf>
    <xf numFmtId="176" fontId="26" fillId="0" borderId="4" xfId="3" applyNumberFormat="1" applyFont="1" applyBorder="1">
      <alignment vertical="center"/>
    </xf>
    <xf numFmtId="176" fontId="21" fillId="0" borderId="21" xfId="3" applyNumberFormat="1" applyFont="1" applyBorder="1" applyAlignment="1">
      <alignment horizontal="left" vertical="center" indent="1"/>
    </xf>
    <xf numFmtId="176" fontId="21" fillId="0" borderId="21" xfId="3" applyNumberFormat="1" applyFont="1" applyBorder="1">
      <alignment vertical="center"/>
    </xf>
    <xf numFmtId="177" fontId="21" fillId="0" borderId="21" xfId="4" applyNumberFormat="1" applyFont="1" applyBorder="1">
      <alignment vertical="center"/>
    </xf>
    <xf numFmtId="177" fontId="21" fillId="0" borderId="22" xfId="4" applyNumberFormat="1" applyFont="1" applyBorder="1">
      <alignment vertical="center"/>
    </xf>
    <xf numFmtId="177" fontId="23" fillId="0" borderId="21" xfId="4" applyNumberFormat="1" applyFont="1" applyBorder="1">
      <alignment vertical="center"/>
    </xf>
    <xf numFmtId="176" fontId="26" fillId="0" borderId="21" xfId="3" applyNumberFormat="1" applyFont="1" applyBorder="1">
      <alignment vertical="center"/>
    </xf>
    <xf numFmtId="176" fontId="26" fillId="0" borderId="6" xfId="3" applyNumberFormat="1" applyFont="1" applyBorder="1">
      <alignment vertical="center"/>
    </xf>
    <xf numFmtId="177" fontId="27" fillId="0" borderId="0" xfId="4" applyNumberFormat="1" applyFont="1" applyAlignment="1">
      <alignment horizontal="left" vertical="center" indent="1"/>
    </xf>
    <xf numFmtId="177" fontId="22" fillId="0" borderId="0" xfId="4" applyNumberFormat="1" applyFont="1" applyFill="1">
      <alignment vertical="center"/>
    </xf>
    <xf numFmtId="176" fontId="1" fillId="0" borderId="2" xfId="3" applyNumberFormat="1" applyBorder="1">
      <alignment vertical="center"/>
    </xf>
    <xf numFmtId="177" fontId="30" fillId="0" borderId="0" xfId="4" applyNumberFormat="1" applyFont="1">
      <alignment vertical="center"/>
    </xf>
    <xf numFmtId="9" fontId="27" fillId="0" borderId="0" xfId="1" applyNumberFormat="1" applyFont="1" applyAlignment="1">
      <alignment vertical="center"/>
    </xf>
    <xf numFmtId="176" fontId="36" fillId="2" borderId="0" xfId="3" applyNumberFormat="1" applyFont="1" applyFill="1">
      <alignment vertical="center"/>
    </xf>
    <xf numFmtId="176" fontId="24" fillId="2" borderId="1" xfId="3" applyNumberFormat="1" applyFont="1" applyFill="1" applyBorder="1">
      <alignment vertical="center"/>
    </xf>
    <xf numFmtId="177" fontId="37" fillId="0" borderId="0" xfId="4" applyNumberFormat="1" applyFont="1">
      <alignment vertical="center"/>
    </xf>
    <xf numFmtId="177" fontId="33" fillId="8" borderId="0" xfId="4" applyNumberFormat="1" applyFont="1" applyFill="1">
      <alignment vertical="center"/>
    </xf>
    <xf numFmtId="10" fontId="37" fillId="0" borderId="0" xfId="4" applyNumberFormat="1" applyFont="1">
      <alignment vertical="center"/>
    </xf>
    <xf numFmtId="177" fontId="37" fillId="0" borderId="3" xfId="4" applyNumberFormat="1" applyFont="1" applyBorder="1">
      <alignment vertical="center"/>
    </xf>
    <xf numFmtId="186" fontId="21" fillId="0" borderId="3" xfId="3" applyNumberFormat="1" applyFont="1" applyBorder="1">
      <alignment vertical="center"/>
    </xf>
    <xf numFmtId="177" fontId="37" fillId="0" borderId="0" xfId="4" applyNumberFormat="1" applyFont="1" applyFill="1">
      <alignment vertical="center"/>
    </xf>
    <xf numFmtId="177" fontId="33" fillId="0" borderId="0" xfId="4" applyNumberFormat="1" applyFont="1" applyFill="1">
      <alignment vertical="center"/>
    </xf>
    <xf numFmtId="186" fontId="26" fillId="0" borderId="17" xfId="3" applyNumberFormat="1" applyFont="1" applyBorder="1">
      <alignment vertical="center"/>
    </xf>
    <xf numFmtId="176" fontId="28" fillId="8" borderId="0" xfId="3" applyNumberFormat="1" applyFont="1" applyFill="1">
      <alignment vertical="center"/>
    </xf>
    <xf numFmtId="176" fontId="32" fillId="8" borderId="0" xfId="3" applyNumberFormat="1" applyFont="1" applyFill="1">
      <alignment vertical="center"/>
    </xf>
    <xf numFmtId="177" fontId="37" fillId="8" borderId="0" xfId="4" applyNumberFormat="1" applyFont="1" applyFill="1">
      <alignment vertical="center"/>
    </xf>
    <xf numFmtId="9" fontId="21" fillId="8" borderId="0" xfId="3" applyNumberFormat="1" applyFont="1" applyFill="1">
      <alignment vertical="center"/>
    </xf>
    <xf numFmtId="176" fontId="21" fillId="8" borderId="2" xfId="3" applyNumberFormat="1" applyFont="1" applyFill="1" applyBorder="1">
      <alignment vertical="center"/>
    </xf>
    <xf numFmtId="191" fontId="21" fillId="8" borderId="0" xfId="3" applyNumberFormat="1" applyFont="1" applyFill="1">
      <alignment vertical="center"/>
    </xf>
    <xf numFmtId="176" fontId="26" fillId="8" borderId="3" xfId="3" applyNumberFormat="1" applyFont="1" applyFill="1" applyBorder="1">
      <alignment vertical="center"/>
    </xf>
    <xf numFmtId="176" fontId="33" fillId="8" borderId="0" xfId="3" applyNumberFormat="1" applyFont="1" applyFill="1">
      <alignment vertical="center"/>
    </xf>
    <xf numFmtId="179" fontId="21" fillId="8" borderId="0" xfId="3" applyNumberFormat="1" applyFont="1" applyFill="1">
      <alignment vertical="center"/>
    </xf>
    <xf numFmtId="177" fontId="21" fillId="8" borderId="0" xfId="3" applyNumberFormat="1" applyFont="1" applyFill="1">
      <alignment vertical="center"/>
    </xf>
    <xf numFmtId="176" fontId="21" fillId="8" borderId="2" xfId="3" applyNumberFormat="1" applyFont="1" applyFill="1" applyBorder="1" applyAlignment="1">
      <alignment horizontal="left" vertical="center" indent="1"/>
    </xf>
    <xf numFmtId="186" fontId="21" fillId="8" borderId="0" xfId="3" applyNumberFormat="1" applyFont="1" applyFill="1">
      <alignment vertical="center"/>
    </xf>
    <xf numFmtId="186" fontId="21" fillId="8" borderId="4" xfId="3" applyNumberFormat="1" applyFont="1" applyFill="1" applyBorder="1">
      <alignment vertical="center"/>
    </xf>
    <xf numFmtId="186" fontId="21" fillId="8" borderId="6" xfId="3" applyNumberFormat="1" applyFont="1" applyFill="1" applyBorder="1">
      <alignment vertical="center"/>
    </xf>
    <xf numFmtId="186" fontId="33" fillId="8" borderId="0" xfId="3" applyNumberFormat="1" applyFont="1" applyFill="1">
      <alignment vertical="center"/>
    </xf>
    <xf numFmtId="176" fontId="21" fillId="8" borderId="3" xfId="3" applyNumberFormat="1" applyFont="1" applyFill="1" applyBorder="1" applyAlignment="1">
      <alignment horizontal="left" vertical="center" indent="2"/>
    </xf>
    <xf numFmtId="177" fontId="37" fillId="8" borderId="3" xfId="4" applyNumberFormat="1" applyFont="1" applyFill="1" applyBorder="1">
      <alignment vertical="center"/>
    </xf>
    <xf numFmtId="176" fontId="21" fillId="8" borderId="5" xfId="3" applyNumberFormat="1" applyFont="1" applyFill="1" applyBorder="1">
      <alignment vertical="center"/>
    </xf>
    <xf numFmtId="176" fontId="21" fillId="8" borderId="4" xfId="3" applyNumberFormat="1" applyFont="1" applyFill="1" applyBorder="1">
      <alignment vertical="center"/>
    </xf>
    <xf numFmtId="176" fontId="21" fillId="8" borderId="6" xfId="3" applyNumberFormat="1" applyFont="1" applyFill="1" applyBorder="1">
      <alignment vertical="center"/>
    </xf>
    <xf numFmtId="180" fontId="21" fillId="8" borderId="0" xfId="3" applyNumberFormat="1" applyFont="1" applyFill="1">
      <alignment vertical="center"/>
    </xf>
    <xf numFmtId="180" fontId="33" fillId="8" borderId="0" xfId="3" applyNumberFormat="1" applyFont="1" applyFill="1">
      <alignment vertical="center"/>
    </xf>
    <xf numFmtId="177" fontId="33" fillId="8" borderId="0" xfId="3" applyNumberFormat="1" applyFont="1" applyFill="1">
      <alignment vertical="center"/>
    </xf>
    <xf numFmtId="176" fontId="26" fillId="8" borderId="18" xfId="3" applyNumberFormat="1" applyFont="1" applyFill="1" applyBorder="1">
      <alignment vertical="center"/>
    </xf>
    <xf numFmtId="186" fontId="21" fillId="0" borderId="4" xfId="3" applyNumberFormat="1" applyFont="1" applyBorder="1">
      <alignment vertical="center"/>
    </xf>
    <xf numFmtId="186" fontId="21" fillId="0" borderId="6" xfId="3" applyNumberFormat="1" applyFont="1" applyBorder="1">
      <alignment vertical="center"/>
    </xf>
    <xf numFmtId="186" fontId="33" fillId="0" borderId="0" xfId="3" applyNumberFormat="1" applyFont="1">
      <alignment vertical="center"/>
    </xf>
    <xf numFmtId="186" fontId="21" fillId="0" borderId="5" xfId="3" applyNumberFormat="1" applyFont="1" applyBorder="1">
      <alignment vertical="center"/>
    </xf>
    <xf numFmtId="177" fontId="37" fillId="0" borderId="0" xfId="4" applyNumberFormat="1" applyFont="1" applyBorder="1">
      <alignment vertical="center"/>
    </xf>
    <xf numFmtId="9" fontId="21" fillId="0" borderId="6" xfId="3" applyNumberFormat="1" applyFont="1" applyBorder="1">
      <alignment vertical="center"/>
    </xf>
    <xf numFmtId="179" fontId="21" fillId="0" borderId="6" xfId="3" applyNumberFormat="1" applyFont="1" applyBorder="1">
      <alignment vertical="center"/>
    </xf>
    <xf numFmtId="176" fontId="26" fillId="8" borderId="3" xfId="3" applyNumberFormat="1" applyFont="1" applyFill="1" applyBorder="1" applyAlignment="1">
      <alignment horizontal="left" vertical="center" indent="1"/>
    </xf>
    <xf numFmtId="176" fontId="26" fillId="8" borderId="5" xfId="3" applyNumberFormat="1" applyFont="1" applyFill="1" applyBorder="1">
      <alignment vertical="center"/>
    </xf>
    <xf numFmtId="182" fontId="21" fillId="8" borderId="0" xfId="1" applyFont="1" applyFill="1" applyAlignment="1">
      <alignment vertical="center"/>
    </xf>
    <xf numFmtId="177" fontId="21" fillId="8" borderId="0" xfId="1" applyNumberFormat="1" applyFont="1" applyFill="1" applyAlignment="1">
      <alignment vertical="center"/>
    </xf>
    <xf numFmtId="186" fontId="34" fillId="8" borderId="0" xfId="3" applyNumberFormat="1" applyFont="1" applyFill="1">
      <alignment vertical="center"/>
    </xf>
    <xf numFmtId="181" fontId="37" fillId="0" borderId="0" xfId="0" applyFont="1"/>
    <xf numFmtId="176" fontId="21" fillId="8" borderId="3" xfId="3" applyNumberFormat="1" applyFont="1" applyFill="1" applyBorder="1" applyAlignment="1">
      <alignment horizontal="left" vertical="center" indent="1"/>
    </xf>
    <xf numFmtId="176" fontId="35" fillId="8" borderId="0" xfId="3" applyNumberFormat="1" applyFont="1" applyFill="1">
      <alignment vertical="center"/>
    </xf>
    <xf numFmtId="10" fontId="37" fillId="8" borderId="0" xfId="1" applyNumberFormat="1" applyFont="1" applyFill="1" applyAlignment="1">
      <alignment vertical="center"/>
    </xf>
    <xf numFmtId="177" fontId="38" fillId="0" borderId="0" xfId="4" applyNumberFormat="1" applyFont="1" applyFill="1">
      <alignment vertical="center"/>
    </xf>
    <xf numFmtId="176" fontId="34" fillId="0" borderId="0" xfId="3" applyNumberFormat="1" applyFont="1">
      <alignment vertical="center"/>
    </xf>
    <xf numFmtId="182" fontId="34" fillId="0" borderId="0" xfId="1" applyFont="1" applyAlignment="1">
      <alignment vertical="center"/>
    </xf>
    <xf numFmtId="189" fontId="34" fillId="0" borderId="0" xfId="3" applyNumberFormat="1" applyFont="1">
      <alignment vertical="center"/>
    </xf>
    <xf numFmtId="9" fontId="34" fillId="0" borderId="0" xfId="3" applyNumberFormat="1" applyFont="1">
      <alignment vertical="center"/>
    </xf>
    <xf numFmtId="177" fontId="34" fillId="0" borderId="0" xfId="4" applyNumberFormat="1" applyFont="1" applyFill="1">
      <alignment vertical="center"/>
    </xf>
    <xf numFmtId="176" fontId="21" fillId="0" borderId="10" xfId="3" applyNumberFormat="1" applyFont="1" applyBorder="1">
      <alignment vertical="center"/>
    </xf>
    <xf numFmtId="176" fontId="39" fillId="8" borderId="0" xfId="3" applyNumberFormat="1" applyFont="1" applyFill="1">
      <alignment vertical="center"/>
    </xf>
    <xf numFmtId="176" fontId="26" fillId="8" borderId="7" xfId="3" applyNumberFormat="1" applyFont="1" applyFill="1" applyBorder="1">
      <alignment vertical="center"/>
    </xf>
    <xf numFmtId="177" fontId="37" fillId="0" borderId="6" xfId="4" applyNumberFormat="1" applyFont="1" applyBorder="1">
      <alignment vertical="center"/>
    </xf>
    <xf numFmtId="177" fontId="37" fillId="0" borderId="5" xfId="4" applyNumberFormat="1" applyFont="1" applyBorder="1">
      <alignment vertical="center"/>
    </xf>
    <xf numFmtId="177" fontId="37" fillId="0" borderId="13" xfId="4" applyNumberFormat="1" applyFont="1" applyBorder="1">
      <alignment vertical="center"/>
    </xf>
    <xf numFmtId="181" fontId="37" fillId="0" borderId="3" xfId="0" applyFont="1" applyBorder="1"/>
    <xf numFmtId="182" fontId="37" fillId="0" borderId="0" xfId="1" applyFont="1" applyFill="1" applyAlignment="1">
      <alignment vertical="center"/>
    </xf>
    <xf numFmtId="192" fontId="21" fillId="0" borderId="0" xfId="3" applyNumberFormat="1" applyFont="1">
      <alignment vertical="center"/>
    </xf>
    <xf numFmtId="182" fontId="26" fillId="0" borderId="0" xfId="1" applyFont="1" applyAlignment="1">
      <alignment vertical="center"/>
    </xf>
    <xf numFmtId="176" fontId="41" fillId="0" borderId="0" xfId="6" applyNumberFormat="1" applyFont="1">
      <alignment vertical="center"/>
    </xf>
    <xf numFmtId="177" fontId="15" fillId="0" borderId="0" xfId="2" applyNumberFormat="1" applyFont="1" applyAlignment="1">
      <alignment vertical="center"/>
    </xf>
    <xf numFmtId="177" fontId="1" fillId="0" borderId="5" xfId="2" applyNumberFormat="1" applyFont="1" applyFill="1" applyBorder="1" applyAlignment="1">
      <alignment vertical="center"/>
    </xf>
    <xf numFmtId="177" fontId="1" fillId="0" borderId="3" xfId="2" applyNumberFormat="1" applyFont="1" applyFill="1" applyBorder="1" applyAlignment="1">
      <alignment vertical="center"/>
    </xf>
    <xf numFmtId="177" fontId="15" fillId="0" borderId="3" xfId="2" applyNumberFormat="1" applyFont="1" applyFill="1" applyBorder="1" applyAlignment="1">
      <alignment vertical="center"/>
    </xf>
    <xf numFmtId="176" fontId="1" fillId="0" borderId="10" xfId="3" applyNumberFormat="1" applyBorder="1">
      <alignment vertical="center"/>
    </xf>
    <xf numFmtId="176" fontId="1" fillId="0" borderId="29" xfId="3" applyNumberFormat="1" applyBorder="1" applyAlignment="1">
      <alignment horizontal="left" vertical="center" indent="1"/>
    </xf>
    <xf numFmtId="176" fontId="1" fillId="0" borderId="29" xfId="3" applyNumberFormat="1" applyBorder="1">
      <alignment vertical="center"/>
    </xf>
    <xf numFmtId="176" fontId="1" fillId="0" borderId="30" xfId="3" applyNumberFormat="1" applyBorder="1">
      <alignment vertical="center"/>
    </xf>
    <xf numFmtId="9" fontId="0" fillId="0" borderId="13" xfId="4" applyFont="1" applyBorder="1">
      <alignment vertical="center"/>
    </xf>
    <xf numFmtId="176" fontId="9" fillId="0" borderId="0" xfId="3" applyNumberFormat="1" applyFont="1" applyAlignment="1">
      <alignment horizontal="left" vertical="center" indent="1"/>
    </xf>
    <xf numFmtId="176" fontId="1" fillId="0" borderId="17" xfId="3" applyNumberFormat="1" applyBorder="1">
      <alignment vertical="center"/>
    </xf>
    <xf numFmtId="176" fontId="1" fillId="0" borderId="18" xfId="3" applyNumberFormat="1" applyBorder="1">
      <alignment vertical="center"/>
    </xf>
    <xf numFmtId="177" fontId="0" fillId="0" borderId="13" xfId="4" applyNumberFormat="1" applyFont="1" applyBorder="1">
      <alignment vertical="center"/>
    </xf>
    <xf numFmtId="177" fontId="42" fillId="0" borderId="0" xfId="4" applyNumberFormat="1" applyFont="1">
      <alignment vertical="center"/>
    </xf>
    <xf numFmtId="176" fontId="42" fillId="0" borderId="3" xfId="3" applyNumberFormat="1" applyFont="1" applyBorder="1">
      <alignment vertical="center"/>
    </xf>
    <xf numFmtId="176" fontId="43" fillId="0" borderId="3" xfId="3" applyNumberFormat="1" applyFont="1" applyBorder="1">
      <alignment vertical="center"/>
    </xf>
    <xf numFmtId="176" fontId="42" fillId="0" borderId="0" xfId="3" applyNumberFormat="1" applyFont="1">
      <alignment vertical="center"/>
    </xf>
    <xf numFmtId="176" fontId="1" fillId="6" borderId="13" xfId="3" applyNumberFormat="1" applyFill="1" applyBorder="1" applyAlignment="1">
      <alignment horizontal="right" vertical="center"/>
    </xf>
    <xf numFmtId="176" fontId="44" fillId="3" borderId="0" xfId="3" applyNumberFormat="1" applyFont="1" applyFill="1" applyAlignment="1"/>
    <xf numFmtId="176" fontId="44" fillId="3" borderId="0" xfId="3" applyNumberFormat="1" applyFont="1" applyFill="1">
      <alignment vertical="center"/>
    </xf>
    <xf numFmtId="179" fontId="44" fillId="3" borderId="0" xfId="3" applyNumberFormat="1" applyFont="1" applyFill="1">
      <alignment vertical="center"/>
    </xf>
    <xf numFmtId="179" fontId="1" fillId="0" borderId="13" xfId="3" applyNumberFormat="1" applyBorder="1">
      <alignment vertical="center"/>
    </xf>
    <xf numFmtId="176" fontId="5" fillId="0" borderId="0" xfId="3" applyNumberFormat="1" applyFont="1" applyFill="1" applyAlignment="1">
      <alignment horizontal="left" vertical="center" indent="1"/>
    </xf>
    <xf numFmtId="176" fontId="5" fillId="0" borderId="0" xfId="3" applyNumberFormat="1" applyFont="1" applyFill="1" applyAlignment="1">
      <alignment horizontal="left" vertical="center" indent="2"/>
    </xf>
    <xf numFmtId="176" fontId="5" fillId="0" borderId="3" xfId="3" applyNumberFormat="1" applyFont="1" applyFill="1" applyBorder="1" applyAlignment="1">
      <alignment horizontal="left" vertical="center" indent="1"/>
    </xf>
    <xf numFmtId="176" fontId="9" fillId="0" borderId="0" xfId="3" applyNumberFormat="1" applyFont="1" applyFill="1">
      <alignment vertical="center"/>
    </xf>
    <xf numFmtId="176" fontId="1" fillId="0" borderId="0" xfId="3" applyNumberFormat="1" applyFill="1">
      <alignment vertical="center"/>
    </xf>
    <xf numFmtId="176" fontId="1" fillId="0" borderId="6" xfId="3" applyNumberFormat="1" applyFill="1" applyBorder="1">
      <alignment vertical="center"/>
    </xf>
    <xf numFmtId="176" fontId="9" fillId="0" borderId="6" xfId="3" applyNumberFormat="1" applyFont="1" applyFill="1" applyBorder="1">
      <alignment vertical="center"/>
    </xf>
    <xf numFmtId="176" fontId="9" fillId="0" borderId="17" xfId="3" applyNumberFormat="1" applyFont="1" applyFill="1" applyBorder="1">
      <alignment vertical="center"/>
    </xf>
    <xf numFmtId="176" fontId="9" fillId="0" borderId="18" xfId="3" applyNumberFormat="1" applyFont="1" applyFill="1" applyBorder="1">
      <alignment vertical="center"/>
    </xf>
    <xf numFmtId="176" fontId="9" fillId="0" borderId="4" xfId="3" applyNumberFormat="1" applyFont="1" applyFill="1" applyBorder="1">
      <alignment vertical="center"/>
    </xf>
    <xf numFmtId="176" fontId="1" fillId="0" borderId="3" xfId="3" applyNumberFormat="1" applyFill="1" applyBorder="1">
      <alignment vertical="center"/>
    </xf>
    <xf numFmtId="176" fontId="1" fillId="0" borderId="5" xfId="3" applyNumberFormat="1" applyFill="1" applyBorder="1">
      <alignment vertical="center"/>
    </xf>
    <xf numFmtId="176" fontId="14" fillId="0" borderId="0" xfId="3" applyNumberFormat="1" applyFont="1" applyFill="1">
      <alignment vertical="center"/>
    </xf>
    <xf numFmtId="178" fontId="1" fillId="0" borderId="0" xfId="3" applyNumberFormat="1" applyFill="1">
      <alignment vertical="center"/>
    </xf>
    <xf numFmtId="178" fontId="1" fillId="0" borderId="6" xfId="3" applyNumberFormat="1" applyFill="1" applyBorder="1">
      <alignment vertical="center"/>
    </xf>
    <xf numFmtId="177" fontId="0" fillId="0" borderId="3" xfId="4" applyNumberFormat="1" applyFont="1" applyFill="1" applyBorder="1">
      <alignment vertical="center"/>
    </xf>
    <xf numFmtId="177" fontId="15" fillId="0" borderId="3" xfId="4" applyNumberFormat="1" applyFont="1" applyFill="1" applyBorder="1">
      <alignment vertical="center"/>
    </xf>
    <xf numFmtId="179" fontId="1" fillId="0" borderId="0" xfId="3" applyNumberFormat="1" applyFill="1">
      <alignment vertical="center"/>
    </xf>
    <xf numFmtId="179" fontId="1" fillId="0" borderId="6" xfId="3" applyNumberFormat="1" applyFill="1" applyBorder="1">
      <alignment vertical="center"/>
    </xf>
    <xf numFmtId="177" fontId="0" fillId="0" borderId="3" xfId="2" applyNumberFormat="1" applyFont="1" applyFill="1" applyBorder="1" applyAlignment="1">
      <alignment vertical="center"/>
    </xf>
    <xf numFmtId="9" fontId="0" fillId="0" borderId="3" xfId="4" applyFont="1" applyFill="1" applyBorder="1">
      <alignment vertical="center"/>
    </xf>
    <xf numFmtId="179" fontId="14" fillId="0" borderId="0" xfId="3" applyNumberFormat="1" applyFont="1" applyFill="1">
      <alignment vertical="center"/>
    </xf>
    <xf numFmtId="177" fontId="0" fillId="0" borderId="0" xfId="4" applyNumberFormat="1" applyFont="1" applyFill="1" applyBorder="1">
      <alignment vertical="center"/>
    </xf>
    <xf numFmtId="177" fontId="15" fillId="0" borderId="0" xfId="4" applyNumberFormat="1" applyFont="1" applyFill="1" applyBorder="1">
      <alignment vertical="center"/>
    </xf>
    <xf numFmtId="9" fontId="0" fillId="0" borderId="5" xfId="4" applyFont="1" applyFill="1" applyBorder="1">
      <alignment vertical="center"/>
    </xf>
    <xf numFmtId="177" fontId="1" fillId="0" borderId="0" xfId="2" applyNumberFormat="1" applyFont="1" applyFill="1" applyAlignment="1">
      <alignment vertical="center"/>
    </xf>
    <xf numFmtId="176" fontId="1" fillId="0" borderId="7" xfId="3" applyNumberFormat="1" applyFill="1" applyBorder="1">
      <alignment vertical="center"/>
    </xf>
    <xf numFmtId="176" fontId="14" fillId="0" borderId="7" xfId="3" applyNumberFormat="1" applyFont="1" applyFill="1" applyBorder="1">
      <alignment vertical="center"/>
    </xf>
    <xf numFmtId="177" fontId="0" fillId="0" borderId="5" xfId="4" applyNumberFormat="1" applyFont="1" applyFill="1" applyBorder="1">
      <alignment vertical="center"/>
    </xf>
    <xf numFmtId="176" fontId="1" fillId="0" borderId="4" xfId="3" applyNumberFormat="1" applyFill="1" applyBorder="1">
      <alignment vertical="center"/>
    </xf>
    <xf numFmtId="179" fontId="5" fillId="0" borderId="0" xfId="3" applyNumberFormat="1" applyFont="1" applyFill="1">
      <alignment vertical="center"/>
    </xf>
    <xf numFmtId="177" fontId="0" fillId="0" borderId="6" xfId="2" applyNumberFormat="1" applyFont="1" applyFill="1" applyBorder="1" applyAlignment="1">
      <alignment vertical="center"/>
    </xf>
    <xf numFmtId="183" fontId="14" fillId="0" borderId="0" xfId="5" applyNumberFormat="1" applyFont="1" applyFill="1">
      <alignment vertical="center"/>
    </xf>
    <xf numFmtId="177" fontId="1" fillId="0" borderId="6" xfId="3" applyNumberFormat="1" applyFill="1" applyBorder="1">
      <alignment vertical="center"/>
    </xf>
    <xf numFmtId="177" fontId="1" fillId="0" borderId="0" xfId="3" applyNumberFormat="1" applyFill="1">
      <alignment vertical="center"/>
    </xf>
    <xf numFmtId="10" fontId="1" fillId="0" borderId="3" xfId="3" applyNumberFormat="1" applyFill="1" applyBorder="1">
      <alignment vertical="center"/>
    </xf>
    <xf numFmtId="176" fontId="21" fillId="0" borderId="0" xfId="3" applyNumberFormat="1" applyFont="1" applyFill="1">
      <alignment vertical="center"/>
    </xf>
    <xf numFmtId="176" fontId="23" fillId="0" borderId="0" xfId="3" applyNumberFormat="1" applyFont="1" applyFill="1">
      <alignment vertical="center"/>
    </xf>
    <xf numFmtId="182" fontId="21" fillId="0" borderId="0" xfId="1" applyFont="1" applyFill="1" applyAlignment="1">
      <alignment vertical="center"/>
    </xf>
    <xf numFmtId="177" fontId="31" fillId="0" borderId="0" xfId="4" applyNumberFormat="1" applyFont="1" applyFill="1">
      <alignment vertical="center"/>
    </xf>
    <xf numFmtId="176" fontId="29" fillId="0" borderId="0" xfId="3" applyNumberFormat="1" applyFont="1" applyFill="1">
      <alignment vertical="center"/>
    </xf>
    <xf numFmtId="177" fontId="28" fillId="0" borderId="0" xfId="4" applyNumberFormat="1" applyFont="1" applyFill="1">
      <alignment vertical="center"/>
    </xf>
    <xf numFmtId="176" fontId="28" fillId="0" borderId="0" xfId="3" applyNumberFormat="1" applyFont="1" applyFill="1">
      <alignment vertical="center"/>
    </xf>
    <xf numFmtId="176" fontId="33" fillId="0" borderId="0" xfId="3" applyNumberFormat="1" applyFont="1" applyFill="1">
      <alignment vertical="center"/>
    </xf>
    <xf numFmtId="177" fontId="27" fillId="0" borderId="0" xfId="4" applyNumberFormat="1" applyFont="1" applyFill="1" applyBorder="1">
      <alignment vertical="center"/>
    </xf>
    <xf numFmtId="187" fontId="21" fillId="0" borderId="0" xfId="3" applyNumberFormat="1" applyFont="1" applyFill="1">
      <alignment vertical="center"/>
    </xf>
    <xf numFmtId="176" fontId="26" fillId="0" borderId="3" xfId="3" applyNumberFormat="1" applyFont="1" applyFill="1" applyBorder="1">
      <alignment vertical="center"/>
    </xf>
    <xf numFmtId="9" fontId="21" fillId="0" borderId="0" xfId="3" applyNumberFormat="1" applyFont="1" applyFill="1">
      <alignment vertical="center"/>
    </xf>
    <xf numFmtId="176" fontId="21" fillId="0" borderId="2" xfId="3" applyNumberFormat="1" applyFont="1" applyFill="1" applyBorder="1">
      <alignment vertical="center"/>
    </xf>
    <xf numFmtId="176" fontId="23" fillId="0" borderId="2" xfId="3" applyNumberFormat="1" applyFont="1" applyFill="1" applyBorder="1">
      <alignment vertical="center"/>
    </xf>
    <xf numFmtId="179" fontId="21" fillId="0" borderId="0" xfId="3" applyNumberFormat="1" applyFont="1" applyFill="1">
      <alignment vertical="center"/>
    </xf>
    <xf numFmtId="179" fontId="34" fillId="0" borderId="0" xfId="3" applyNumberFormat="1" applyFont="1" applyFill="1">
      <alignment vertical="center"/>
    </xf>
    <xf numFmtId="177" fontId="33" fillId="0" borderId="0" xfId="4" applyNumberFormat="1" applyFont="1" applyFill="1" applyBorder="1">
      <alignment vertical="center"/>
    </xf>
    <xf numFmtId="176" fontId="25" fillId="0" borderId="3" xfId="3" applyNumberFormat="1" applyFont="1" applyFill="1" applyBorder="1">
      <alignment vertical="center"/>
    </xf>
    <xf numFmtId="176" fontId="21" fillId="0" borderId="6" xfId="3" applyNumberFormat="1" applyFont="1" applyFill="1" applyBorder="1">
      <alignment vertical="center"/>
    </xf>
    <xf numFmtId="177" fontId="28" fillId="0" borderId="6" xfId="4" applyNumberFormat="1" applyFont="1" applyFill="1" applyBorder="1">
      <alignment vertical="center"/>
    </xf>
    <xf numFmtId="177" fontId="29" fillId="0" borderId="0" xfId="4" applyNumberFormat="1" applyFont="1" applyFill="1">
      <alignment vertical="center"/>
    </xf>
    <xf numFmtId="176" fontId="26" fillId="0" borderId="0" xfId="3" applyNumberFormat="1" applyFont="1" applyFill="1">
      <alignment vertical="center"/>
    </xf>
    <xf numFmtId="177" fontId="21" fillId="0" borderId="0" xfId="3" applyNumberFormat="1" applyFont="1" applyFill="1">
      <alignment vertical="center"/>
    </xf>
    <xf numFmtId="185" fontId="21" fillId="0" borderId="0" xfId="3" applyNumberFormat="1" applyFont="1" applyFill="1">
      <alignment vertical="center"/>
    </xf>
    <xf numFmtId="176" fontId="35" fillId="0" borderId="0" xfId="3" applyNumberFormat="1" applyFont="1" applyFill="1">
      <alignment vertical="center"/>
    </xf>
    <xf numFmtId="176" fontId="25" fillId="0" borderId="0" xfId="3" applyNumberFormat="1" applyFont="1" applyFill="1">
      <alignment vertical="center"/>
    </xf>
    <xf numFmtId="180" fontId="21" fillId="0" borderId="0" xfId="3" applyNumberFormat="1" applyFont="1" applyFill="1">
      <alignment vertical="center"/>
    </xf>
    <xf numFmtId="176" fontId="21" fillId="0" borderId="0" xfId="3" applyNumberFormat="1" applyFont="1" applyFill="1" applyAlignment="1">
      <alignment horizontal="left" vertical="center" indent="2"/>
    </xf>
    <xf numFmtId="176" fontId="21" fillId="0" borderId="0" xfId="3" applyNumberFormat="1" applyFont="1" applyFill="1" applyAlignment="1">
      <alignment horizontal="left" vertical="center" indent="1"/>
    </xf>
    <xf numFmtId="176" fontId="21" fillId="0" borderId="5" xfId="3" applyNumberFormat="1" applyFont="1" applyFill="1" applyBorder="1">
      <alignment vertical="center"/>
    </xf>
    <xf numFmtId="176" fontId="26" fillId="0" borderId="17" xfId="3" applyNumberFormat="1" applyFont="1" applyFill="1" applyBorder="1">
      <alignment vertical="center"/>
    </xf>
    <xf numFmtId="176" fontId="26" fillId="0" borderId="18" xfId="3" applyNumberFormat="1" applyFont="1" applyFill="1" applyBorder="1">
      <alignment vertical="center"/>
    </xf>
    <xf numFmtId="176" fontId="26" fillId="0" borderId="23" xfId="3" applyNumberFormat="1" applyFont="1" applyFill="1" applyBorder="1">
      <alignment vertical="center"/>
    </xf>
    <xf numFmtId="176" fontId="21" fillId="0" borderId="3" xfId="3" applyNumberFormat="1" applyFont="1" applyFill="1" applyBorder="1">
      <alignment vertical="center"/>
    </xf>
    <xf numFmtId="176" fontId="21" fillId="0" borderId="4" xfId="3" applyNumberFormat="1" applyFont="1" applyFill="1" applyBorder="1">
      <alignment vertical="center"/>
    </xf>
    <xf numFmtId="176" fontId="21" fillId="0" borderId="24" xfId="3" applyNumberFormat="1" applyFont="1" applyFill="1" applyBorder="1">
      <alignment vertical="center"/>
    </xf>
    <xf numFmtId="176" fontId="21" fillId="0" borderId="25" xfId="3" applyNumberFormat="1" applyFont="1" applyFill="1" applyBorder="1">
      <alignment vertical="center"/>
    </xf>
    <xf numFmtId="176" fontId="21" fillId="0" borderId="26" xfId="3" applyNumberFormat="1" applyFont="1" applyFill="1" applyBorder="1">
      <alignment vertical="center"/>
    </xf>
    <xf numFmtId="177" fontId="37" fillId="0" borderId="27" xfId="4" applyNumberFormat="1" applyFont="1" applyFill="1" applyBorder="1">
      <alignment vertical="center"/>
    </xf>
    <xf numFmtId="177" fontId="37" fillId="0" borderId="21" xfId="4" applyNumberFormat="1" applyFont="1" applyFill="1" applyBorder="1">
      <alignment vertical="center"/>
    </xf>
    <xf numFmtId="177" fontId="34" fillId="0" borderId="21" xfId="4" applyNumberFormat="1" applyFont="1" applyFill="1" applyBorder="1">
      <alignment vertical="center"/>
    </xf>
    <xf numFmtId="177" fontId="34" fillId="0" borderId="28" xfId="4" applyNumberFormat="1" applyFont="1" applyFill="1" applyBorder="1">
      <alignment vertical="center"/>
    </xf>
    <xf numFmtId="177" fontId="21" fillId="0" borderId="0" xfId="4" applyNumberFormat="1" applyFont="1" applyFill="1">
      <alignment vertical="center"/>
    </xf>
    <xf numFmtId="186" fontId="33" fillId="0" borderId="0" xfId="3" applyNumberFormat="1" applyFont="1" applyFill="1">
      <alignment vertical="center"/>
    </xf>
    <xf numFmtId="186" fontId="34" fillId="0" borderId="0" xfId="3" applyNumberFormat="1" applyFont="1" applyFill="1">
      <alignment vertical="center"/>
    </xf>
    <xf numFmtId="189" fontId="21" fillId="0" borderId="0" xfId="3" applyNumberFormat="1" applyFont="1" applyFill="1">
      <alignment vertical="center"/>
    </xf>
    <xf numFmtId="176" fontId="34" fillId="0" borderId="0" xfId="3" applyNumberFormat="1" applyFont="1" applyFill="1">
      <alignment vertical="center"/>
    </xf>
    <xf numFmtId="179" fontId="33" fillId="0" borderId="0" xfId="3" applyNumberFormat="1" applyFont="1" applyFill="1">
      <alignment vertical="center"/>
    </xf>
    <xf numFmtId="177" fontId="21" fillId="0" borderId="0" xfId="2" applyNumberFormat="1" applyFont="1" applyFill="1" applyAlignment="1">
      <alignment vertical="center"/>
    </xf>
  </cellXfs>
  <cellStyles count="7">
    <cellStyle name="백분율" xfId="2" builtinId="5"/>
    <cellStyle name="백분율 2" xfId="4" xr:uid="{B7C924DE-E1A9-45B2-9C69-B4E9BA3127CC}"/>
    <cellStyle name="쉼표 [0]" xfId="1" builtinId="6"/>
    <cellStyle name="쉼표 [0] 3" xfId="5" xr:uid="{EF63D316-6EE9-4B80-8A7D-2B592AC67BA7}"/>
    <cellStyle name="표준" xfId="0" builtinId="0"/>
    <cellStyle name="표준 2" xfId="3" xr:uid="{31E87302-8435-4990-8598-A7E524A15D72}"/>
    <cellStyle name="하이퍼링크 2" xfId="6" xr:uid="{26489D58-2016-4C4B-9A14-05EFBF8CC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luation%20model_Shield_230303_v1(3&#52264;&#51656;&#51032;&#49688;&#51221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sksquare-my.sharepoint.com/personal/3100005_sksquare_com/Documents/2022%20Background/2022%20&#49780;&#45908;&#49828;/1.%20Model/Financial%20Model/Neptune%20-%20Master%20Model%20(2022.09.27)_v5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정내역"/>
      <sheetName val="Overview참고"/>
      <sheetName val="report"/>
      <sheetName val="비교대상BV"/>
      <sheetName val="세전할인율"/>
      <sheetName val="DCF"/>
      <sheetName val="총괄PL"/>
      <sheetName val="(참고)VDT"/>
      <sheetName val="Macro"/>
      <sheetName val="비교"/>
      <sheetName val="CyberSecurity"/>
      <sheetName val="Converged Security"/>
      <sheetName val="Physical Security"/>
      <sheetName val="Life Care Services"/>
      <sheetName val="장래가구추계"/>
      <sheetName val="Others&amp;NWC"/>
      <sheetName val="내부거래"/>
      <sheetName val="WACC"/>
      <sheetName val="과거PL"/>
      <sheetName val="FS(연결)_2022.09"/>
      <sheetName val="사업계획-&gt;"/>
      <sheetName val="Cover"/>
      <sheetName val="Control"/>
      <sheetName val="FCF"/>
      <sheetName val="EBITDA"/>
      <sheetName val="Tax"/>
      <sheetName val="CAPEX"/>
      <sheetName val="NWC"/>
      <sheetName val="Revenue"/>
      <sheetName val="Cost"/>
      <sheetName val="GP"/>
      <sheetName val="FS"/>
      <sheetName val="BS"/>
      <sheetName val="CAPEX, D&amp;A"/>
      <sheetName val="Net working capital"/>
      <sheetName val="PL"/>
      <sheetName val="Cyber"/>
      <sheetName val="OPEX"/>
      <sheetName val="Converged"/>
      <sheetName val="Physical"/>
      <sheetName val="Safety"/>
      <sheetName val="Future Store"/>
      <sheetName val="FS - TAM"/>
      <sheetName val="FS - ARPU"/>
      <sheetName val="FS - Pck."/>
      <sheetName val="FS - Raw"/>
      <sheetName val="Key cost, price"/>
      <sheetName val="Outsourcing"/>
      <sheetName val="Labor"/>
      <sheetName val="Material"/>
      <sheetName val="Pri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9">
          <cell r="G9">
            <v>1000000000</v>
          </cell>
        </row>
        <row r="10">
          <cell r="G10">
            <v>1000000</v>
          </cell>
        </row>
        <row r="11">
          <cell r="G11">
            <v>1000</v>
          </cell>
        </row>
        <row r="12">
          <cell r="G12">
            <v>0.5</v>
          </cell>
        </row>
        <row r="13">
          <cell r="G13">
            <v>12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s. 22년 예산"/>
      <sheetName val="vs. IPO model (SBS)"/>
      <sheetName val="vs. Pre-IPO model"/>
      <sheetName val="Cover"/>
      <sheetName val="Control"/>
      <sheetName val="분석목적&gt;&gt;"/>
      <sheetName val="LBO"/>
      <sheetName val="DCF"/>
      <sheetName val="SIP"/>
      <sheetName val="PPT output - COGS"/>
      <sheetName val="PPT output - revenue"/>
      <sheetName val="FBF"/>
      <sheetName val="Waterfall"/>
      <sheetName val="MS"/>
      <sheetName val="Return"/>
      <sheetName val="Consol&gt;&gt;"/>
      <sheetName val="LBO output"/>
      <sheetName val="PPT output"/>
      <sheetName val="SRS"/>
      <sheetName val="PL Summary (v29)"/>
      <sheetName val="PL comparison (vs. v22)"/>
      <sheetName val="PL (v22)"/>
      <sheetName val="vs. IPO model"/>
      <sheetName val="Interim PPT"/>
      <sheetName val="BS"/>
      <sheetName val="Debt"/>
      <sheetName val="FS"/>
      <sheetName val="Labor comparison (vs. v22)"/>
      <sheetName val="Before Adj."/>
      <sheetName val="CMS data"/>
      <sheetName val="CMS - ARPU (ref)"/>
      <sheetName val="CMS - Contract (ref)"/>
      <sheetName val="CMS - Value (ref)"/>
      <sheetName val="P&amp;L&gt;&gt;"/>
      <sheetName val="Physical"/>
      <sheetName val="Cyber"/>
      <sheetName val="Converged"/>
      <sheetName val="SAC"/>
      <sheetName val="Captive"/>
      <sheetName val="Life Care"/>
      <sheetName val="Future Store"/>
      <sheetName val="Opex"/>
      <sheetName val="Key build (cost, price)&gt;&gt;"/>
      <sheetName val="Outsourcing"/>
      <sheetName val="Material"/>
      <sheetName val="Labor"/>
      <sheetName val="Price"/>
      <sheetName val="Feeder&gt;&gt;"/>
      <sheetName val="Input"/>
      <sheetName val="Reference&gt;&gt;"/>
      <sheetName val="Backup&gt;&gt;"/>
      <sheetName val="5.관계사"/>
      <sheetName val="전사투자과제"/>
      <sheetName val="Vin Group"/>
      <sheetName val="DR QA (융합 글로벌)"/>
      <sheetName val="Pre-IPO 복붙"/>
      <sheetName val="MIRA's return analysis"/>
      <sheetName val="22년 월별 계획"/>
    </sheetNames>
    <sheetDataSet>
      <sheetData sheetId="0" refreshError="1"/>
      <sheetData sheetId="1" refreshError="1"/>
      <sheetData sheetId="2" refreshError="1"/>
      <sheetData sheetId="3" refreshError="1"/>
      <sheetData sheetId="4">
        <row r="9">
          <cell r="G9">
            <v>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globenewswire.com/fr/news-release/2020/01/23/1974208/28124/en/Japan-Smart-Home-Market-Number-Household-Penetration-by-Application-Areas-Policies-Trends-Key-Company-Profiles-Forecast-to-2026.html" TargetMode="External"/><Relationship Id="rId1" Type="http://schemas.openxmlformats.org/officeDocument/2006/relationships/hyperlink" Target="https://www.statista.com/forecasts/887727/smart-home-penetration-rate-per-segment-in-japan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8028-D94D-48BA-843E-B5B2B5C702BA}">
  <sheetPr>
    <tabColor theme="3" tint="-0.499984740745262"/>
  </sheetPr>
  <dimension ref="B1:X62"/>
  <sheetViews>
    <sheetView tabSelected="1" zoomScale="70" zoomScaleNormal="70" workbookViewId="0">
      <pane xSplit="3" ySplit="4" topLeftCell="D5" activePane="bottomRight" state="frozen"/>
      <selection activeCell="K33" sqref="K33:O37"/>
      <selection pane="topRight" activeCell="K33" sqref="K33:O37"/>
      <selection pane="bottomLeft" activeCell="K33" sqref="K33:O37"/>
      <selection pane="bottomRight" activeCell="D5" sqref="D5"/>
    </sheetView>
  </sheetViews>
  <sheetFormatPr defaultRowHeight="15.6" outlineLevelCol="1"/>
  <cols>
    <col min="1" max="1" width="2.6640625" style="9" customWidth="1"/>
    <col min="2" max="2" width="29.21875" style="9" customWidth="1"/>
    <col min="3" max="10" width="15.33203125" style="9" customWidth="1"/>
    <col min="11" max="11" width="15.33203125" style="9" customWidth="1" outlineLevel="1"/>
    <col min="12" max="17" width="15.33203125" style="9" customWidth="1"/>
    <col min="18" max="18" width="4.5546875" style="9" customWidth="1"/>
    <col min="19" max="19" width="8.88671875" style="9" customWidth="1"/>
    <col min="20" max="23" width="8.88671875" style="9"/>
    <col min="24" max="24" width="13.77734375" style="9" customWidth="1"/>
    <col min="25" max="16384" width="8.88671875" style="9"/>
  </cols>
  <sheetData>
    <row r="1" spans="2:17" s="4" customFormat="1">
      <c r="B1" s="1" t="s">
        <v>0</v>
      </c>
      <c r="C1" s="2" t="s">
        <v>1</v>
      </c>
      <c r="D1" s="3">
        <f>F30</f>
        <v>4054473.1858550692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s="4" customFormat="1"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s="4" customFormat="1">
      <c r="B3" s="5"/>
      <c r="C3" s="5"/>
      <c r="D3" s="6"/>
      <c r="E3" s="6">
        <v>2018</v>
      </c>
      <c r="F3" s="6">
        <v>2019</v>
      </c>
      <c r="G3" s="6">
        <v>2020</v>
      </c>
      <c r="H3" s="6">
        <v>2021</v>
      </c>
      <c r="I3" s="6">
        <v>2022</v>
      </c>
      <c r="J3" s="6">
        <v>2022</v>
      </c>
      <c r="K3" s="6">
        <v>2022</v>
      </c>
      <c r="L3" s="6">
        <v>2023</v>
      </c>
      <c r="M3" s="6">
        <v>2024</v>
      </c>
      <c r="N3" s="6">
        <v>2025</v>
      </c>
      <c r="O3" s="6">
        <v>2026</v>
      </c>
      <c r="P3" s="6">
        <v>2027</v>
      </c>
      <c r="Q3" s="6" t="s">
        <v>3</v>
      </c>
    </row>
    <row r="4" spans="2:17" s="4" customFormat="1">
      <c r="B4" s="7" t="s">
        <v>4</v>
      </c>
      <c r="C4" s="7"/>
      <c r="D4" s="8"/>
      <c r="E4" s="8" t="s">
        <v>5</v>
      </c>
      <c r="F4" s="8" t="s">
        <v>5</v>
      </c>
      <c r="G4" s="8" t="s">
        <v>5</v>
      </c>
      <c r="H4" s="8" t="s">
        <v>5</v>
      </c>
      <c r="I4" s="8" t="s">
        <v>6</v>
      </c>
      <c r="J4" s="8" t="s">
        <v>7</v>
      </c>
      <c r="K4" s="8" t="s">
        <v>5</v>
      </c>
      <c r="L4" s="8" t="s">
        <v>5</v>
      </c>
      <c r="M4" s="8" t="s">
        <v>5</v>
      </c>
      <c r="N4" s="8" t="s">
        <v>5</v>
      </c>
      <c r="O4" s="8" t="s">
        <v>5</v>
      </c>
      <c r="P4" s="8" t="s">
        <v>5</v>
      </c>
      <c r="Q4" s="8"/>
    </row>
    <row r="5" spans="2:17">
      <c r="J5" s="10"/>
      <c r="L5" s="10"/>
      <c r="M5" s="10"/>
      <c r="N5" s="10"/>
      <c r="O5" s="10"/>
      <c r="P5" s="10"/>
    </row>
    <row r="6" spans="2:17">
      <c r="B6" s="11" t="s">
        <v>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2:17">
      <c r="B7" s="12" t="s">
        <v>9</v>
      </c>
      <c r="C7" s="12"/>
      <c r="D7" s="12"/>
      <c r="E7" s="12">
        <f>총괄PL!E8</f>
        <v>1003444.000303</v>
      </c>
      <c r="F7" s="12">
        <f>총괄PL!F8</f>
        <v>1179454.4448230001</v>
      </c>
      <c r="G7" s="12">
        <f>총괄PL!G8</f>
        <v>1327150.42298</v>
      </c>
      <c r="H7" s="12">
        <f>총괄PL!H8</f>
        <v>1549714.140559</v>
      </c>
      <c r="I7" s="13">
        <f>총괄PL!I8</f>
        <v>1290462.7897739999</v>
      </c>
      <c r="J7" s="12">
        <f>총괄PL!J8</f>
        <v>457792.04757180525</v>
      </c>
      <c r="K7" s="12">
        <f>총괄PL!K8</f>
        <v>1748254.8373458053</v>
      </c>
      <c r="L7" s="12">
        <f>총괄PL!L8</f>
        <v>1997181.8367222683</v>
      </c>
      <c r="M7" s="12">
        <f>총괄PL!M8</f>
        <v>2238931.0078537022</v>
      </c>
      <c r="N7" s="12">
        <f>총괄PL!N8</f>
        <v>2509910.9613563693</v>
      </c>
      <c r="O7" s="12">
        <f>총괄PL!O8</f>
        <v>2808141.4939019615</v>
      </c>
      <c r="P7" s="12">
        <f>총괄PL!P8</f>
        <v>3125307.7596718711</v>
      </c>
      <c r="Q7" s="12">
        <f>총괄PL!Q8</f>
        <v>3156560.8372685895</v>
      </c>
    </row>
    <row r="8" spans="2:17">
      <c r="B8" s="14" t="s">
        <v>10</v>
      </c>
      <c r="C8" s="14"/>
      <c r="D8" s="14"/>
      <c r="E8" s="14">
        <f>총괄PL!E36</f>
        <v>717504.7126897393</v>
      </c>
      <c r="F8" s="14">
        <f>총괄PL!F36</f>
        <v>828678.10481689987</v>
      </c>
      <c r="G8" s="14">
        <f>총괄PL!G36</f>
        <v>981652.56657734909</v>
      </c>
      <c r="H8" s="14">
        <f>총괄PL!H36</f>
        <v>1178188.4498461664</v>
      </c>
      <c r="I8" s="15">
        <f>총괄PL!I36</f>
        <v>979795.09424943756</v>
      </c>
      <c r="J8" s="14">
        <f>총괄PL!J36</f>
        <v>343372.87485235493</v>
      </c>
      <c r="K8" s="14">
        <f>총괄PL!K36</f>
        <v>1323167.9691017924</v>
      </c>
      <c r="L8" s="14">
        <f>총괄PL!L36</f>
        <v>1478809.4499157369</v>
      </c>
      <c r="M8" s="14">
        <f>총괄PL!M36</f>
        <v>1645831.0635197151</v>
      </c>
      <c r="N8" s="14">
        <f>총괄PL!N36</f>
        <v>1820214.8824894442</v>
      </c>
      <c r="O8" s="14">
        <f>총괄PL!O36</f>
        <v>1991504.635207898</v>
      </c>
      <c r="P8" s="14">
        <f>총괄PL!P36</f>
        <v>2177587.7712468468</v>
      </c>
      <c r="Q8" s="14">
        <f>총괄PL!Q36</f>
        <v>2199363.6489593154</v>
      </c>
    </row>
    <row r="9" spans="2:17">
      <c r="B9" s="16" t="s">
        <v>11</v>
      </c>
      <c r="C9" s="16"/>
      <c r="D9" s="16"/>
      <c r="E9" s="16">
        <f>E7-E8</f>
        <v>285939.28761326068</v>
      </c>
      <c r="F9" s="16">
        <f t="shared" ref="F9:Q9" si="0">F7-F8</f>
        <v>350776.34000610025</v>
      </c>
      <c r="G9" s="16">
        <f t="shared" si="0"/>
        <v>345497.85640265094</v>
      </c>
      <c r="H9" s="16">
        <f t="shared" si="0"/>
        <v>371525.69071283354</v>
      </c>
      <c r="I9" s="17">
        <f t="shared" si="0"/>
        <v>310667.69552456238</v>
      </c>
      <c r="J9" s="16">
        <f t="shared" si="0"/>
        <v>114419.17271945032</v>
      </c>
      <c r="K9" s="16">
        <f t="shared" si="0"/>
        <v>425086.86824401282</v>
      </c>
      <c r="L9" s="16">
        <f t="shared" si="0"/>
        <v>518372.38680653134</v>
      </c>
      <c r="M9" s="16">
        <f t="shared" si="0"/>
        <v>593099.94433398708</v>
      </c>
      <c r="N9" s="16">
        <f t="shared" si="0"/>
        <v>689696.07886692509</v>
      </c>
      <c r="O9" s="16">
        <f t="shared" si="0"/>
        <v>816636.8586940635</v>
      </c>
      <c r="P9" s="16">
        <f t="shared" si="0"/>
        <v>947719.98842502432</v>
      </c>
      <c r="Q9" s="16">
        <f t="shared" si="0"/>
        <v>957197.18830927415</v>
      </c>
    </row>
    <row r="10" spans="2:17">
      <c r="B10" s="14" t="s">
        <v>12</v>
      </c>
      <c r="C10" s="14"/>
      <c r="D10" s="14"/>
      <c r="E10" s="14">
        <f>총괄PL!E71</f>
        <v>101655.1921334463</v>
      </c>
      <c r="F10" s="14">
        <f>총괄PL!F71</f>
        <v>218135.16999910015</v>
      </c>
      <c r="G10" s="14">
        <f>총괄PL!G71</f>
        <v>232776.77492865076</v>
      </c>
      <c r="H10" s="14">
        <f>총괄PL!H71</f>
        <v>249632.63281283353</v>
      </c>
      <c r="I10" s="15">
        <f>총괄PL!I71</f>
        <v>209585.74667656232</v>
      </c>
      <c r="J10" s="14">
        <f>총괄PL!J71</f>
        <v>69983.903057338073</v>
      </c>
      <c r="K10" s="14">
        <f>총괄PL!K71</f>
        <v>279569.64973390038</v>
      </c>
      <c r="L10" s="14">
        <f>총괄PL!L71</f>
        <v>305685.78524713451</v>
      </c>
      <c r="M10" s="14">
        <f>총괄PL!M71</f>
        <v>331143.08690197876</v>
      </c>
      <c r="N10" s="14">
        <f>총괄PL!N71</f>
        <v>359321.9806558913</v>
      </c>
      <c r="O10" s="14">
        <f>총괄PL!O71</f>
        <v>390597.26219234063</v>
      </c>
      <c r="P10" s="14">
        <f>총괄PL!P71</f>
        <v>420437.82886491425</v>
      </c>
      <c r="Q10" s="14">
        <f>총괄PL!Q71</f>
        <v>424642.20715356339</v>
      </c>
    </row>
    <row r="11" spans="2:17">
      <c r="B11" s="16" t="s">
        <v>13</v>
      </c>
      <c r="C11" s="16"/>
      <c r="D11" s="16"/>
      <c r="E11" s="16">
        <f>E9-E10</f>
        <v>184284.09547981439</v>
      </c>
      <c r="F11" s="16">
        <f t="shared" ref="F11:Q11" si="1">F9-F10</f>
        <v>132641.1700070001</v>
      </c>
      <c r="G11" s="16">
        <f t="shared" si="1"/>
        <v>112721.08147400018</v>
      </c>
      <c r="H11" s="16">
        <f t="shared" si="1"/>
        <v>121893.05790000001</v>
      </c>
      <c r="I11" s="17">
        <f t="shared" si="1"/>
        <v>101081.94884800006</v>
      </c>
      <c r="J11" s="16">
        <f t="shared" si="1"/>
        <v>44435.269662112245</v>
      </c>
      <c r="K11" s="16">
        <f t="shared" si="1"/>
        <v>145517.21851011243</v>
      </c>
      <c r="L11" s="16">
        <f t="shared" si="1"/>
        <v>212686.60155939683</v>
      </c>
      <c r="M11" s="16">
        <f t="shared" si="1"/>
        <v>261956.85743200831</v>
      </c>
      <c r="N11" s="16">
        <f t="shared" si="1"/>
        <v>330374.09821103379</v>
      </c>
      <c r="O11" s="16">
        <f t="shared" si="1"/>
        <v>426039.59650172287</v>
      </c>
      <c r="P11" s="16">
        <f t="shared" si="1"/>
        <v>527282.15956011007</v>
      </c>
      <c r="Q11" s="16">
        <f t="shared" si="1"/>
        <v>532554.98115571076</v>
      </c>
    </row>
    <row r="12" spans="2:17">
      <c r="B12" s="14" t="s">
        <v>14</v>
      </c>
      <c r="C12" s="14"/>
      <c r="D12" s="14"/>
      <c r="E12" s="14"/>
      <c r="F12" s="14"/>
      <c r="G12" s="14"/>
      <c r="H12" s="14"/>
      <c r="I12" s="15"/>
      <c r="J12" s="14">
        <f>SUM(J55:J58)</f>
        <v>9802.5472919479289</v>
      </c>
      <c r="K12" s="14">
        <f t="shared" ref="K12:Q12" si="2">SUM(K55:K58)</f>
        <v>33152.477475835971</v>
      </c>
      <c r="L12" s="14">
        <f t="shared" si="2"/>
        <v>48668.604960220669</v>
      </c>
      <c r="M12" s="14">
        <f t="shared" si="2"/>
        <v>60050.034066793924</v>
      </c>
      <c r="N12" s="14">
        <f t="shared" si="2"/>
        <v>76856.761927712927</v>
      </c>
      <c r="O12" s="14">
        <f t="shared" si="2"/>
        <v>102112.45347645483</v>
      </c>
      <c r="P12" s="14">
        <f t="shared" si="2"/>
        <v>128840.49012386907</v>
      </c>
      <c r="Q12" s="14">
        <f t="shared" si="2"/>
        <v>130232.51502510764</v>
      </c>
    </row>
    <row r="13" spans="2:17">
      <c r="B13" s="16" t="s">
        <v>15</v>
      </c>
      <c r="C13" s="16"/>
      <c r="D13" s="16"/>
      <c r="E13" s="16"/>
      <c r="F13" s="16"/>
      <c r="G13" s="16"/>
      <c r="H13" s="16"/>
      <c r="I13" s="17"/>
      <c r="J13" s="16">
        <f t="shared" ref="J13:Q13" si="3">J11-J12</f>
        <v>34632.722370164316</v>
      </c>
      <c r="K13" s="16">
        <f t="shared" si="3"/>
        <v>112364.74103427646</v>
      </c>
      <c r="L13" s="16">
        <f t="shared" si="3"/>
        <v>164017.99659917617</v>
      </c>
      <c r="M13" s="16">
        <f t="shared" si="3"/>
        <v>201906.8233652144</v>
      </c>
      <c r="N13" s="16">
        <f t="shared" si="3"/>
        <v>253517.33628332085</v>
      </c>
      <c r="O13" s="16">
        <f t="shared" si="3"/>
        <v>323927.14302526804</v>
      </c>
      <c r="P13" s="16">
        <f t="shared" si="3"/>
        <v>398441.66943624103</v>
      </c>
      <c r="Q13" s="16">
        <f t="shared" si="3"/>
        <v>402322.4661306031</v>
      </c>
    </row>
    <row r="14" spans="2:17">
      <c r="B14" s="4" t="s">
        <v>16</v>
      </c>
      <c r="C14" s="4"/>
      <c r="D14" s="4"/>
      <c r="E14" s="4"/>
      <c r="F14" s="4"/>
      <c r="G14" s="4"/>
      <c r="H14" s="4"/>
      <c r="I14" s="18"/>
      <c r="J14" s="4">
        <f>총괄PL!J100</f>
        <v>66185.585244678805</v>
      </c>
      <c r="K14" s="4">
        <f>총괄PL!K100</f>
        <v>34116.601995248078</v>
      </c>
      <c r="L14" s="4">
        <f>총괄PL!L100</f>
        <v>251935.17235350865</v>
      </c>
      <c r="M14" s="4">
        <f>총괄PL!M100</f>
        <v>278631.25877340027</v>
      </c>
      <c r="N14" s="4">
        <f>총괄PL!N100</f>
        <v>310461.05684144923</v>
      </c>
      <c r="O14" s="4">
        <f>총괄PL!O100</f>
        <v>350392.3425810078</v>
      </c>
      <c r="P14" s="4">
        <f>총괄PL!P100</f>
        <v>399981.79626512522</v>
      </c>
      <c r="Q14" s="4">
        <f>총괄PL!Q100</f>
        <v>403981.61422777647</v>
      </c>
    </row>
    <row r="15" spans="2:17">
      <c r="B15" s="4" t="s">
        <v>17</v>
      </c>
      <c r="C15" s="4"/>
      <c r="D15" s="4"/>
      <c r="E15" s="4"/>
      <c r="F15" s="4"/>
      <c r="G15" s="4"/>
      <c r="H15" s="4"/>
      <c r="I15" s="18"/>
      <c r="J15" s="4">
        <f>-총괄PL!J112</f>
        <v>-78938.699564893352</v>
      </c>
      <c r="K15" s="4">
        <f>-총괄PL!K112</f>
        <v>-274755.91762014205</v>
      </c>
      <c r="L15" s="4">
        <f>-총괄PL!L112</f>
        <v>-330919.21401181823</v>
      </c>
      <c r="M15" s="4">
        <f>-총괄PL!M112</f>
        <v>-363143.84233755484</v>
      </c>
      <c r="N15" s="4">
        <f>-총괄PL!N112</f>
        <v>-427999.42429992469</v>
      </c>
      <c r="O15" s="4">
        <f>-총괄PL!O112</f>
        <v>-465221.094571775</v>
      </c>
      <c r="P15" s="4">
        <f>-총괄PL!P112</f>
        <v>-510391.53240280983</v>
      </c>
      <c r="Q15" s="4">
        <f>-Q14</f>
        <v>-403981.61422777647</v>
      </c>
    </row>
    <row r="16" spans="2:17">
      <c r="B16" s="14" t="s">
        <v>18</v>
      </c>
      <c r="C16" s="14"/>
      <c r="D16" s="14"/>
      <c r="E16" s="14"/>
      <c r="F16" s="14"/>
      <c r="G16" s="14"/>
      <c r="H16" s="14"/>
      <c r="I16" s="15"/>
      <c r="J16" s="14">
        <f>총괄PL!J120</f>
        <v>69027.88986345171</v>
      </c>
      <c r="K16" s="14">
        <f>총괄PL!K120</f>
        <v>29355.357863451703</v>
      </c>
      <c r="L16" s="14">
        <f>총괄PL!L120</f>
        <v>11715.372992122429</v>
      </c>
      <c r="M16" s="14">
        <f>총괄PL!M120</f>
        <v>14800.647262361075</v>
      </c>
      <c r="N16" s="14">
        <f>총괄PL!N120</f>
        <v>13761.773194551235</v>
      </c>
      <c r="O16" s="14">
        <f>총괄PL!O120</f>
        <v>10777.812964861805</v>
      </c>
      <c r="P16" s="14">
        <f>총괄PL!P120</f>
        <v>11568.733888183953</v>
      </c>
      <c r="Q16" s="14">
        <f>총괄PL!Q120</f>
        <v>2148.6158316552173</v>
      </c>
    </row>
    <row r="17" spans="2:24">
      <c r="B17" s="19" t="s">
        <v>19</v>
      </c>
      <c r="C17" s="19"/>
      <c r="D17" s="19"/>
      <c r="E17" s="19"/>
      <c r="F17" s="19"/>
      <c r="G17" s="19"/>
      <c r="H17" s="19"/>
      <c r="I17" s="20">
        <f t="shared" ref="I17:Q17" si="4">SUM(I13:I16)</f>
        <v>0</v>
      </c>
      <c r="J17" s="19">
        <f t="shared" si="4"/>
        <v>90907.497913401487</v>
      </c>
      <c r="K17" s="19">
        <f t="shared" si="4"/>
        <v>-98919.216727165796</v>
      </c>
      <c r="L17" s="19">
        <f t="shared" si="4"/>
        <v>96749.32793298905</v>
      </c>
      <c r="M17" s="19">
        <f t="shared" si="4"/>
        <v>132194.8870634209</v>
      </c>
      <c r="N17" s="19">
        <f t="shared" si="4"/>
        <v>149740.74201939668</v>
      </c>
      <c r="O17" s="19">
        <f t="shared" si="4"/>
        <v>219876.20399936265</v>
      </c>
      <c r="P17" s="19">
        <f t="shared" si="4"/>
        <v>299600.66718674044</v>
      </c>
      <c r="Q17" s="19">
        <f t="shared" si="4"/>
        <v>404471.08196225826</v>
      </c>
    </row>
    <row r="18" spans="2:24">
      <c r="B18" s="4" t="s">
        <v>20</v>
      </c>
      <c r="C18" s="4"/>
      <c r="D18" s="4"/>
      <c r="E18" s="4"/>
      <c r="F18" s="4"/>
      <c r="G18" s="4"/>
      <c r="H18" s="4"/>
      <c r="I18" s="18"/>
      <c r="J18" s="21">
        <f>3/12/2</f>
        <v>0.125</v>
      </c>
      <c r="K18" s="22"/>
      <c r="L18" s="21">
        <f>3/12+0.5</f>
        <v>0.75</v>
      </c>
      <c r="M18" s="21">
        <f t="shared" ref="M18:P18" si="5">L18+1</f>
        <v>1.75</v>
      </c>
      <c r="N18" s="21">
        <f t="shared" si="5"/>
        <v>2.75</v>
      </c>
      <c r="O18" s="21">
        <f t="shared" si="5"/>
        <v>3.75</v>
      </c>
      <c r="P18" s="21">
        <f t="shared" si="5"/>
        <v>4.75</v>
      </c>
      <c r="Q18" s="21">
        <f>P18</f>
        <v>4.75</v>
      </c>
    </row>
    <row r="19" spans="2:24">
      <c r="B19" s="14" t="s">
        <v>21</v>
      </c>
      <c r="C19" s="14"/>
      <c r="D19" s="14"/>
      <c r="E19" s="14"/>
      <c r="F19" s="14"/>
      <c r="G19" s="14"/>
      <c r="H19" s="14"/>
      <c r="I19" s="15"/>
      <c r="J19" s="23">
        <f>1/(1+$F$43)^J18</f>
        <v>0.98914069456544085</v>
      </c>
      <c r="K19" s="24"/>
      <c r="L19" s="23">
        <f t="shared" ref="L19:Q19" si="6">1/(1+$F$43)^L18</f>
        <v>0.93658763123247069</v>
      </c>
      <c r="M19" s="23">
        <f t="shared" si="6"/>
        <v>0.85824834686475804</v>
      </c>
      <c r="N19" s="23">
        <f t="shared" si="6"/>
        <v>0.78646161910850665</v>
      </c>
      <c r="O19" s="23">
        <f t="shared" si="6"/>
        <v>0.72067937047624753</v>
      </c>
      <c r="P19" s="23">
        <f t="shared" si="6"/>
        <v>0.6603993664926483</v>
      </c>
      <c r="Q19" s="23">
        <f t="shared" si="6"/>
        <v>0.6603993664926483</v>
      </c>
    </row>
    <row r="20" spans="2:24">
      <c r="B20" s="19" t="s">
        <v>22</v>
      </c>
      <c r="C20" s="19"/>
      <c r="D20" s="19"/>
      <c r="E20" s="19"/>
      <c r="F20" s="19"/>
      <c r="G20" s="19"/>
      <c r="H20" s="19"/>
      <c r="I20" s="20"/>
      <c r="J20" s="19">
        <f t="shared" ref="J20:P20" si="7">J17*J19</f>
        <v>89920.305627268317</v>
      </c>
      <c r="K20" s="25"/>
      <c r="L20" s="19">
        <f t="shared" si="7"/>
        <v>90614.223872091723</v>
      </c>
      <c r="M20" s="19">
        <f t="shared" si="7"/>
        <v>113456.04328615438</v>
      </c>
      <c r="N20" s="19">
        <f t="shared" si="7"/>
        <v>117765.34641508391</v>
      </c>
      <c r="O20" s="19">
        <f t="shared" si="7"/>
        <v>158460.24428096766</v>
      </c>
      <c r="P20" s="19">
        <f t="shared" si="7"/>
        <v>197856.09081089814</v>
      </c>
      <c r="Q20" s="19">
        <f>Q17/(F43-F44)*Q19</f>
        <v>3286400.9315626053</v>
      </c>
      <c r="S20" s="4"/>
      <c r="T20" s="4"/>
      <c r="U20" s="4"/>
      <c r="V20" s="4"/>
      <c r="W20" s="4"/>
      <c r="X20" s="4"/>
    </row>
    <row r="21" spans="2:24">
      <c r="B21" s="4"/>
      <c r="C21" s="4"/>
      <c r="D21" s="4"/>
      <c r="E21" s="4"/>
      <c r="F21" s="4"/>
      <c r="G21" s="4"/>
      <c r="H21" s="4"/>
      <c r="I21" s="4"/>
      <c r="J21" s="26"/>
      <c r="K21" s="26"/>
      <c r="L21" s="26"/>
      <c r="M21" s="26"/>
      <c r="N21" s="26"/>
      <c r="O21" s="26"/>
      <c r="P21" s="26"/>
      <c r="Q21" s="26"/>
    </row>
    <row r="22" spans="2:24">
      <c r="B22" s="19" t="s">
        <v>23</v>
      </c>
      <c r="C22" s="19"/>
      <c r="D22" s="19"/>
      <c r="E22" s="19">
        <f>총괄PL!E111</f>
        <v>371504.83201781439</v>
      </c>
      <c r="F22" s="19">
        <f>총괄PL!F111</f>
        <v>356508.23246500007</v>
      </c>
      <c r="G22" s="19">
        <f>총괄PL!G111</f>
        <v>354047.10551900021</v>
      </c>
      <c r="H22" s="19">
        <f>총괄PL!H111</f>
        <v>381587.20390000002</v>
      </c>
      <c r="I22" s="20">
        <f>총괄PL!I111</f>
        <v>301763.62084800005</v>
      </c>
      <c r="J22" s="19">
        <f t="shared" ref="J22:Q22" si="8">J11+J14</f>
        <v>110620.85490679105</v>
      </c>
      <c r="K22" s="19">
        <f t="shared" si="8"/>
        <v>179633.82050536052</v>
      </c>
      <c r="L22" s="19">
        <f t="shared" si="8"/>
        <v>464621.77391290548</v>
      </c>
      <c r="M22" s="19">
        <f t="shared" si="8"/>
        <v>540588.11620540859</v>
      </c>
      <c r="N22" s="19">
        <f t="shared" si="8"/>
        <v>640835.15505248308</v>
      </c>
      <c r="O22" s="19">
        <f t="shared" si="8"/>
        <v>776431.93908273068</v>
      </c>
      <c r="P22" s="19">
        <f t="shared" si="8"/>
        <v>927263.95582523523</v>
      </c>
      <c r="Q22" s="19">
        <f t="shared" si="8"/>
        <v>936536.59538348718</v>
      </c>
    </row>
    <row r="23" spans="2:2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24">
      <c r="B24" s="27" t="s">
        <v>24</v>
      </c>
      <c r="C24" s="28"/>
      <c r="D24" s="28"/>
      <c r="E24" s="29">
        <f t="shared" ref="E24:Q24" si="9">E11/E$7</f>
        <v>0.18365159931612324</v>
      </c>
      <c r="F24" s="29">
        <f t="shared" si="9"/>
        <v>0.11245976526622481</v>
      </c>
      <c r="G24" s="29">
        <f t="shared" si="9"/>
        <v>8.4934668687287815E-2</v>
      </c>
      <c r="H24" s="29">
        <f t="shared" si="9"/>
        <v>7.8655188534339476E-2</v>
      </c>
      <c r="I24" s="30">
        <f t="shared" si="9"/>
        <v>7.8329998857001246E-2</v>
      </c>
      <c r="J24" s="31">
        <f t="shared" si="9"/>
        <v>9.706431096346757E-2</v>
      </c>
      <c r="K24" s="29">
        <f t="shared" si="9"/>
        <v>8.323570191347858E-2</v>
      </c>
      <c r="L24" s="29">
        <f t="shared" si="9"/>
        <v>0.10649335861598536</v>
      </c>
      <c r="M24" s="29">
        <f t="shared" si="9"/>
        <v>0.11700086180106417</v>
      </c>
      <c r="N24" s="29">
        <f t="shared" si="9"/>
        <v>0.1316278160052729</v>
      </c>
      <c r="O24" s="29">
        <f t="shared" si="9"/>
        <v>0.15171585813139829</v>
      </c>
      <c r="P24" s="29">
        <f t="shared" si="9"/>
        <v>0.16871367561429212</v>
      </c>
      <c r="Q24" s="30">
        <f t="shared" si="9"/>
        <v>0.16871367561429199</v>
      </c>
    </row>
    <row r="25" spans="2:24">
      <c r="B25" s="32" t="s">
        <v>25</v>
      </c>
      <c r="C25" s="33"/>
      <c r="D25" s="33"/>
      <c r="E25" s="34">
        <f t="shared" ref="E25:Q25" si="10">E22/E$7</f>
        <v>0.37022976061009361</v>
      </c>
      <c r="F25" s="34">
        <f t="shared" si="10"/>
        <v>0.30226536856071706</v>
      </c>
      <c r="G25" s="34">
        <f t="shared" si="10"/>
        <v>0.26677240152176451</v>
      </c>
      <c r="H25" s="34">
        <f t="shared" si="10"/>
        <v>0.24623070404607464</v>
      </c>
      <c r="I25" s="35">
        <f t="shared" si="10"/>
        <v>0.23384139646587424</v>
      </c>
      <c r="J25" s="36">
        <f t="shared" si="10"/>
        <v>0.24163996621072809</v>
      </c>
      <c r="K25" s="34">
        <f t="shared" si="10"/>
        <v>0.10275036377309843</v>
      </c>
      <c r="L25" s="34">
        <f t="shared" si="10"/>
        <v>0.23263869386847255</v>
      </c>
      <c r="M25" s="34">
        <f t="shared" si="10"/>
        <v>0.24144920692470578</v>
      </c>
      <c r="N25" s="34">
        <f t="shared" si="10"/>
        <v>0.25532186795430079</v>
      </c>
      <c r="O25" s="34">
        <f t="shared" si="10"/>
        <v>0.27649316844211613</v>
      </c>
      <c r="P25" s="34">
        <f t="shared" si="10"/>
        <v>0.29669524639793859</v>
      </c>
      <c r="Q25" s="35">
        <f t="shared" si="10"/>
        <v>0.29669524639793848</v>
      </c>
    </row>
    <row r="26" spans="2:24">
      <c r="K26" s="10"/>
      <c r="L26" s="10"/>
      <c r="M26" s="10"/>
      <c r="N26" s="10"/>
      <c r="O26" s="10"/>
    </row>
    <row r="27" spans="2:24">
      <c r="I27" s="10"/>
      <c r="J27" s="10"/>
      <c r="K27" s="10"/>
      <c r="L27" s="10"/>
      <c r="M27" s="10"/>
      <c r="N27" s="10"/>
      <c r="O27" s="10"/>
      <c r="P27" s="10"/>
      <c r="Q27" s="10"/>
    </row>
    <row r="28" spans="2:24">
      <c r="J28" s="37"/>
      <c r="K28" s="37"/>
      <c r="L28" s="37"/>
      <c r="M28" s="37"/>
      <c r="N28" s="37"/>
      <c r="O28" s="37"/>
      <c r="P28" s="37"/>
      <c r="Q28" s="37"/>
    </row>
    <row r="29" spans="2:24">
      <c r="B29" s="11" t="s">
        <v>26</v>
      </c>
      <c r="C29" s="11"/>
      <c r="D29" s="11"/>
      <c r="E29" s="11"/>
      <c r="F29" s="11"/>
      <c r="I29" s="11" t="s">
        <v>27</v>
      </c>
      <c r="J29" s="11"/>
      <c r="K29" s="11"/>
      <c r="L29" s="11"/>
      <c r="M29" s="11"/>
      <c r="N29" s="11"/>
      <c r="O29" s="11"/>
    </row>
    <row r="30" spans="2:24">
      <c r="B30" s="38" t="s">
        <v>28</v>
      </c>
      <c r="C30" s="39"/>
      <c r="D30" s="39"/>
      <c r="E30" s="39"/>
      <c r="F30" s="40">
        <f>F31+F32</f>
        <v>4054473.1858550692</v>
      </c>
    </row>
    <row r="31" spans="2:24">
      <c r="B31" s="41" t="s">
        <v>29</v>
      </c>
      <c r="C31" s="42"/>
      <c r="D31" s="42"/>
      <c r="E31" s="42"/>
      <c r="F31" s="18">
        <f>SUM(J20,L20:P20)</f>
        <v>768072.25429246412</v>
      </c>
      <c r="G31" s="10"/>
      <c r="H31" s="10"/>
      <c r="I31" s="43"/>
      <c r="J31" s="44"/>
      <c r="K31" s="45" t="s">
        <v>30</v>
      </c>
      <c r="L31" s="46"/>
      <c r="M31" s="46"/>
      <c r="N31" s="46"/>
      <c r="O31" s="47"/>
    </row>
    <row r="32" spans="2:24">
      <c r="B32" s="48" t="s">
        <v>31</v>
      </c>
      <c r="C32" s="49"/>
      <c r="D32" s="49"/>
      <c r="E32" s="49"/>
      <c r="F32" s="15">
        <f>Q20</f>
        <v>3286400.9315626053</v>
      </c>
      <c r="G32" s="10"/>
      <c r="H32" s="10"/>
      <c r="I32" s="50" t="s">
        <v>4</v>
      </c>
      <c r="J32" s="51">
        <f>F30</f>
        <v>4054473.1858550692</v>
      </c>
      <c r="K32" s="52">
        <f>L32+0.1%</f>
        <v>9.3278106918459822E-2</v>
      </c>
      <c r="L32" s="52">
        <f>M32+0.1%</f>
        <v>9.2278106918459821E-2</v>
      </c>
      <c r="M32" s="52">
        <v>9.127810691845982E-2</v>
      </c>
      <c r="N32" s="52">
        <f>M32-0.1%</f>
        <v>9.0278106918459819E-2</v>
      </c>
      <c r="O32" s="52">
        <f>N32-0.1%</f>
        <v>8.9278106918459818E-2</v>
      </c>
    </row>
    <row r="33" spans="2:15">
      <c r="B33" s="53" t="s">
        <v>32</v>
      </c>
      <c r="C33" s="54"/>
      <c r="D33" s="54"/>
      <c r="E33" s="54"/>
      <c r="F33" s="40">
        <f>F34+F35</f>
        <v>16609.696419</v>
      </c>
      <c r="I33" s="55" t="s">
        <v>33</v>
      </c>
      <c r="J33" s="56">
        <v>8.0000000000000002E-3</v>
      </c>
      <c r="K33" s="57">
        <f t="dataTable" ref="K33:O37" dt2D="1" dtr="1" r1="F43" r2="F44"/>
        <v>3860044.3364905757</v>
      </c>
      <c r="L33" s="57">
        <v>3912368.8110687481</v>
      </c>
      <c r="M33" s="58">
        <v>3965984.5520675415</v>
      </c>
      <c r="N33" s="57">
        <v>4020938.8373945151</v>
      </c>
      <c r="O33" s="57">
        <v>4077281.2729911255</v>
      </c>
    </row>
    <row r="34" spans="2:15">
      <c r="B34" s="41" t="s">
        <v>34</v>
      </c>
      <c r="C34" s="42"/>
      <c r="D34" s="42"/>
      <c r="E34" s="42"/>
      <c r="F34" s="18"/>
      <c r="I34" s="59"/>
      <c r="J34" s="56">
        <v>8.9999999999999993E-3</v>
      </c>
      <c r="K34" s="57">
        <v>3901462.0093208607</v>
      </c>
      <c r="L34" s="57">
        <v>3954909.4363783011</v>
      </c>
      <c r="M34" s="58">
        <v>4009691.1278956579</v>
      </c>
      <c r="N34" s="57">
        <v>4065856.5306501733</v>
      </c>
      <c r="O34" s="57">
        <v>4123457.5565215689</v>
      </c>
    </row>
    <row r="35" spans="2:15">
      <c r="B35" s="48" t="s">
        <v>35</v>
      </c>
      <c r="C35" s="49"/>
      <c r="D35" s="49"/>
      <c r="E35" s="49"/>
      <c r="F35" s="15">
        <v>16609.696419</v>
      </c>
      <c r="I35" s="59"/>
      <c r="J35" s="56">
        <v>0.01</v>
      </c>
      <c r="K35" s="58">
        <v>3943874.3654926112</v>
      </c>
      <c r="L35" s="58">
        <v>3998484.1308200406</v>
      </c>
      <c r="M35" s="60">
        <v>4054473.1858550692</v>
      </c>
      <c r="N35" s="58">
        <v>4111893.2760354821</v>
      </c>
      <c r="O35" s="58">
        <v>4170798.7589766765</v>
      </c>
    </row>
    <row r="36" spans="2:15">
      <c r="B36" s="53" t="s">
        <v>36</v>
      </c>
      <c r="C36" s="54"/>
      <c r="D36" s="54"/>
      <c r="E36" s="54"/>
      <c r="F36" s="40">
        <f>F38-F37</f>
        <v>1915663.0613269999</v>
      </c>
      <c r="I36" s="59"/>
      <c r="J36" s="56">
        <v>1.0999999999999999E-2</v>
      </c>
      <c r="K36" s="57">
        <v>3987317.6728556352</v>
      </c>
      <c r="L36" s="57">
        <v>4043131.0622046348</v>
      </c>
      <c r="M36" s="58">
        <v>4100370.9168087328</v>
      </c>
      <c r="N36" s="57">
        <v>4159091.4201265536</v>
      </c>
      <c r="O36" s="57">
        <v>4219349.5257485183</v>
      </c>
    </row>
    <row r="37" spans="2:15">
      <c r="B37" s="41" t="s">
        <v>37</v>
      </c>
      <c r="C37" s="42"/>
      <c r="D37" s="42"/>
      <c r="E37" s="42"/>
      <c r="F37" s="18">
        <v>138777.52366400001</v>
      </c>
      <c r="I37" s="61"/>
      <c r="J37" s="56">
        <v>1.2E-2</v>
      </c>
      <c r="K37" s="57">
        <v>4031829.9841364473</v>
      </c>
      <c r="L37" s="57">
        <v>4088890.3001220692</v>
      </c>
      <c r="M37" s="58">
        <v>4147426.5394613231</v>
      </c>
      <c r="N37" s="57">
        <v>4207495.4734034548</v>
      </c>
      <c r="O37" s="57">
        <v>4269156.8131238772</v>
      </c>
    </row>
    <row r="38" spans="2:15">
      <c r="B38" s="48" t="s">
        <v>38</v>
      </c>
      <c r="C38" s="49"/>
      <c r="D38" s="49"/>
      <c r="E38" s="49"/>
      <c r="F38" s="15">
        <v>2054440.5849909999</v>
      </c>
    </row>
    <row r="39" spans="2:15">
      <c r="B39" s="62" t="s">
        <v>39</v>
      </c>
      <c r="C39" s="63"/>
      <c r="D39" s="63"/>
      <c r="E39" s="63"/>
      <c r="F39" s="64">
        <f>F30+F33-F36</f>
        <v>2155419.8209470697</v>
      </c>
    </row>
    <row r="42" spans="2:15">
      <c r="B42" s="11" t="s">
        <v>40</v>
      </c>
      <c r="C42" s="11"/>
      <c r="D42" s="11"/>
      <c r="E42" s="11"/>
      <c r="F42" s="11"/>
    </row>
    <row r="43" spans="2:15">
      <c r="B43" s="65" t="s">
        <v>41</v>
      </c>
      <c r="C43" s="66"/>
      <c r="D43" s="66"/>
      <c r="E43" s="66"/>
      <c r="F43" s="67">
        <v>9.127810691845982E-2</v>
      </c>
    </row>
    <row r="44" spans="2:15">
      <c r="B44" s="68" t="s">
        <v>42</v>
      </c>
      <c r="C44" s="14"/>
      <c r="D44" s="14"/>
      <c r="E44" s="14"/>
      <c r="F44" s="69">
        <v>0.01</v>
      </c>
    </row>
    <row r="45" spans="2:15">
      <c r="B45" s="4"/>
      <c r="C45" s="4"/>
      <c r="D45" s="4"/>
      <c r="E45" s="4"/>
      <c r="F45" s="4"/>
    </row>
    <row r="46" spans="2:15">
      <c r="B46" s="4"/>
      <c r="C46" s="4"/>
      <c r="D46" s="4"/>
      <c r="E46" s="4"/>
      <c r="F46" s="4"/>
      <c r="G46" s="4"/>
    </row>
    <row r="47" spans="2:15">
      <c r="B47" s="4"/>
      <c r="C47" s="4"/>
      <c r="D47" s="4"/>
      <c r="E47" s="4"/>
      <c r="F47" s="4"/>
      <c r="G47" s="4"/>
    </row>
    <row r="48" spans="2:15">
      <c r="B48" s="4"/>
      <c r="C48" s="4"/>
      <c r="D48" s="4"/>
      <c r="E48" s="4"/>
      <c r="F48" s="4"/>
      <c r="G48" s="4"/>
    </row>
    <row r="49" spans="2:17">
      <c r="B49" s="4"/>
      <c r="C49" s="4"/>
      <c r="D49" s="4"/>
      <c r="E49" s="4"/>
      <c r="F49" s="4"/>
      <c r="G49" s="4"/>
    </row>
    <row r="50" spans="2:17">
      <c r="B50" s="4"/>
      <c r="C50" s="4"/>
      <c r="D50" s="4"/>
      <c r="E50" s="4"/>
      <c r="F50" s="4"/>
      <c r="G50" s="4"/>
    </row>
    <row r="51" spans="2:17">
      <c r="B51" s="4"/>
      <c r="C51" s="4"/>
      <c r="D51" s="4"/>
      <c r="E51" s="4"/>
      <c r="F51" s="4"/>
      <c r="G51" s="4"/>
    </row>
    <row r="52" spans="2:17">
      <c r="B52" s="4"/>
      <c r="C52" s="4"/>
      <c r="D52" s="4"/>
      <c r="E52" s="4"/>
      <c r="F52" s="4"/>
      <c r="G52" s="4"/>
    </row>
    <row r="54" spans="2:17">
      <c r="B54" s="70" t="s">
        <v>43</v>
      </c>
      <c r="C54" s="71"/>
      <c r="D54" s="71"/>
      <c r="E54" s="71"/>
      <c r="F54" s="71"/>
      <c r="G54" s="71"/>
      <c r="H54" s="71"/>
      <c r="I54" s="71"/>
      <c r="J54" s="71">
        <f>J11</f>
        <v>44435.269662112245</v>
      </c>
      <c r="K54" s="71">
        <f t="shared" ref="K54:Q54" si="11">K11</f>
        <v>145517.21851011243</v>
      </c>
      <c r="L54" s="71">
        <f t="shared" si="11"/>
        <v>212686.60155939683</v>
      </c>
      <c r="M54" s="71">
        <f t="shared" si="11"/>
        <v>261956.85743200831</v>
      </c>
      <c r="N54" s="71">
        <f t="shared" si="11"/>
        <v>330374.09821103379</v>
      </c>
      <c r="O54" s="71">
        <f t="shared" si="11"/>
        <v>426039.59650172287</v>
      </c>
      <c r="P54" s="71">
        <f t="shared" si="11"/>
        <v>527282.15956011007</v>
      </c>
      <c r="Q54" s="72">
        <f t="shared" si="11"/>
        <v>532554.98115571076</v>
      </c>
    </row>
    <row r="55" spans="2:17">
      <c r="B55" s="73" t="s">
        <v>44</v>
      </c>
      <c r="C55" s="74">
        <v>9.9000000000000005E-2</v>
      </c>
      <c r="D55" s="75">
        <v>0</v>
      </c>
      <c r="E55" s="75"/>
      <c r="F55" s="75"/>
      <c r="G55" s="75"/>
      <c r="H55" s="75"/>
      <c r="I55" s="75"/>
      <c r="J55" s="75">
        <f>MAX(IF(J$54&gt;$D$56,$D$56*$C$55,J$54*$C$55),0)</f>
        <v>19.8</v>
      </c>
      <c r="K55" s="75">
        <f t="shared" ref="K55:Q55" si="12">MAX(IF(K$54&gt;$D$56,$D$56*$C$55,K$54*$C$55),0)</f>
        <v>19.8</v>
      </c>
      <c r="L55" s="75">
        <f t="shared" si="12"/>
        <v>19.8</v>
      </c>
      <c r="M55" s="75">
        <f t="shared" si="12"/>
        <v>19.8</v>
      </c>
      <c r="N55" s="75">
        <f t="shared" si="12"/>
        <v>19.8</v>
      </c>
      <c r="O55" s="75">
        <f t="shared" si="12"/>
        <v>19.8</v>
      </c>
      <c r="P55" s="75">
        <f t="shared" si="12"/>
        <v>19.8</v>
      </c>
      <c r="Q55" s="76">
        <f t="shared" si="12"/>
        <v>19.8</v>
      </c>
    </row>
    <row r="56" spans="2:17">
      <c r="B56" s="73" t="s">
        <v>45</v>
      </c>
      <c r="C56" s="74">
        <v>0.20899999999999999</v>
      </c>
      <c r="D56" s="75">
        <v>200</v>
      </c>
      <c r="E56" s="75"/>
      <c r="F56" s="75"/>
      <c r="G56" s="75"/>
      <c r="H56" s="75"/>
      <c r="I56" s="75"/>
      <c r="J56" s="75">
        <f>MAX(IF(J$54&gt;$D$57,($D$57-$D$56)*$C$56,(J$54-$D$56)*$C$56),0)</f>
        <v>4138.2</v>
      </c>
      <c r="K56" s="75">
        <f t="shared" ref="K56:Q56" si="13">MAX(IF(K$54&gt;$D$57,($D$57-$D$56)*$C$56,(K$54-$D$56)*$C$56),0)</f>
        <v>4138.2</v>
      </c>
      <c r="L56" s="75">
        <f t="shared" si="13"/>
        <v>4138.2</v>
      </c>
      <c r="M56" s="75">
        <f t="shared" si="13"/>
        <v>4138.2</v>
      </c>
      <c r="N56" s="75">
        <f t="shared" si="13"/>
        <v>4138.2</v>
      </c>
      <c r="O56" s="75">
        <f t="shared" si="13"/>
        <v>4138.2</v>
      </c>
      <c r="P56" s="75">
        <f t="shared" si="13"/>
        <v>4138.2</v>
      </c>
      <c r="Q56" s="76">
        <f t="shared" si="13"/>
        <v>4138.2</v>
      </c>
    </row>
    <row r="57" spans="2:17">
      <c r="B57" s="73" t="s">
        <v>46</v>
      </c>
      <c r="C57" s="74">
        <v>0.23100000000000001</v>
      </c>
      <c r="D57" s="75">
        <v>20000</v>
      </c>
      <c r="E57" s="75"/>
      <c r="F57" s="75"/>
      <c r="G57" s="75"/>
      <c r="H57" s="75"/>
      <c r="I57" s="75"/>
      <c r="J57" s="75">
        <f>MAX(IF(J$54&gt;$D$58,($D$58-$D$57)*$C$57,(J$54-$D$57)*$C$57),0)</f>
        <v>5644.5472919479289</v>
      </c>
      <c r="K57" s="75">
        <f t="shared" ref="K57:Q57" si="14">MAX(IF(K$54&gt;$D$58,($D$58-$D$57)*$C$57,(K$54-$D$57)*$C$57),0)</f>
        <v>28994.477475835974</v>
      </c>
      <c r="L57" s="75">
        <f t="shared" si="14"/>
        <v>44510.604960220669</v>
      </c>
      <c r="M57" s="75">
        <f t="shared" si="14"/>
        <v>55892.034066793924</v>
      </c>
      <c r="N57" s="75">
        <f t="shared" si="14"/>
        <v>64680</v>
      </c>
      <c r="O57" s="75">
        <f t="shared" si="14"/>
        <v>64680</v>
      </c>
      <c r="P57" s="75">
        <f t="shared" si="14"/>
        <v>64680</v>
      </c>
      <c r="Q57" s="76">
        <f t="shared" si="14"/>
        <v>64680</v>
      </c>
    </row>
    <row r="58" spans="2:17">
      <c r="B58" s="77" t="s">
        <v>47</v>
      </c>
      <c r="C58" s="78">
        <v>0.26400000000000001</v>
      </c>
      <c r="D58" s="79">
        <v>300000</v>
      </c>
      <c r="E58" s="79"/>
      <c r="F58" s="79"/>
      <c r="G58" s="79"/>
      <c r="H58" s="79"/>
      <c r="I58" s="79"/>
      <c r="J58" s="79">
        <f>IF(J$54&gt;$D$58,(J$54-$D$58)*$C$58,0)</f>
        <v>0</v>
      </c>
      <c r="K58" s="79">
        <f t="shared" ref="K58:Q58" si="15">IF(K$54&gt;$D$58,(K$54-$D$58)*$C$58,0)</f>
        <v>0</v>
      </c>
      <c r="L58" s="79">
        <f t="shared" si="15"/>
        <v>0</v>
      </c>
      <c r="M58" s="79">
        <f t="shared" si="15"/>
        <v>0</v>
      </c>
      <c r="N58" s="79">
        <f t="shared" si="15"/>
        <v>8018.7619277129215</v>
      </c>
      <c r="O58" s="79">
        <f t="shared" si="15"/>
        <v>33274.453476454837</v>
      </c>
      <c r="P58" s="79">
        <f t="shared" si="15"/>
        <v>60002.490123869058</v>
      </c>
      <c r="Q58" s="80">
        <f t="shared" si="15"/>
        <v>61394.515025107641</v>
      </c>
    </row>
    <row r="62" spans="2:17">
      <c r="K62" s="81"/>
      <c r="L62" s="81"/>
      <c r="M62" s="81"/>
      <c r="N62" s="81"/>
      <c r="O62" s="81"/>
      <c r="P62" s="81"/>
      <c r="Q62" s="8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3802-17D9-47EE-B3B9-72529D95F142}">
  <sheetPr>
    <tabColor theme="0" tint="-0.499984740745262"/>
  </sheetPr>
  <dimension ref="B1:Q142"/>
  <sheetViews>
    <sheetView zoomScale="70" zoomScaleNormal="70" workbookViewId="0">
      <pane xSplit="3" ySplit="4" topLeftCell="D5" activePane="bottomRight" state="frozen"/>
      <selection activeCell="K33" sqref="K33:O37"/>
      <selection pane="topRight" activeCell="K33" sqref="K33:O37"/>
      <selection pane="bottomLeft" activeCell="K33" sqref="K33:O37"/>
      <selection pane="bottomRight" activeCell="D5" sqref="D5"/>
    </sheetView>
  </sheetViews>
  <sheetFormatPr defaultRowHeight="15.6" outlineLevelRow="1" outlineLevelCol="1"/>
  <cols>
    <col min="1" max="1" width="2.6640625" style="9" customWidth="1"/>
    <col min="2" max="2" width="29.21875" style="9" customWidth="1"/>
    <col min="3" max="10" width="15.33203125" style="9" customWidth="1"/>
    <col min="11" max="11" width="15.33203125" style="9" customWidth="1" outlineLevel="1"/>
    <col min="12" max="17" width="15.33203125" style="9" customWidth="1"/>
    <col min="18" max="16384" width="8.88671875" style="9"/>
  </cols>
  <sheetData>
    <row r="1" spans="2:17" s="4" customFormat="1">
      <c r="B1" s="1" t="s">
        <v>0</v>
      </c>
      <c r="C1" s="2" t="s">
        <v>1</v>
      </c>
      <c r="D1" s="3">
        <f>DCF!F30</f>
        <v>4054473.1858550692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s="4" customFormat="1">
      <c r="B2" s="2" t="s">
        <v>48</v>
      </c>
      <c r="C2" s="2" t="s">
        <v>26</v>
      </c>
      <c r="D2" s="3">
        <f>DCF!$F$39</f>
        <v>2155419.8209470697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s="4" customFormat="1">
      <c r="B3" s="5"/>
      <c r="C3" s="5"/>
      <c r="D3" s="6"/>
      <c r="E3" s="6">
        <v>2018</v>
      </c>
      <c r="F3" s="6">
        <v>2019</v>
      </c>
      <c r="G3" s="6">
        <v>2020</v>
      </c>
      <c r="H3" s="6">
        <v>2021</v>
      </c>
      <c r="I3" s="6">
        <v>2022</v>
      </c>
      <c r="J3" s="6">
        <v>2022</v>
      </c>
      <c r="K3" s="6">
        <v>2022</v>
      </c>
      <c r="L3" s="6">
        <v>2023</v>
      </c>
      <c r="M3" s="6">
        <v>2024</v>
      </c>
      <c r="N3" s="6">
        <v>2025</v>
      </c>
      <c r="O3" s="6">
        <v>2026</v>
      </c>
      <c r="P3" s="6">
        <v>2027</v>
      </c>
      <c r="Q3" s="6" t="s">
        <v>3</v>
      </c>
    </row>
    <row r="4" spans="2:17" s="4" customFormat="1">
      <c r="B4" s="7" t="s">
        <v>4</v>
      </c>
      <c r="C4" s="7"/>
      <c r="D4" s="8"/>
      <c r="E4" s="8" t="s">
        <v>5</v>
      </c>
      <c r="F4" s="8" t="s">
        <v>5</v>
      </c>
      <c r="G4" s="8" t="s">
        <v>5</v>
      </c>
      <c r="H4" s="8" t="s">
        <v>5</v>
      </c>
      <c r="I4" s="8" t="s">
        <v>6</v>
      </c>
      <c r="J4" s="8" t="s">
        <v>7</v>
      </c>
      <c r="K4" s="8" t="s">
        <v>5</v>
      </c>
      <c r="L4" s="8" t="s">
        <v>5</v>
      </c>
      <c r="M4" s="8" t="s">
        <v>5</v>
      </c>
      <c r="N4" s="8" t="s">
        <v>5</v>
      </c>
      <c r="O4" s="8" t="s">
        <v>5</v>
      </c>
      <c r="P4" s="8" t="s">
        <v>5</v>
      </c>
      <c r="Q4" s="8"/>
    </row>
    <row r="6" spans="2:17">
      <c r="B6" s="11" t="s">
        <v>49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2:17">
      <c r="I7" s="10"/>
      <c r="L7" s="10"/>
      <c r="M7" s="10"/>
      <c r="N7" s="10"/>
      <c r="O7" s="10"/>
      <c r="P7" s="10"/>
    </row>
    <row r="8" spans="2:17">
      <c r="B8" s="12" t="s">
        <v>9</v>
      </c>
      <c r="C8" s="12"/>
      <c r="D8" s="12"/>
      <c r="E8" s="12">
        <f t="shared" ref="E8:Q8" si="0">SUM(E9,E12,E19,E23,E29,E35)</f>
        <v>1003444.000303</v>
      </c>
      <c r="F8" s="12">
        <f t="shared" si="0"/>
        <v>1179454.4448230001</v>
      </c>
      <c r="G8" s="12">
        <f t="shared" si="0"/>
        <v>1327150.42298</v>
      </c>
      <c r="H8" s="12">
        <f t="shared" si="0"/>
        <v>1549714.140559</v>
      </c>
      <c r="I8" s="13">
        <f t="shared" si="0"/>
        <v>1290462.7897739999</v>
      </c>
      <c r="J8" s="12">
        <f t="shared" si="0"/>
        <v>457792.04757180525</v>
      </c>
      <c r="K8" s="12">
        <f t="shared" si="0"/>
        <v>1748254.8373458053</v>
      </c>
      <c r="L8" s="12">
        <f t="shared" si="0"/>
        <v>1997181.8367222683</v>
      </c>
      <c r="M8" s="12">
        <f t="shared" si="0"/>
        <v>2238931.0078537022</v>
      </c>
      <c r="N8" s="12">
        <f t="shared" si="0"/>
        <v>2509910.9613563693</v>
      </c>
      <c r="O8" s="12">
        <f t="shared" si="0"/>
        <v>2808141.4939019615</v>
      </c>
      <c r="P8" s="12">
        <f t="shared" si="0"/>
        <v>3125307.7596718711</v>
      </c>
      <c r="Q8" s="12">
        <f t="shared" si="0"/>
        <v>3156560.8372685895</v>
      </c>
    </row>
    <row r="9" spans="2:17">
      <c r="B9" s="42" t="s">
        <v>50</v>
      </c>
      <c r="C9" s="4"/>
      <c r="D9" s="4"/>
      <c r="E9" s="4">
        <f t="shared" ref="E9:G9" si="1">SUM(E10:E11)</f>
        <v>728810.19300199999</v>
      </c>
      <c r="F9" s="4">
        <f t="shared" si="1"/>
        <v>854728.16145899985</v>
      </c>
      <c r="G9" s="4">
        <f t="shared" si="1"/>
        <v>883765.16891200002</v>
      </c>
      <c r="H9" s="4">
        <f t="shared" ref="H9:Q9" si="2">SUM(H10:H11)</f>
        <v>920800.67520700023</v>
      </c>
      <c r="I9" s="18">
        <f t="shared" si="2"/>
        <v>727654.08179300011</v>
      </c>
      <c r="J9" s="4">
        <f t="shared" si="2"/>
        <v>251288.3538499116</v>
      </c>
      <c r="K9" s="4">
        <f t="shared" si="2"/>
        <v>978942.4356429117</v>
      </c>
      <c r="L9" s="4">
        <f t="shared" si="2"/>
        <v>1023437.492830544</v>
      </c>
      <c r="M9" s="4">
        <f t="shared" si="2"/>
        <v>1066283.7861795495</v>
      </c>
      <c r="N9" s="4">
        <f t="shared" si="2"/>
        <v>1110266.2568036967</v>
      </c>
      <c r="O9" s="4">
        <f t="shared" si="2"/>
        <v>1157419.1821103788</v>
      </c>
      <c r="P9" s="4">
        <f t="shared" si="2"/>
        <v>1205840.4557092774</v>
      </c>
      <c r="Q9" s="4">
        <f t="shared" si="2"/>
        <v>1217898.8602663702</v>
      </c>
    </row>
    <row r="10" spans="2:17" outlineLevel="1">
      <c r="B10" s="82" t="s">
        <v>51</v>
      </c>
      <c r="E10" s="9">
        <f>'Physical Security'!E9</f>
        <v>539548.51561100001</v>
      </c>
      <c r="F10" s="9">
        <f>'Physical Security'!F9</f>
        <v>654210.80100899993</v>
      </c>
      <c r="G10" s="9">
        <f>'Physical Security'!G9</f>
        <v>661315.56915300002</v>
      </c>
      <c r="H10" s="9">
        <f>'Physical Security'!H9</f>
        <v>681446.47678500018</v>
      </c>
      <c r="I10" s="83">
        <f>'Physical Security'!I9</f>
        <v>534137.00264100009</v>
      </c>
      <c r="J10" s="9">
        <f>'Physical Security'!J9</f>
        <v>186782.66079924491</v>
      </c>
      <c r="K10" s="9">
        <f>'Physical Security'!K9</f>
        <v>720919.66344024497</v>
      </c>
      <c r="L10" s="9">
        <f>'Physical Security'!L9</f>
        <v>751181.67722302023</v>
      </c>
      <c r="M10" s="9">
        <f>'Physical Security'!M9</f>
        <v>784085.56049893249</v>
      </c>
      <c r="N10" s="9">
        <f>'Physical Security'!N9</f>
        <v>816614.33873735147</v>
      </c>
      <c r="O10" s="9">
        <f>'Physical Security'!O9</f>
        <v>849160.39266272227</v>
      </c>
      <c r="P10" s="9">
        <f>'Physical Security'!P9</f>
        <v>881621.10127040558</v>
      </c>
      <c r="Q10" s="9">
        <f>'Physical Security'!Q9</f>
        <v>890437.31228310964</v>
      </c>
    </row>
    <row r="11" spans="2:17" outlineLevel="1">
      <c r="B11" s="82" t="s">
        <v>52</v>
      </c>
      <c r="E11" s="9">
        <f>'Physical Security'!E12</f>
        <v>189261.677391</v>
      </c>
      <c r="F11" s="9">
        <f>'Physical Security'!F12</f>
        <v>200517.36044999998</v>
      </c>
      <c r="G11" s="9">
        <f>'Physical Security'!G12</f>
        <v>222449.599759</v>
      </c>
      <c r="H11" s="9">
        <f>'Physical Security'!H12</f>
        <v>239354.19842199999</v>
      </c>
      <c r="I11" s="83">
        <f>'Physical Security'!I12</f>
        <v>193517.07915200002</v>
      </c>
      <c r="J11" s="9">
        <f>'Physical Security'!J12</f>
        <v>64505.693050666683</v>
      </c>
      <c r="K11" s="9">
        <f>'Physical Security'!K12</f>
        <v>258022.7722026667</v>
      </c>
      <c r="L11" s="9">
        <f>'Physical Security'!L12</f>
        <v>272255.81560752384</v>
      </c>
      <c r="M11" s="9">
        <f>'Physical Security'!M12</f>
        <v>282198.22568061698</v>
      </c>
      <c r="N11" s="9">
        <f>'Physical Security'!N12</f>
        <v>293651.91806634527</v>
      </c>
      <c r="O11" s="9">
        <f>'Physical Security'!O12</f>
        <v>308258.78944765648</v>
      </c>
      <c r="P11" s="9">
        <f>'Physical Security'!P12</f>
        <v>324219.35443887184</v>
      </c>
      <c r="Q11" s="9">
        <f>'Physical Security'!Q12</f>
        <v>327461.54798326059</v>
      </c>
    </row>
    <row r="12" spans="2:17">
      <c r="B12" s="42" t="s">
        <v>54</v>
      </c>
      <c r="E12" s="9">
        <f t="shared" ref="E12:G12" si="3">SUM(E13:E18)</f>
        <v>232438.53923999998</v>
      </c>
      <c r="F12" s="9">
        <f t="shared" si="3"/>
        <v>250640.81579799997</v>
      </c>
      <c r="G12" s="9">
        <f t="shared" si="3"/>
        <v>287091.8143391792</v>
      </c>
      <c r="H12" s="9">
        <f t="shared" ref="H12:Q12" si="4">SUM(H13:H18)</f>
        <v>336886.20366409182</v>
      </c>
      <c r="I12" s="83">
        <f t="shared" si="4"/>
        <v>270623.50515851454</v>
      </c>
      <c r="J12" s="9">
        <f t="shared" si="4"/>
        <v>94472.468238644637</v>
      </c>
      <c r="K12" s="4">
        <f t="shared" si="4"/>
        <v>365095.97339715925</v>
      </c>
      <c r="L12" s="9">
        <f t="shared" si="4"/>
        <v>434222.14337929059</v>
      </c>
      <c r="M12" s="9">
        <f t="shared" si="4"/>
        <v>492955.48969179863</v>
      </c>
      <c r="N12" s="9">
        <f t="shared" si="4"/>
        <v>562469.56400711462</v>
      </c>
      <c r="O12" s="9">
        <f t="shared" si="4"/>
        <v>646092.31655765686</v>
      </c>
      <c r="P12" s="9">
        <f t="shared" si="4"/>
        <v>748859.93914132635</v>
      </c>
      <c r="Q12" s="9">
        <f t="shared" si="4"/>
        <v>756348.53853273962</v>
      </c>
    </row>
    <row r="13" spans="2:17" outlineLevel="1">
      <c r="B13" s="82" t="s">
        <v>55</v>
      </c>
      <c r="E13" s="9">
        <f>CyberSecurity!E9</f>
        <v>53601.803827000003</v>
      </c>
      <c r="F13" s="9">
        <f>CyberSecurity!F9</f>
        <v>44808.236005999992</v>
      </c>
      <c r="G13" s="9">
        <f>CyberSecurity!G9</f>
        <v>52451.477335296004</v>
      </c>
      <c r="H13" s="9">
        <f>CyberSecurity!H9</f>
        <v>59523.371739358496</v>
      </c>
      <c r="I13" s="83">
        <f>CyberSecurity!I9</f>
        <v>47013.683221895277</v>
      </c>
      <c r="J13" s="9">
        <f>CyberSecurity!J9</f>
        <v>15671.227740631759</v>
      </c>
      <c r="K13" s="9">
        <f>CyberSecurity!K9</f>
        <v>62684.910962527036</v>
      </c>
      <c r="L13" s="9">
        <f>CyberSecurity!L9</f>
        <v>70021.973683319477</v>
      </c>
      <c r="M13" s="9">
        <f>CyberSecurity!M9</f>
        <v>77026.798358115164</v>
      </c>
      <c r="N13" s="9">
        <f>CyberSecurity!N9</f>
        <v>84453.161253320301</v>
      </c>
      <c r="O13" s="9">
        <f>CyberSecurity!O9</f>
        <v>92162.657626172222</v>
      </c>
      <c r="P13" s="9">
        <f>CyberSecurity!P9</f>
        <v>100149.44865995296</v>
      </c>
      <c r="Q13" s="9">
        <f>CyberSecurity!Q9</f>
        <v>101150.9431465525</v>
      </c>
    </row>
    <row r="14" spans="2:17" outlineLevel="1">
      <c r="B14" s="82" t="s">
        <v>56</v>
      </c>
      <c r="E14" s="9">
        <f>CyberSecurity!E12</f>
        <v>62574.981631000002</v>
      </c>
      <c r="F14" s="9">
        <f>CyberSecurity!F12</f>
        <v>68953.197505000004</v>
      </c>
      <c r="G14" s="9">
        <f>CyberSecurity!G12</f>
        <v>76969.977826390386</v>
      </c>
      <c r="H14" s="9">
        <f>CyberSecurity!H12</f>
        <v>86466.045259773397</v>
      </c>
      <c r="I14" s="83">
        <f>CyberSecurity!I12</f>
        <v>75621.809288212797</v>
      </c>
      <c r="J14" s="9">
        <f>CyberSecurity!J12</f>
        <v>26152.742254922672</v>
      </c>
      <c r="K14" s="9">
        <f>CyberSecurity!K12</f>
        <v>101774.55154313547</v>
      </c>
      <c r="L14" s="9">
        <f>CyberSecurity!L12</f>
        <v>108734.5338984113</v>
      </c>
      <c r="M14" s="9">
        <f>CyberSecurity!M12</f>
        <v>114165.88591615914</v>
      </c>
      <c r="N14" s="9">
        <f>CyberSecurity!N12</f>
        <v>120241.32621802035</v>
      </c>
      <c r="O14" s="9">
        <f>CyberSecurity!O12</f>
        <v>127656.10492573331</v>
      </c>
      <c r="P14" s="9">
        <f>CyberSecurity!P12</f>
        <v>135692.03149414397</v>
      </c>
      <c r="Q14" s="9">
        <f>CyberSecurity!Q12</f>
        <v>137048.95180908541</v>
      </c>
    </row>
    <row r="15" spans="2:17" outlineLevel="1">
      <c r="B15" s="82" t="s">
        <v>57</v>
      </c>
      <c r="E15" s="9">
        <f>CyberSecurity!E13</f>
        <v>21096.761630000001</v>
      </c>
      <c r="F15" s="9">
        <f>CyberSecurity!F13</f>
        <v>21002.015141999997</v>
      </c>
      <c r="G15" s="9">
        <f>CyberSecurity!G13</f>
        <v>24651.491547000005</v>
      </c>
      <c r="H15" s="9">
        <f>CyberSecurity!H13</f>
        <v>26815.151562999999</v>
      </c>
      <c r="I15" s="83">
        <f>CyberSecurity!I13</f>
        <v>22960.914301999997</v>
      </c>
      <c r="J15" s="9">
        <f>CyberSecurity!J13</f>
        <v>8423.9718056038964</v>
      </c>
      <c r="K15" s="9">
        <f>CyberSecurity!K13</f>
        <v>31384.886107603896</v>
      </c>
      <c r="L15" s="9">
        <f>CyberSecurity!L13</f>
        <v>36299.118155616365</v>
      </c>
      <c r="M15" s="9">
        <f>CyberSecurity!M13</f>
        <v>38562.792949533628</v>
      </c>
      <c r="N15" s="9">
        <f>CyberSecurity!N13</f>
        <v>41059.930541959548</v>
      </c>
      <c r="O15" s="9">
        <f>CyberSecurity!O13</f>
        <v>43869.395907042337</v>
      </c>
      <c r="P15" s="9">
        <f>CyberSecurity!P13</f>
        <v>47079.173374240941</v>
      </c>
      <c r="Q15" s="9">
        <f>CyberSecurity!Q13</f>
        <v>47549.965107983349</v>
      </c>
    </row>
    <row r="16" spans="2:17" outlineLevel="1">
      <c r="B16" s="82" t="s">
        <v>58</v>
      </c>
      <c r="E16" s="9">
        <f>CyberSecurity!E14</f>
        <v>75607.743982</v>
      </c>
      <c r="F16" s="9">
        <f>CyberSecurity!F14</f>
        <v>92325.225107999999</v>
      </c>
      <c r="G16" s="9">
        <f>CyberSecurity!G14</f>
        <v>106856.97310184001</v>
      </c>
      <c r="H16" s="9">
        <f>CyberSecurity!H14</f>
        <v>133642.0993113071</v>
      </c>
      <c r="I16" s="83">
        <f>CyberSecurity!I14</f>
        <v>100426.1539958753</v>
      </c>
      <c r="J16" s="9">
        <f>CyberSecurity!J14</f>
        <v>36024.211653975901</v>
      </c>
      <c r="K16" s="9">
        <f>CyberSecurity!K14</f>
        <v>136450.36564985121</v>
      </c>
      <c r="L16" s="9">
        <f>CyberSecurity!L14</f>
        <v>169332.86872876994</v>
      </c>
      <c r="M16" s="9">
        <f>CyberSecurity!M14</f>
        <v>192085.85618813211</v>
      </c>
      <c r="N16" s="9">
        <f>CyberSecurity!N14</f>
        <v>217527.79649883416</v>
      </c>
      <c r="O16" s="9">
        <f>CyberSecurity!O14</f>
        <v>246116.97099636239</v>
      </c>
      <c r="P16" s="9">
        <f>CyberSecurity!P14</f>
        <v>278403.44375761272</v>
      </c>
      <c r="Q16" s="9">
        <f>CyberSecurity!Q14</f>
        <v>281187.47819518886</v>
      </c>
    </row>
    <row r="17" spans="2:17" outlineLevel="1">
      <c r="B17" s="82" t="s">
        <v>59</v>
      </c>
      <c r="E17" s="9">
        <f>CyberSecurity!E17</f>
        <v>19557.248169999995</v>
      </c>
      <c r="F17" s="9">
        <f>CyberSecurity!F17</f>
        <v>23552.142036999998</v>
      </c>
      <c r="G17" s="9">
        <f>CyberSecurity!G17</f>
        <v>26161.894528652796</v>
      </c>
      <c r="H17" s="9">
        <f>CyberSecurity!H17</f>
        <v>30092.869121652802</v>
      </c>
      <c r="I17" s="83">
        <f>CyberSecurity!I17</f>
        <v>24497.611019531199</v>
      </c>
      <c r="J17" s="9">
        <f>CyberSecurity!J17</f>
        <v>8165.8703398437337</v>
      </c>
      <c r="K17" s="9">
        <f>CyberSecurity!K17</f>
        <v>32663.481359374935</v>
      </c>
      <c r="L17" s="9">
        <f>CyberSecurity!L17</f>
        <v>47749.975236996834</v>
      </c>
      <c r="M17" s="9">
        <f>CyberSecurity!M17</f>
        <v>65103.041621378616</v>
      </c>
      <c r="N17" s="9">
        <f>CyberSecurity!N17</f>
        <v>88993.686414871539</v>
      </c>
      <c r="O17" s="9">
        <f>CyberSecurity!O17</f>
        <v>122026.85208051438</v>
      </c>
      <c r="P17" s="9">
        <f>CyberSecurity!P17</f>
        <v>168345.3183743399</v>
      </c>
      <c r="Q17" s="9">
        <f>CyberSecurity!Q17</f>
        <v>170028.7715580833</v>
      </c>
    </row>
    <row r="18" spans="2:17" outlineLevel="1">
      <c r="B18" s="82" t="s">
        <v>60</v>
      </c>
      <c r="E18" s="9">
        <f>CyberSecurity!E21</f>
        <v>0</v>
      </c>
      <c r="F18" s="9">
        <f>CyberSecurity!F21</f>
        <v>0</v>
      </c>
      <c r="G18" s="9">
        <f>CyberSecurity!G21</f>
        <v>0</v>
      </c>
      <c r="H18" s="9">
        <f>CyberSecurity!H21</f>
        <v>346.66666900000001</v>
      </c>
      <c r="I18" s="83">
        <f>CyberSecurity!I21</f>
        <v>103.333331</v>
      </c>
      <c r="J18" s="9">
        <f>CyberSecurity!J21</f>
        <v>34.444443666666665</v>
      </c>
      <c r="K18" s="9">
        <f>CyberSecurity!K21</f>
        <v>137.77777466666666</v>
      </c>
      <c r="L18" s="9">
        <f>CyberSecurity!L21</f>
        <v>2083.6736761766397</v>
      </c>
      <c r="M18" s="9">
        <f>CyberSecurity!M21</f>
        <v>6011.114658479999</v>
      </c>
      <c r="N18" s="9">
        <f>CyberSecurity!N21</f>
        <v>10193.663080108799</v>
      </c>
      <c r="O18" s="9">
        <f>CyberSecurity!O21</f>
        <v>14260.335021832203</v>
      </c>
      <c r="P18" s="9">
        <f>CyberSecurity!P21</f>
        <v>19190.52348103578</v>
      </c>
      <c r="Q18" s="9">
        <f>CyberSecurity!Q21</f>
        <v>19382.428715846137</v>
      </c>
    </row>
    <row r="19" spans="2:17">
      <c r="B19" s="42" t="s">
        <v>61</v>
      </c>
      <c r="E19" s="9">
        <f>SUM(E20:E22)</f>
        <v>53997.946956000007</v>
      </c>
      <c r="F19" s="9">
        <f t="shared" ref="F19:Q19" si="5">SUM(F20:F22)</f>
        <v>69147.807591000004</v>
      </c>
      <c r="G19" s="9">
        <f t="shared" si="5"/>
        <v>131245.59382846716</v>
      </c>
      <c r="H19" s="9">
        <f t="shared" si="5"/>
        <v>248073.1193642976</v>
      </c>
      <c r="I19" s="83">
        <f t="shared" si="5"/>
        <v>221968.32136032538</v>
      </c>
      <c r="J19" s="9">
        <f t="shared" si="5"/>
        <v>89099.832177153279</v>
      </c>
      <c r="K19" s="4">
        <f t="shared" si="5"/>
        <v>311068.15353747865</v>
      </c>
      <c r="L19" s="9">
        <f t="shared" si="5"/>
        <v>402081.05467039288</v>
      </c>
      <c r="M19" s="9">
        <f t="shared" si="5"/>
        <v>476153.07647828921</v>
      </c>
      <c r="N19" s="9">
        <f t="shared" si="5"/>
        <v>542669.78562690516</v>
      </c>
      <c r="O19" s="9">
        <f t="shared" si="5"/>
        <v>604746.77059840062</v>
      </c>
      <c r="P19" s="9">
        <f t="shared" si="5"/>
        <v>663734.47651359288</v>
      </c>
      <c r="Q19" s="9">
        <f t="shared" si="5"/>
        <v>670371.82127872878</v>
      </c>
    </row>
    <row r="20" spans="2:17" outlineLevel="1">
      <c r="B20" s="84" t="s">
        <v>62</v>
      </c>
      <c r="E20" s="9">
        <f>'Converged Security'!E9</f>
        <v>0</v>
      </c>
      <c r="F20" s="9">
        <f>'Converged Security'!F9</f>
        <v>0</v>
      </c>
      <c r="G20" s="9">
        <f>'Converged Security'!G9</f>
        <v>40787.869726000004</v>
      </c>
      <c r="H20" s="9">
        <f>'Converged Security'!H9</f>
        <v>155086.03394700002</v>
      </c>
      <c r="I20" s="83">
        <f>'Converged Security'!I9</f>
        <v>140093.934457</v>
      </c>
      <c r="J20" s="9">
        <f>'Converged Security'!J9</f>
        <v>61476.035098954017</v>
      </c>
      <c r="K20" s="9">
        <f>'Converged Security'!K9</f>
        <v>201569.96955595401</v>
      </c>
      <c r="L20" s="9">
        <f>'Converged Security'!L9</f>
        <v>300694.65503900853</v>
      </c>
      <c r="M20" s="9">
        <f>'Converged Security'!M9</f>
        <v>355312.24679359066</v>
      </c>
      <c r="N20" s="9">
        <f>'Converged Security'!N9</f>
        <v>400620.50214758271</v>
      </c>
      <c r="O20" s="9">
        <f>'Converged Security'!O9</f>
        <v>437741.9126287821</v>
      </c>
      <c r="P20" s="9">
        <f>'Converged Security'!P9</f>
        <v>477540.62502866285</v>
      </c>
      <c r="Q20" s="9">
        <f>'Converged Security'!Q9</f>
        <v>482316.03127894946</v>
      </c>
    </row>
    <row r="21" spans="2:17" outlineLevel="1">
      <c r="B21" s="84" t="s">
        <v>63</v>
      </c>
      <c r="E21" s="9">
        <f>'Converged Security'!E12</f>
        <v>0</v>
      </c>
      <c r="F21" s="9">
        <f>'Converged Security'!F12</f>
        <v>0</v>
      </c>
      <c r="G21" s="9">
        <f>'Converged Security'!G12</f>
        <v>7238.990033</v>
      </c>
      <c r="H21" s="9">
        <f>'Converged Security'!H12</f>
        <v>10923.271363000002</v>
      </c>
      <c r="I21" s="83">
        <f>'Converged Security'!I12</f>
        <v>10060.648226000001</v>
      </c>
      <c r="J21" s="9">
        <f>'Converged Security'!J12</f>
        <v>3685.8841857574698</v>
      </c>
      <c r="K21" s="9">
        <f>'Converged Security'!K12</f>
        <v>13746.532411757471</v>
      </c>
      <c r="L21" s="9">
        <f>'Converged Security'!L12</f>
        <v>23876.444997285595</v>
      </c>
      <c r="M21" s="9">
        <f>'Converged Security'!M12</f>
        <v>35447.770901115568</v>
      </c>
      <c r="N21" s="9">
        <f>'Converged Security'!N12</f>
        <v>49538.342234318552</v>
      </c>
      <c r="O21" s="9">
        <f>'Converged Security'!O12</f>
        <v>66723.984836871285</v>
      </c>
      <c r="P21" s="9">
        <f>'Converged Security'!P12</f>
        <v>77402.741514936512</v>
      </c>
      <c r="Q21" s="9">
        <f>'Converged Security'!Q12</f>
        <v>78176.768930085876</v>
      </c>
    </row>
    <row r="22" spans="2:17" outlineLevel="1">
      <c r="B22" s="84" t="s">
        <v>64</v>
      </c>
      <c r="E22" s="9">
        <f>'Converged Security'!E13</f>
        <v>53997.946956000007</v>
      </c>
      <c r="F22" s="9">
        <f>'Converged Security'!F13</f>
        <v>69147.807591000004</v>
      </c>
      <c r="G22" s="9">
        <f>'Converged Security'!G13</f>
        <v>83218.734069467144</v>
      </c>
      <c r="H22" s="9">
        <f>'Converged Security'!H13</f>
        <v>82063.814054297589</v>
      </c>
      <c r="I22" s="83">
        <f>'Converged Security'!I13</f>
        <v>71813.738677325382</v>
      </c>
      <c r="J22" s="9">
        <f>'Converged Security'!J13</f>
        <v>23937.912892441793</v>
      </c>
      <c r="K22" s="9">
        <f>'Converged Security'!K13</f>
        <v>95751.651569767171</v>
      </c>
      <c r="L22" s="9">
        <f>'Converged Security'!L13</f>
        <v>77509.954634098714</v>
      </c>
      <c r="M22" s="9">
        <f>'Converged Security'!M13</f>
        <v>85393.058783582979</v>
      </c>
      <c r="N22" s="9">
        <f>'Converged Security'!N13</f>
        <v>92510.941245003894</v>
      </c>
      <c r="O22" s="9">
        <f>'Converged Security'!O13</f>
        <v>100280.87313274729</v>
      </c>
      <c r="P22" s="9">
        <f>'Converged Security'!P13</f>
        <v>108791.10996999346</v>
      </c>
      <c r="Q22" s="9">
        <f>'Converged Security'!Q13</f>
        <v>109879.02106969338</v>
      </c>
    </row>
    <row r="23" spans="2:17">
      <c r="B23" s="373" t="s">
        <v>65</v>
      </c>
      <c r="E23" s="9">
        <f>SUM(E24:E28)</f>
        <v>1134.7684850000001</v>
      </c>
      <c r="F23" s="9">
        <f t="shared" ref="F23:Q23" si="6">SUM(F24:F28)</f>
        <v>18642.320240000001</v>
      </c>
      <c r="G23" s="9">
        <f t="shared" si="6"/>
        <v>37787.033001000011</v>
      </c>
      <c r="H23" s="9">
        <f t="shared" si="6"/>
        <v>56561.558567</v>
      </c>
      <c r="I23" s="83">
        <f t="shared" si="6"/>
        <v>76879.377552999998</v>
      </c>
      <c r="J23" s="9">
        <f t="shared" si="6"/>
        <v>26655.676866268685</v>
      </c>
      <c r="K23" s="4">
        <f t="shared" si="6"/>
        <v>103535.05441926868</v>
      </c>
      <c r="L23" s="9">
        <f t="shared" si="6"/>
        <v>153688.85377107403</v>
      </c>
      <c r="M23" s="9">
        <f t="shared" si="6"/>
        <v>221753.06964502501</v>
      </c>
      <c r="N23" s="9">
        <f t="shared" si="6"/>
        <v>314924.27696078637</v>
      </c>
      <c r="O23" s="9">
        <f t="shared" si="6"/>
        <v>422728.34668570303</v>
      </c>
      <c r="P23" s="9">
        <f t="shared" si="6"/>
        <v>532298.25856380793</v>
      </c>
      <c r="Q23" s="9">
        <f t="shared" si="6"/>
        <v>537621.241149446</v>
      </c>
    </row>
    <row r="24" spans="2:17" outlineLevel="1">
      <c r="B24" s="374" t="s">
        <v>66</v>
      </c>
      <c r="E24" s="9">
        <f>'Life Care Services'!E9</f>
        <v>851.835689</v>
      </c>
      <c r="F24" s="9">
        <f>'Life Care Services'!F9</f>
        <v>2778.1461530000001</v>
      </c>
      <c r="G24" s="9">
        <f>'Life Care Services'!G9</f>
        <v>7406.8122089999997</v>
      </c>
      <c r="H24" s="9">
        <f>'Life Care Services'!H9</f>
        <v>15206.89199</v>
      </c>
      <c r="I24" s="83">
        <f>'Life Care Services'!I9</f>
        <v>16194.512715999999</v>
      </c>
      <c r="J24" s="9">
        <f>'Life Care Services'!J9</f>
        <v>7160.2498380000015</v>
      </c>
      <c r="K24" s="9">
        <f>'Life Care Services'!K9</f>
        <v>23354.762554000001</v>
      </c>
      <c r="L24" s="9">
        <f>'Life Care Services'!L9</f>
        <v>37084.749076739223</v>
      </c>
      <c r="M24" s="9">
        <f>'Life Care Services'!M9</f>
        <v>62928.545846922949</v>
      </c>
      <c r="N24" s="9">
        <f>'Life Care Services'!N9</f>
        <v>111125.71438122814</v>
      </c>
      <c r="O24" s="9">
        <f>'Life Care Services'!O9</f>
        <v>176753.81258703041</v>
      </c>
      <c r="P24" s="9">
        <f>'Life Care Services'!P9</f>
        <v>242410.65418276429</v>
      </c>
      <c r="Q24" s="9">
        <f>'Life Care Services'!Q9</f>
        <v>244834.76072459194</v>
      </c>
    </row>
    <row r="25" spans="2:17" outlineLevel="1">
      <c r="B25" s="374" t="s">
        <v>67</v>
      </c>
      <c r="E25" s="9">
        <f>'Life Care Services'!E12</f>
        <v>0</v>
      </c>
      <c r="F25" s="9">
        <f>'Life Care Services'!F12</f>
        <v>0</v>
      </c>
      <c r="G25" s="9">
        <f>'Life Care Services'!G12</f>
        <v>170.45483500000958</v>
      </c>
      <c r="H25" s="9">
        <f>'Life Care Services'!H12</f>
        <v>4034.5532449999996</v>
      </c>
      <c r="I25" s="83">
        <f>'Life Care Services'!I12</f>
        <v>13092.645149000002</v>
      </c>
      <c r="J25" s="9">
        <f>'Life Care Services'!J12</f>
        <v>5241.5704242686834</v>
      </c>
      <c r="K25" s="9">
        <f>'Life Care Services'!K12</f>
        <v>18334.215573268684</v>
      </c>
      <c r="L25" s="9">
        <f>'Life Care Services'!L12</f>
        <v>33638.150015567029</v>
      </c>
      <c r="M25" s="9">
        <f>'Life Care Services'!M12</f>
        <v>39443.426568419498</v>
      </c>
      <c r="N25" s="9">
        <f>'Life Care Services'!N12</f>
        <v>43359.074377778663</v>
      </c>
      <c r="O25" s="9">
        <f>'Life Care Services'!O12</f>
        <v>45685.917939301165</v>
      </c>
      <c r="P25" s="9">
        <f>'Life Care Services'!P12</f>
        <v>47267.984438100451</v>
      </c>
      <c r="Q25" s="9">
        <f>'Life Care Services'!Q12</f>
        <v>47740.664282481455</v>
      </c>
    </row>
    <row r="26" spans="2:17" outlineLevel="1">
      <c r="B26" s="374" t="s">
        <v>68</v>
      </c>
      <c r="E26" s="9">
        <f>'Life Care Services'!E15</f>
        <v>282.932796</v>
      </c>
      <c r="F26" s="9">
        <f>'Life Care Services'!F15</f>
        <v>15864.174086999999</v>
      </c>
      <c r="G26" s="9">
        <f>'Life Care Services'!G15</f>
        <v>30209.765957000003</v>
      </c>
      <c r="H26" s="9">
        <f>'Life Care Services'!H15</f>
        <v>33591.691888000001</v>
      </c>
      <c r="I26" s="83">
        <f>'Life Care Services'!I15</f>
        <v>37332.487477000002</v>
      </c>
      <c r="J26" s="9">
        <f>'Life Care Services'!J15</f>
        <v>12444.162492333333</v>
      </c>
      <c r="K26" s="9">
        <f>'Life Care Services'!K15</f>
        <v>49776.649969333332</v>
      </c>
      <c r="L26" s="9">
        <f>'Life Care Services'!L15</f>
        <v>64231.011249456409</v>
      </c>
      <c r="M26" s="9">
        <f>'Life Care Services'!M15</f>
        <v>77036.872728608694</v>
      </c>
      <c r="N26" s="9">
        <f>'Life Care Services'!N15</f>
        <v>87707.765718445706</v>
      </c>
      <c r="O26" s="9">
        <f>'Life Care Services'!O15</f>
        <v>88795.180983228871</v>
      </c>
      <c r="P26" s="9">
        <f>'Life Care Services'!P15</f>
        <v>87922.717493714576</v>
      </c>
      <c r="Q26" s="9">
        <f>'Life Care Services'!Q15</f>
        <v>88801.944668651719</v>
      </c>
    </row>
    <row r="27" spans="2:17" outlineLevel="1">
      <c r="B27" s="374" t="s">
        <v>69</v>
      </c>
      <c r="E27" s="9">
        <f>'Life Care Services'!E18</f>
        <v>0</v>
      </c>
      <c r="F27" s="9">
        <f>'Life Care Services'!F18</f>
        <v>0</v>
      </c>
      <c r="G27" s="9">
        <f>'Life Care Services'!G18</f>
        <v>0</v>
      </c>
      <c r="H27" s="9">
        <f>'Life Care Services'!H18</f>
        <v>3728.4214440000001</v>
      </c>
      <c r="I27" s="83">
        <f>'Life Care Services'!I18</f>
        <v>5429.0823350000001</v>
      </c>
      <c r="J27" s="9">
        <f>'Life Care Services'!J18</f>
        <v>1809.6941116666667</v>
      </c>
      <c r="K27" s="9">
        <f>'Life Care Services'!K18</f>
        <v>7238.7764466666667</v>
      </c>
      <c r="L27" s="9">
        <f>'Life Care Services'!L18</f>
        <v>18734.943429311377</v>
      </c>
      <c r="M27" s="9">
        <f>'Life Care Services'!M18</f>
        <v>42344.22450107387</v>
      </c>
      <c r="N27" s="9">
        <f>'Life Care Services'!N18</f>
        <v>72731.722483333855</v>
      </c>
      <c r="O27" s="9">
        <f>'Life Care Services'!O18</f>
        <v>111493.43517614262</v>
      </c>
      <c r="P27" s="9">
        <f>'Life Care Services'!P18</f>
        <v>154696.90244922863</v>
      </c>
      <c r="Q27" s="9">
        <f>'Life Care Services'!Q18</f>
        <v>156243.87147372091</v>
      </c>
    </row>
    <row r="28" spans="2:17" outlineLevel="1">
      <c r="B28" s="374" t="s">
        <v>71</v>
      </c>
      <c r="E28" s="9">
        <f>'Life Care Services'!E19</f>
        <v>0</v>
      </c>
      <c r="F28" s="9">
        <f>'Life Care Services'!F19</f>
        <v>0</v>
      </c>
      <c r="G28" s="9">
        <f>'Life Care Services'!G19</f>
        <v>0</v>
      </c>
      <c r="H28" s="9">
        <f>'Life Care Services'!H19</f>
        <v>0</v>
      </c>
      <c r="I28" s="83">
        <f>'Life Care Services'!I19</f>
        <v>4830.6498759999995</v>
      </c>
      <c r="J28" s="9">
        <f>'Life Care Services'!J19</f>
        <v>0</v>
      </c>
      <c r="K28" s="9">
        <f>'Life Care Services'!K19</f>
        <v>4830.6498759999995</v>
      </c>
      <c r="L28" s="9">
        <f>'Life Care Services'!L19</f>
        <v>0</v>
      </c>
      <c r="M28" s="9">
        <f>'Life Care Services'!M19</f>
        <v>0</v>
      </c>
      <c r="N28" s="9">
        <f>'Life Care Services'!N19</f>
        <v>0</v>
      </c>
      <c r="O28" s="9">
        <f>'Life Care Services'!O19</f>
        <v>0</v>
      </c>
      <c r="P28" s="9">
        <f>'Life Care Services'!P19</f>
        <v>0</v>
      </c>
      <c r="Q28" s="9">
        <f>'Life Care Services'!Q19</f>
        <v>0</v>
      </c>
    </row>
    <row r="29" spans="2:17">
      <c r="B29" s="373" t="s">
        <v>72</v>
      </c>
      <c r="E29" s="9">
        <f>SUM(E30:E34)</f>
        <v>0</v>
      </c>
      <c r="F29" s="9">
        <f t="shared" ref="F29:Q29" si="7">SUM(F30:F34)</f>
        <v>0</v>
      </c>
      <c r="G29" s="9">
        <f t="shared" si="7"/>
        <v>0</v>
      </c>
      <c r="H29" s="9">
        <f t="shared" si="7"/>
        <v>0</v>
      </c>
      <c r="I29" s="83">
        <f t="shared" si="7"/>
        <v>0</v>
      </c>
      <c r="J29" s="9">
        <f t="shared" si="7"/>
        <v>0</v>
      </c>
      <c r="K29" s="9">
        <f t="shared" si="7"/>
        <v>0</v>
      </c>
      <c r="L29" s="9">
        <f t="shared" si="7"/>
        <v>0</v>
      </c>
      <c r="M29" s="9">
        <f t="shared" si="7"/>
        <v>0</v>
      </c>
      <c r="N29" s="9">
        <f t="shared" si="7"/>
        <v>0</v>
      </c>
      <c r="O29" s="9">
        <f t="shared" si="7"/>
        <v>0</v>
      </c>
      <c r="P29" s="9">
        <f t="shared" si="7"/>
        <v>0</v>
      </c>
      <c r="Q29" s="9">
        <f t="shared" si="7"/>
        <v>0</v>
      </c>
    </row>
    <row r="30" spans="2:17" outlineLevel="1">
      <c r="B30" s="374" t="s">
        <v>73</v>
      </c>
      <c r="I30" s="83"/>
    </row>
    <row r="31" spans="2:17" outlineLevel="1">
      <c r="B31" s="374" t="s">
        <v>66</v>
      </c>
      <c r="I31" s="83"/>
    </row>
    <row r="32" spans="2:17" outlineLevel="1">
      <c r="B32" s="374" t="s">
        <v>74</v>
      </c>
      <c r="I32" s="83"/>
    </row>
    <row r="33" spans="2:17" outlineLevel="1">
      <c r="B33" s="374" t="s">
        <v>59</v>
      </c>
      <c r="I33" s="83"/>
    </row>
    <row r="34" spans="2:17" outlineLevel="1">
      <c r="B34" s="374" t="s">
        <v>51</v>
      </c>
      <c r="I34" s="83"/>
    </row>
    <row r="35" spans="2:17">
      <c r="B35" s="375" t="s">
        <v>76</v>
      </c>
      <c r="C35" s="85"/>
      <c r="D35" s="85"/>
      <c r="E35" s="85">
        <f>'Others&amp;NWC'!E9</f>
        <v>-12937.44738</v>
      </c>
      <c r="F35" s="85">
        <f>'Others&amp;NWC'!F9</f>
        <v>-13704.660264999839</v>
      </c>
      <c r="G35" s="85">
        <f>'Others&amp;NWC'!G9</f>
        <v>-12739.187100646319</v>
      </c>
      <c r="H35" s="85">
        <f>'Others&amp;NWC'!H9</f>
        <v>-12607.416243389715</v>
      </c>
      <c r="I35" s="86">
        <f>'Others&amp;NWC'!I9</f>
        <v>-6662.4960908403154</v>
      </c>
      <c r="J35" s="85">
        <f>'Others&amp;NWC'!J9</f>
        <v>-3724.2835601729362</v>
      </c>
      <c r="K35" s="85">
        <f>'Others&amp;NWC'!K9</f>
        <v>-10386.779651013252</v>
      </c>
      <c r="L35" s="85">
        <f>'Others&amp;NWC'!L9</f>
        <v>-16247.707929033131</v>
      </c>
      <c r="M35" s="85">
        <f>'Others&amp;NWC'!M9</f>
        <v>-18214.414140960096</v>
      </c>
      <c r="N35" s="85">
        <f>'Others&amp;NWC'!N9</f>
        <v>-20418.92204213353</v>
      </c>
      <c r="O35" s="85">
        <f>'Others&amp;NWC'!O9</f>
        <v>-22845.122050177473</v>
      </c>
      <c r="P35" s="85">
        <f>'Others&amp;NWC'!P9</f>
        <v>-25425.370256134</v>
      </c>
      <c r="Q35" s="85">
        <f>'Others&amp;NWC'!Q9</f>
        <v>-25679.623958695338</v>
      </c>
    </row>
    <row r="36" spans="2:17">
      <c r="B36" s="376" t="s">
        <v>77</v>
      </c>
      <c r="C36" s="16"/>
      <c r="D36" s="16"/>
      <c r="E36" s="16">
        <f t="shared" ref="E36:Q36" si="8">SUM(E37,E43,E49,E55,E64,E67,E69)</f>
        <v>717504.7126897393</v>
      </c>
      <c r="F36" s="16">
        <f t="shared" si="8"/>
        <v>828678.10481689987</v>
      </c>
      <c r="G36" s="16">
        <f t="shared" si="8"/>
        <v>981652.56657734909</v>
      </c>
      <c r="H36" s="16">
        <f t="shared" si="8"/>
        <v>1178188.4498461664</v>
      </c>
      <c r="I36" s="17">
        <f t="shared" si="8"/>
        <v>979795.09424943756</v>
      </c>
      <c r="J36" s="16">
        <f t="shared" si="8"/>
        <v>343372.87485235493</v>
      </c>
      <c r="K36" s="16">
        <f t="shared" si="8"/>
        <v>1323167.9691017924</v>
      </c>
      <c r="L36" s="16">
        <f t="shared" si="8"/>
        <v>1478809.4499157369</v>
      </c>
      <c r="M36" s="16">
        <f t="shared" si="8"/>
        <v>1645831.0635197151</v>
      </c>
      <c r="N36" s="16">
        <f t="shared" si="8"/>
        <v>1820214.8824894442</v>
      </c>
      <c r="O36" s="16">
        <f t="shared" si="8"/>
        <v>1991504.635207898</v>
      </c>
      <c r="P36" s="16">
        <f t="shared" si="8"/>
        <v>2177587.7712468468</v>
      </c>
      <c r="Q36" s="16">
        <f t="shared" si="8"/>
        <v>2199363.6489593154</v>
      </c>
    </row>
    <row r="37" spans="2:17">
      <c r="B37" s="42" t="s">
        <v>78</v>
      </c>
      <c r="C37" s="16"/>
      <c r="D37" s="16"/>
      <c r="E37" s="4">
        <f t="shared" ref="E37:Q37" si="9">SUM(E38:E42)</f>
        <v>323843.473253</v>
      </c>
      <c r="F37" s="4">
        <f t="shared" si="9"/>
        <v>370171.45395400003</v>
      </c>
      <c r="G37" s="4">
        <f t="shared" si="9"/>
        <v>397599.35141300003</v>
      </c>
      <c r="H37" s="4">
        <f t="shared" si="9"/>
        <v>421336.46062194119</v>
      </c>
      <c r="I37" s="83">
        <f t="shared" si="9"/>
        <v>335238.14527185564</v>
      </c>
      <c r="J37" s="9">
        <f t="shared" si="9"/>
        <v>113124.30763850463</v>
      </c>
      <c r="K37" s="4">
        <f t="shared" si="9"/>
        <v>448362.45291036024</v>
      </c>
      <c r="L37" s="4">
        <f t="shared" si="9"/>
        <v>503053.64367904724</v>
      </c>
      <c r="M37" s="4">
        <f t="shared" si="9"/>
        <v>562600.74645339418</v>
      </c>
      <c r="N37" s="4">
        <f t="shared" si="9"/>
        <v>624921.56866275216</v>
      </c>
      <c r="O37" s="4">
        <f t="shared" si="9"/>
        <v>693120.8704930488</v>
      </c>
      <c r="P37" s="4">
        <f t="shared" si="9"/>
        <v>762688.69620349514</v>
      </c>
      <c r="Q37" s="4">
        <f t="shared" si="9"/>
        <v>770315.58316553012</v>
      </c>
    </row>
    <row r="38" spans="2:17" outlineLevel="1">
      <c r="B38" s="82" t="s">
        <v>79</v>
      </c>
      <c r="E38" s="9">
        <f>'Physical Security'!E14</f>
        <v>208969.13727899999</v>
      </c>
      <c r="F38" s="9">
        <f>'Physical Security'!F14</f>
        <v>246466.19927799999</v>
      </c>
      <c r="G38" s="9">
        <f>'Physical Security'!G14</f>
        <v>271269.61042400001</v>
      </c>
      <c r="H38" s="9">
        <f>'Physical Security'!H14</f>
        <v>289027.01026094123</v>
      </c>
      <c r="I38" s="83">
        <f>'Physical Security'!I14</f>
        <v>227401.39665855787</v>
      </c>
      <c r="J38" s="9">
        <f>'Physical Security'!J14</f>
        <v>75800.46555285262</v>
      </c>
      <c r="K38" s="9">
        <f>'Physical Security'!K14</f>
        <v>303201.86221141048</v>
      </c>
      <c r="L38" s="9">
        <f>'Physical Security'!L14</f>
        <v>319611.36425693147</v>
      </c>
      <c r="M38" s="9">
        <f>'Physical Security'!M14</f>
        <v>329752.48956714605</v>
      </c>
      <c r="N38" s="9">
        <f>'Physical Security'!N14</f>
        <v>340697.25748581439</v>
      </c>
      <c r="O38" s="9">
        <f>'Physical Security'!O14</f>
        <v>354895.79428093543</v>
      </c>
      <c r="P38" s="9">
        <f>'Physical Security'!P14</f>
        <v>369924.55697252607</v>
      </c>
      <c r="Q38" s="9">
        <f>'Physical Security'!Q14</f>
        <v>373623.80254225136</v>
      </c>
    </row>
    <row r="39" spans="2:17" outlineLevel="1">
      <c r="B39" s="82" t="s">
        <v>80</v>
      </c>
      <c r="E39" s="9">
        <f>'Physical Security'!E15</f>
        <v>6300.2719699999998</v>
      </c>
      <c r="F39" s="9">
        <f>'Physical Security'!F15</f>
        <v>6669.136708</v>
      </c>
      <c r="G39" s="9">
        <f>'Physical Security'!G15</f>
        <v>6055.5184170000011</v>
      </c>
      <c r="H39" s="9">
        <f>'Physical Security'!H15</f>
        <v>6772.0051059999996</v>
      </c>
      <c r="I39" s="83">
        <f>'Physical Security'!I15</f>
        <v>5447.7139220146919</v>
      </c>
      <c r="J39" s="9">
        <f>'Physical Security'!J15</f>
        <v>1815.9046406715638</v>
      </c>
      <c r="K39" s="9">
        <f>'Physical Security'!K15</f>
        <v>7263.6185626862552</v>
      </c>
      <c r="L39" s="9">
        <f>'Physical Security'!L15</f>
        <v>7517.4056174203524</v>
      </c>
      <c r="M39" s="9">
        <f>'Physical Security'!M15</f>
        <v>7637.5355022467702</v>
      </c>
      <c r="N39" s="9">
        <f>'Physical Security'!N15</f>
        <v>7747.911803113815</v>
      </c>
      <c r="O39" s="9">
        <f>'Physical Security'!O15</f>
        <v>7864.9089704121207</v>
      </c>
      <c r="P39" s="9">
        <f>'Physical Security'!P15</f>
        <v>7968.2990777935502</v>
      </c>
      <c r="Q39" s="9">
        <f>'Physical Security'!Q15</f>
        <v>8047.9820685714858</v>
      </c>
    </row>
    <row r="40" spans="2:17" outlineLevel="1">
      <c r="B40" s="82" t="s">
        <v>81</v>
      </c>
      <c r="E40" s="9">
        <f>'Physical Security'!E16</f>
        <v>9378.2497090000015</v>
      </c>
      <c r="F40" s="9">
        <f>'Physical Security'!F16</f>
        <v>12396.082686999998</v>
      </c>
      <c r="G40" s="9">
        <f>'Physical Security'!G16</f>
        <v>10164.076360000003</v>
      </c>
      <c r="H40" s="9">
        <f>'Physical Security'!H16</f>
        <v>8319.5578419999983</v>
      </c>
      <c r="I40" s="83">
        <f>'Physical Security'!I16</f>
        <v>8288.8635504407066</v>
      </c>
      <c r="J40" s="9">
        <f>'Physical Security'!J16</f>
        <v>2762.9545168135687</v>
      </c>
      <c r="K40" s="9">
        <f>'Physical Security'!K16</f>
        <v>11051.818067254275</v>
      </c>
      <c r="L40" s="9">
        <f>'Physical Security'!L16</f>
        <v>11450.62983261599</v>
      </c>
      <c r="M40" s="9">
        <f>'Physical Security'!M16</f>
        <v>11841.769659696873</v>
      </c>
      <c r="N40" s="9">
        <f>'Physical Security'!N16</f>
        <v>12226.996175473158</v>
      </c>
      <c r="O40" s="9">
        <f>'Physical Security'!O16</f>
        <v>12607.860954132102</v>
      </c>
      <c r="P40" s="9">
        <f>'Physical Security'!P16</f>
        <v>12975.355509647345</v>
      </c>
      <c r="Q40" s="9">
        <f>'Physical Security'!Q16</f>
        <v>13105.109064743818</v>
      </c>
    </row>
    <row r="41" spans="2:17" outlineLevel="1">
      <c r="B41" s="82" t="s">
        <v>83</v>
      </c>
      <c r="E41" s="9">
        <f>'Physical Security'!E17</f>
        <v>99195.814295000004</v>
      </c>
      <c r="F41" s="9">
        <f>'Physical Security'!F17</f>
        <v>104640.03528099999</v>
      </c>
      <c r="G41" s="9">
        <f>'Physical Security'!G17</f>
        <v>110110.14621199999</v>
      </c>
      <c r="H41" s="9">
        <f>'Physical Security'!H17</f>
        <v>117217.887413</v>
      </c>
      <c r="I41" s="83">
        <f>'Physical Security'!I17</f>
        <v>94100.171140842343</v>
      </c>
      <c r="J41" s="9">
        <f>'Physical Security'!J17</f>
        <v>31366.723713614112</v>
      </c>
      <c r="K41" s="9">
        <f>'Physical Security'!K17</f>
        <v>125466.89485445645</v>
      </c>
      <c r="L41" s="9">
        <f>'Physical Security'!L17</f>
        <v>131724.32709433249</v>
      </c>
      <c r="M41" s="9">
        <f>'Physical Security'!M17</f>
        <v>136449.67090227312</v>
      </c>
      <c r="N41" s="9">
        <f>'Physical Security'!N17</f>
        <v>141687.5425535058</v>
      </c>
      <c r="O41" s="9">
        <f>'Physical Security'!O17</f>
        <v>148019.86951071071</v>
      </c>
      <c r="P41" s="9">
        <f>'Physical Security'!P17</f>
        <v>154785.86966921538</v>
      </c>
      <c r="Q41" s="9">
        <f>'Physical Security'!Q17</f>
        <v>156333.72836590753</v>
      </c>
    </row>
    <row r="42" spans="2:17" outlineLevel="1">
      <c r="B42" s="82" t="s">
        <v>16</v>
      </c>
      <c r="E42" s="9">
        <f>'Physical Security'!E18</f>
        <v>0</v>
      </c>
      <c r="F42" s="9">
        <f>'Physical Security'!F18</f>
        <v>0</v>
      </c>
      <c r="G42" s="9">
        <f>'Physical Security'!G18</f>
        <v>0</v>
      </c>
      <c r="H42" s="9">
        <f>'Physical Security'!H18</f>
        <v>0</v>
      </c>
      <c r="I42" s="83">
        <f>'Physical Security'!I18</f>
        <v>0</v>
      </c>
      <c r="J42" s="9">
        <f>'Physical Security'!J18</f>
        <v>1378.2592145527537</v>
      </c>
      <c r="K42" s="9">
        <f>'Physical Security'!K18</f>
        <v>1378.2592145527537</v>
      </c>
      <c r="L42" s="9">
        <f>'Physical Security'!L18</f>
        <v>32749.916877746942</v>
      </c>
      <c r="M42" s="9">
        <f>'Physical Security'!M18</f>
        <v>76919.280822031375</v>
      </c>
      <c r="N42" s="9">
        <f>'Physical Security'!N18</f>
        <v>122561.860644845</v>
      </c>
      <c r="O42" s="9">
        <f>'Physical Security'!O18</f>
        <v>169732.43677685843</v>
      </c>
      <c r="P42" s="9">
        <f>'Physical Security'!P18</f>
        <v>217034.61497431283</v>
      </c>
      <c r="Q42" s="9">
        <f>'Physical Security'!Q18</f>
        <v>219204.96112405596</v>
      </c>
    </row>
    <row r="43" spans="2:17">
      <c r="B43" s="42" t="s">
        <v>85</v>
      </c>
      <c r="E43" s="9">
        <f t="shared" ref="E43:Q43" si="10">SUM(E44:E48)</f>
        <v>172598.52344999998</v>
      </c>
      <c r="F43" s="9">
        <f t="shared" si="10"/>
        <v>186048.54201680617</v>
      </c>
      <c r="G43" s="9">
        <f t="shared" si="10"/>
        <v>214727.61098356236</v>
      </c>
      <c r="H43" s="9">
        <f t="shared" si="10"/>
        <v>257500.82931137693</v>
      </c>
      <c r="I43" s="83">
        <f t="shared" si="10"/>
        <v>208534.01376730029</v>
      </c>
      <c r="J43" s="9">
        <f t="shared" si="10"/>
        <v>72802.096286960921</v>
      </c>
      <c r="K43" s="9">
        <f t="shared" si="10"/>
        <v>281336.11005426123</v>
      </c>
      <c r="L43" s="9">
        <f t="shared" si="10"/>
        <v>328491.31735693791</v>
      </c>
      <c r="M43" s="9">
        <f t="shared" si="10"/>
        <v>369798.65383589792</v>
      </c>
      <c r="N43" s="9">
        <f t="shared" si="10"/>
        <v>417056.73713233141</v>
      </c>
      <c r="O43" s="9">
        <f t="shared" si="10"/>
        <v>473462.23312731338</v>
      </c>
      <c r="P43" s="9">
        <f t="shared" si="10"/>
        <v>539983.33620628167</v>
      </c>
      <c r="Q43" s="9">
        <f t="shared" si="10"/>
        <v>545383.16956834437</v>
      </c>
    </row>
    <row r="44" spans="2:17" outlineLevel="1">
      <c r="B44" s="82" t="s">
        <v>86</v>
      </c>
      <c r="E44" s="9">
        <f>CyberSecurity!E23</f>
        <v>76140.000784000003</v>
      </c>
      <c r="F44" s="9">
        <f>CyberSecurity!F23</f>
        <v>84266.66563800002</v>
      </c>
      <c r="G44" s="9">
        <f>CyberSecurity!G23</f>
        <v>104080.40082149599</v>
      </c>
      <c r="H44" s="9">
        <f>CyberSecurity!H23</f>
        <v>131987.4930438115</v>
      </c>
      <c r="I44" s="83">
        <f>CyberSecurity!I23</f>
        <v>105025.79468792801</v>
      </c>
      <c r="J44" s="9">
        <f>CyberSecurity!J23</f>
        <v>37016.117864920809</v>
      </c>
      <c r="K44" s="9">
        <f>CyberSecurity!K23</f>
        <v>142041.91255284884</v>
      </c>
      <c r="L44" s="9">
        <f>CyberSecurity!L23</f>
        <v>177714.2839020887</v>
      </c>
      <c r="M44" s="9">
        <f>CyberSecurity!M23</f>
        <v>205235.28586205249</v>
      </c>
      <c r="N44" s="9">
        <f>CyberSecurity!N23</f>
        <v>237806.78758588328</v>
      </c>
      <c r="O44" s="9">
        <f>CyberSecurity!O23</f>
        <v>276886.03196287545</v>
      </c>
      <c r="P44" s="9">
        <f>CyberSecurity!P23</f>
        <v>324723.79770077148</v>
      </c>
      <c r="Q44" s="9">
        <f>CyberSecurity!Q23</f>
        <v>327971.03567777917</v>
      </c>
    </row>
    <row r="45" spans="2:17" outlineLevel="1">
      <c r="B45" s="82" t="s">
        <v>79</v>
      </c>
      <c r="E45" s="9">
        <f>CyberSecurity!E24</f>
        <v>51753.752267999989</v>
      </c>
      <c r="F45" s="9">
        <f>CyberSecurity!F24</f>
        <v>56812.06878227627</v>
      </c>
      <c r="G45" s="9">
        <f>CyberSecurity!G24</f>
        <v>63335.626098917142</v>
      </c>
      <c r="H45" s="9">
        <f>CyberSecurity!H24</f>
        <v>71791.740389236365</v>
      </c>
      <c r="I45" s="83">
        <f>CyberSecurity!I24</f>
        <v>59511.002429187072</v>
      </c>
      <c r="J45" s="9">
        <f>CyberSecurity!J24</f>
        <v>22122.901535728997</v>
      </c>
      <c r="K45" s="9">
        <f>CyberSecurity!K24</f>
        <v>81633.90396491607</v>
      </c>
      <c r="L45" s="9">
        <f>CyberSecurity!L24</f>
        <v>91582.311568356919</v>
      </c>
      <c r="M45" s="9">
        <f>CyberSecurity!M24</f>
        <v>100869.87423152183</v>
      </c>
      <c r="N45" s="9">
        <f>CyberSecurity!N24</f>
        <v>110718.15397064158</v>
      </c>
      <c r="O45" s="9">
        <f>CyberSecurity!O24</f>
        <v>122991.10854602732</v>
      </c>
      <c r="P45" s="9">
        <f>CyberSecurity!P24</f>
        <v>136305.54271234752</v>
      </c>
      <c r="Q45" s="9">
        <f>CyberSecurity!Q24</f>
        <v>137668.598139471</v>
      </c>
    </row>
    <row r="46" spans="2:17" outlineLevel="1">
      <c r="B46" s="82" t="s">
        <v>87</v>
      </c>
      <c r="E46" s="9">
        <f>CyberSecurity!E25</f>
        <v>35445.294183999998</v>
      </c>
      <c r="F46" s="9">
        <f>CyberSecurity!F25</f>
        <v>34639.20655499999</v>
      </c>
      <c r="G46" s="9">
        <f>CyberSecurity!G25</f>
        <v>37535.7329955936</v>
      </c>
      <c r="H46" s="9">
        <f>CyberSecurity!H25</f>
        <v>45040.699419749697</v>
      </c>
      <c r="I46" s="83">
        <f>CyberSecurity!I25</f>
        <v>36972.644731529603</v>
      </c>
      <c r="J46" s="9">
        <f>CyberSecurity!J25</f>
        <v>11321.552913425914</v>
      </c>
      <c r="K46" s="9">
        <f>CyberSecurity!K25</f>
        <v>48294.197644955515</v>
      </c>
      <c r="L46" s="9">
        <f>CyberSecurity!L25</f>
        <v>49502.967947747813</v>
      </c>
      <c r="M46" s="9">
        <f>CyberSecurity!M25</f>
        <v>53776.330423224688</v>
      </c>
      <c r="N46" s="9">
        <f>CyberSecurity!N25</f>
        <v>58284.047493299651</v>
      </c>
      <c r="O46" s="9">
        <f>CyberSecurity!O25</f>
        <v>62973.198658252142</v>
      </c>
      <c r="P46" s="9">
        <f>CyberSecurity!P25</f>
        <v>67935.190661477711</v>
      </c>
      <c r="Q46" s="9">
        <f>CyberSecurity!Q25</f>
        <v>68614.542568092482</v>
      </c>
    </row>
    <row r="47" spans="2:17" outlineLevel="1">
      <c r="B47" s="82" t="s">
        <v>83</v>
      </c>
      <c r="E47" s="9">
        <f>CyberSecurity!E26</f>
        <v>9259.4762140000021</v>
      </c>
      <c r="F47" s="9">
        <f>CyberSecurity!F26</f>
        <v>10330.601041529892</v>
      </c>
      <c r="G47" s="9">
        <f>CyberSecurity!G26</f>
        <v>9775.8510675556226</v>
      </c>
      <c r="H47" s="9">
        <f>CyberSecurity!H26</f>
        <v>8680.8964585793856</v>
      </c>
      <c r="I47" s="83">
        <f>CyberSecurity!I26</f>
        <v>7024.5719186555907</v>
      </c>
      <c r="J47" s="9">
        <f>CyberSecurity!J26</f>
        <v>2341.5239728851971</v>
      </c>
      <c r="K47" s="9">
        <f>CyberSecurity!K26</f>
        <v>9366.0958915407882</v>
      </c>
      <c r="L47" s="9">
        <f>CyberSecurity!L26</f>
        <v>9691.7539387444649</v>
      </c>
      <c r="M47" s="9">
        <f>CyberSecurity!M26</f>
        <v>9917.1633190988541</v>
      </c>
      <c r="N47" s="9">
        <f>CyberSecurity!N26</f>
        <v>10247.748082506912</v>
      </c>
      <c r="O47" s="9">
        <f>CyberSecurity!O26</f>
        <v>10611.893960158437</v>
      </c>
      <c r="P47" s="9">
        <f>CyberSecurity!P26</f>
        <v>11018.805131684941</v>
      </c>
      <c r="Q47" s="9">
        <f>CyberSecurity!Q26</f>
        <v>11128.99318300179</v>
      </c>
    </row>
    <row r="48" spans="2:17" outlineLevel="1">
      <c r="B48" s="82" t="s">
        <v>16</v>
      </c>
      <c r="E48" s="9">
        <f>CyberSecurity!E27</f>
        <v>0</v>
      </c>
      <c r="F48" s="9">
        <f>CyberSecurity!F27</f>
        <v>0</v>
      </c>
      <c r="G48" s="9">
        <f>CyberSecurity!G27</f>
        <v>0</v>
      </c>
      <c r="H48" s="9">
        <f>CyberSecurity!H27</f>
        <v>0</v>
      </c>
      <c r="I48" s="83">
        <f>CyberSecurity!I27</f>
        <v>0</v>
      </c>
      <c r="J48" s="9">
        <f>CyberSecurity!J27</f>
        <v>0</v>
      </c>
      <c r="K48" s="9">
        <f>CyberSecurity!K27</f>
        <v>0</v>
      </c>
      <c r="L48" s="9">
        <f>CyberSecurity!L27</f>
        <v>0</v>
      </c>
      <c r="M48" s="9">
        <f>CyberSecurity!M27</f>
        <v>0</v>
      </c>
      <c r="N48" s="9">
        <f>CyberSecurity!N27</f>
        <v>0</v>
      </c>
      <c r="O48" s="9">
        <f>CyberSecurity!O27</f>
        <v>0</v>
      </c>
      <c r="P48" s="9">
        <f>CyberSecurity!P27</f>
        <v>0</v>
      </c>
      <c r="Q48" s="9">
        <f>CyberSecurity!Q27</f>
        <v>0</v>
      </c>
    </row>
    <row r="49" spans="2:17">
      <c r="B49" s="42" t="s">
        <v>88</v>
      </c>
      <c r="E49" s="9">
        <f t="shared" ref="E49:Q49" si="11">SUM(E50:E54)</f>
        <v>41567.547920999998</v>
      </c>
      <c r="F49" s="9">
        <f t="shared" si="11"/>
        <v>53322.983417999996</v>
      </c>
      <c r="G49" s="9">
        <f t="shared" si="11"/>
        <v>109829.65993002582</v>
      </c>
      <c r="H49" s="9">
        <f t="shared" si="11"/>
        <v>219546.78792395547</v>
      </c>
      <c r="I49" s="83">
        <f t="shared" si="11"/>
        <v>192742.50031093601</v>
      </c>
      <c r="J49" s="9">
        <f t="shared" si="11"/>
        <v>77873.108049962262</v>
      </c>
      <c r="K49" s="9">
        <f t="shared" si="11"/>
        <v>270615.60836089827</v>
      </c>
      <c r="L49" s="9">
        <f t="shared" si="11"/>
        <v>349437.91051849374</v>
      </c>
      <c r="M49" s="9">
        <f t="shared" si="11"/>
        <v>408057.93266175024</v>
      </c>
      <c r="N49" s="9">
        <f t="shared" si="11"/>
        <v>458723.57047106791</v>
      </c>
      <c r="O49" s="9">
        <f t="shared" si="11"/>
        <v>503433.60356411641</v>
      </c>
      <c r="P49" s="9">
        <f t="shared" si="11"/>
        <v>544341.99828943866</v>
      </c>
      <c r="Q49" s="9">
        <f t="shared" si="11"/>
        <v>549785.4182723331</v>
      </c>
    </row>
    <row r="50" spans="2:17" outlineLevel="1">
      <c r="B50" s="84" t="s">
        <v>86</v>
      </c>
      <c r="E50" s="9">
        <f>'Converged Security'!E18</f>
        <v>37805.601717999998</v>
      </c>
      <c r="F50" s="9">
        <f>'Converged Security'!F18</f>
        <v>47588.229123999998</v>
      </c>
      <c r="G50" s="9">
        <f>'Converged Security'!G18</f>
        <v>70499.1898039808</v>
      </c>
      <c r="H50" s="9">
        <f>'Converged Security'!H18</f>
        <v>76514.997457477904</v>
      </c>
      <c r="I50" s="83">
        <f>'Converged Security'!I18</f>
        <v>69028.110652734278</v>
      </c>
      <c r="J50" s="9">
        <f>'Converged Security'!J18</f>
        <v>23203.834767218334</v>
      </c>
      <c r="K50" s="9">
        <f>'Converged Security'!K18</f>
        <v>92231.945419952608</v>
      </c>
      <c r="L50" s="9">
        <f>'Converged Security'!L18</f>
        <v>86257.40883422771</v>
      </c>
      <c r="M50" s="9">
        <f>'Converged Security'!M18</f>
        <v>104269.0714794091</v>
      </c>
      <c r="N50" s="9">
        <f>'Converged Security'!N18</f>
        <v>123012.92746149258</v>
      </c>
      <c r="O50" s="9">
        <f>'Converged Security'!O18</f>
        <v>144451.13606643112</v>
      </c>
      <c r="P50" s="9">
        <f>'Converged Security'!P18</f>
        <v>163173.24537670196</v>
      </c>
      <c r="Q50" s="9">
        <f>'Converged Security'!Q18</f>
        <v>164804.97783046897</v>
      </c>
    </row>
    <row r="51" spans="2:17" outlineLevel="1">
      <c r="B51" s="84" t="s">
        <v>79</v>
      </c>
      <c r="E51" s="9">
        <f>'Converged Security'!E19</f>
        <v>2336.378346</v>
      </c>
      <c r="F51" s="9">
        <f>'Converged Security'!F19</f>
        <v>3014.6998319999993</v>
      </c>
      <c r="G51" s="9">
        <f>'Converged Security'!G19</f>
        <v>20184.344063456989</v>
      </c>
      <c r="H51" s="9">
        <f>'Converged Security'!H19</f>
        <v>118751.73978339479</v>
      </c>
      <c r="I51" s="83">
        <f>'Converged Security'!I19</f>
        <v>101808.15354094992</v>
      </c>
      <c r="J51" s="9">
        <f>'Converged Security'!J19</f>
        <v>47350.703322585694</v>
      </c>
      <c r="K51" s="9">
        <f>'Converged Security'!K19</f>
        <v>149158.85686353562</v>
      </c>
      <c r="L51" s="9">
        <f>'Converged Security'!L19</f>
        <v>232674.23107313699</v>
      </c>
      <c r="M51" s="9">
        <f>'Converged Security'!M19</f>
        <v>268293.60371279606</v>
      </c>
      <c r="N51" s="9">
        <f>'Converged Security'!N19</f>
        <v>295212.54940810602</v>
      </c>
      <c r="O51" s="9">
        <f>'Converged Security'!O19</f>
        <v>313000.3462768363</v>
      </c>
      <c r="P51" s="9">
        <f>'Converged Security'!P19</f>
        <v>330216.63862323383</v>
      </c>
      <c r="Q51" s="9">
        <f>'Converged Security'!Q19</f>
        <v>333518.80500946619</v>
      </c>
    </row>
    <row r="52" spans="2:17" outlineLevel="1">
      <c r="B52" s="84" t="s">
        <v>87</v>
      </c>
      <c r="E52" s="9">
        <f>'Converged Security'!E20</f>
        <v>1166.0313740000001</v>
      </c>
      <c r="F52" s="9">
        <f>'Converged Security'!F20</f>
        <v>1814.6412210000001</v>
      </c>
      <c r="G52" s="9">
        <f>'Converged Security'!G20</f>
        <v>16644.434363169803</v>
      </c>
      <c r="H52" s="9">
        <f>'Converged Security'!H20</f>
        <v>20197.896804479202</v>
      </c>
      <c r="I52" s="83">
        <f>'Converged Security'!I20</f>
        <v>15987.616621436802</v>
      </c>
      <c r="J52" s="9">
        <f>'Converged Security'!J20</f>
        <v>5369.6497615532344</v>
      </c>
      <c r="K52" s="9">
        <f>'Converged Security'!K20</f>
        <v>21357.266382990034</v>
      </c>
      <c r="L52" s="9">
        <f>'Converged Security'!L20</f>
        <v>22585.858923998254</v>
      </c>
      <c r="M52" s="9">
        <f>'Converged Security'!M20</f>
        <v>27543.164135665807</v>
      </c>
      <c r="N52" s="9">
        <f>'Converged Security'!N20</f>
        <v>32418.766774247997</v>
      </c>
      <c r="O52" s="9">
        <f>'Converged Security'!O20</f>
        <v>37749.287183910506</v>
      </c>
      <c r="P52" s="9">
        <f>'Converged Security'!P20</f>
        <v>42529.925069714751</v>
      </c>
      <c r="Q52" s="9">
        <f>'Converged Security'!Q20</f>
        <v>42955.2243204119</v>
      </c>
    </row>
    <row r="53" spans="2:17" outlineLevel="1">
      <c r="B53" s="84" t="s">
        <v>83</v>
      </c>
      <c r="E53" s="9">
        <f>'Converged Security'!E21</f>
        <v>259.53648300000003</v>
      </c>
      <c r="F53" s="9">
        <f>'Converged Security'!F21</f>
        <v>905.41324100000008</v>
      </c>
      <c r="G53" s="9">
        <f>'Converged Security'!G21</f>
        <v>2501.6916994182334</v>
      </c>
      <c r="H53" s="9">
        <f>'Converged Security'!H21</f>
        <v>4082.1538786035553</v>
      </c>
      <c r="I53" s="83">
        <f>'Converged Security'!I21</f>
        <v>5918.6194958149999</v>
      </c>
      <c r="J53" s="9">
        <f>'Converged Security'!J21</f>
        <v>1948.9201986049998</v>
      </c>
      <c r="K53" s="9">
        <f>'Converged Security'!K21</f>
        <v>7867.5396944199993</v>
      </c>
      <c r="L53" s="9">
        <f>'Converged Security'!L21</f>
        <v>7920.4116871307215</v>
      </c>
      <c r="M53" s="9">
        <f>'Converged Security'!M21</f>
        <v>7952.0933338792438</v>
      </c>
      <c r="N53" s="9">
        <f>'Converged Security'!N21</f>
        <v>8079.3268272213118</v>
      </c>
      <c r="O53" s="9">
        <f>'Converged Security'!O21</f>
        <v>8232.8340369385151</v>
      </c>
      <c r="P53" s="9">
        <f>'Converged Security'!P21</f>
        <v>8422.1892197881007</v>
      </c>
      <c r="Q53" s="9">
        <f>'Converged Security'!Q21</f>
        <v>8506.4111119859826</v>
      </c>
    </row>
    <row r="54" spans="2:17" outlineLevel="1">
      <c r="B54" s="84" t="s">
        <v>16</v>
      </c>
      <c r="E54" s="9">
        <f>'Converged Security'!E22</f>
        <v>0</v>
      </c>
      <c r="F54" s="9">
        <f>'Converged Security'!F22</f>
        <v>0</v>
      </c>
      <c r="G54" s="9">
        <f>'Converged Security'!G22</f>
        <v>0</v>
      </c>
      <c r="H54" s="9">
        <f>'Converged Security'!H22</f>
        <v>0</v>
      </c>
      <c r="I54" s="83">
        <f>'Converged Security'!I22</f>
        <v>0</v>
      </c>
      <c r="J54" s="9">
        <f>'Converged Security'!J22</f>
        <v>0</v>
      </c>
      <c r="K54" s="9">
        <f>'Converged Security'!K22</f>
        <v>0</v>
      </c>
      <c r="L54" s="9">
        <f>'Converged Security'!L22</f>
        <v>0</v>
      </c>
      <c r="M54" s="9">
        <f>'Converged Security'!M22</f>
        <v>0</v>
      </c>
      <c r="N54" s="9">
        <f>'Converged Security'!N22</f>
        <v>0</v>
      </c>
      <c r="O54" s="9">
        <f>'Converged Security'!O22</f>
        <v>0</v>
      </c>
      <c r="P54" s="9">
        <f>'Converged Security'!P22</f>
        <v>0</v>
      </c>
      <c r="Q54" s="9">
        <f>'Converged Security'!Q22</f>
        <v>0</v>
      </c>
    </row>
    <row r="55" spans="2:17">
      <c r="B55" s="42" t="s">
        <v>89</v>
      </c>
      <c r="E55" s="9">
        <f>SUM(E56:E63)</f>
        <v>2403.5548290000002</v>
      </c>
      <c r="F55" s="9">
        <f t="shared" ref="F55:Q55" si="12">SUM(F56:F63)</f>
        <v>13597.900391000001</v>
      </c>
      <c r="G55" s="9">
        <f t="shared" si="12"/>
        <v>30356.157206</v>
      </c>
      <c r="H55" s="9">
        <f t="shared" si="12"/>
        <v>31075.528712138545</v>
      </c>
      <c r="I55" s="83">
        <f t="shared" si="12"/>
        <v>50257.849361276109</v>
      </c>
      <c r="J55" s="9">
        <f t="shared" si="12"/>
        <v>18067.058662627041</v>
      </c>
      <c r="K55" s="4">
        <f t="shared" si="12"/>
        <v>68324.908023903146</v>
      </c>
      <c r="L55" s="9">
        <f t="shared" si="12"/>
        <v>98771.377810095728</v>
      </c>
      <c r="M55" s="9">
        <f t="shared" si="12"/>
        <v>139321.59538464274</v>
      </c>
      <c r="N55" s="9">
        <f t="shared" si="12"/>
        <v>192141.11487930315</v>
      </c>
      <c r="O55" s="9">
        <f t="shared" si="12"/>
        <v>236321.33691548678</v>
      </c>
      <c r="P55" s="9">
        <f t="shared" si="12"/>
        <v>285273.79681572993</v>
      </c>
      <c r="Q55" s="9">
        <f t="shared" si="12"/>
        <v>288126.53478388727</v>
      </c>
    </row>
    <row r="56" spans="2:17" outlineLevel="1">
      <c r="B56" s="84" t="s">
        <v>90</v>
      </c>
      <c r="E56" s="9">
        <f>'Life Care Services'!E21</f>
        <v>1781.4556650000002</v>
      </c>
      <c r="F56" s="9">
        <f>'Life Care Services'!F21</f>
        <v>893.92438400000003</v>
      </c>
      <c r="G56" s="9">
        <f>'Life Care Services'!G21</f>
        <v>2215.2455009999999</v>
      </c>
      <c r="H56" s="9">
        <f>'Life Care Services'!H21</f>
        <v>2993.6122480000004</v>
      </c>
      <c r="I56" s="83">
        <f>'Life Care Services'!I21</f>
        <v>13293.917654337985</v>
      </c>
      <c r="J56" s="9">
        <f>'Life Care Services'!J21</f>
        <v>5096.5402069064385</v>
      </c>
      <c r="K56" s="9">
        <f>'Life Care Services'!K21</f>
        <v>18390.457861244424</v>
      </c>
      <c r="L56" s="9">
        <f>'Life Care Services'!L21</f>
        <v>35182.329372907188</v>
      </c>
      <c r="M56" s="9">
        <f>'Life Care Services'!M21</f>
        <v>45575.038194050576</v>
      </c>
      <c r="N56" s="9">
        <f>'Life Care Services'!N21</f>
        <v>63390.540627030932</v>
      </c>
      <c r="O56" s="9">
        <f>'Life Care Services'!O21</f>
        <v>70990.114565810029</v>
      </c>
      <c r="P56" s="9">
        <f>'Life Care Services'!P21</f>
        <v>78358.785918042835</v>
      </c>
      <c r="Q56" s="9">
        <f>'Life Care Services'!Q21</f>
        <v>79142.373777223271</v>
      </c>
    </row>
    <row r="57" spans="2:17" outlineLevel="1">
      <c r="B57" s="84" t="s">
        <v>91</v>
      </c>
      <c r="E57" s="9">
        <f>'Life Care Services'!E22</f>
        <v>0</v>
      </c>
      <c r="F57" s="9">
        <f>'Life Care Services'!F22</f>
        <v>2273.9959800000001</v>
      </c>
      <c r="G57" s="9">
        <f>'Life Care Services'!G22</f>
        <v>12023.420204999995</v>
      </c>
      <c r="H57" s="9">
        <f>'Life Care Services'!H22</f>
        <v>7341.2511540000005</v>
      </c>
      <c r="I57" s="83">
        <f>'Life Care Services'!I22</f>
        <v>10315.851863</v>
      </c>
      <c r="J57" s="9">
        <f>'Life Care Services'!J22</f>
        <v>3438.617287666666</v>
      </c>
      <c r="K57" s="9">
        <f>'Life Care Services'!K22</f>
        <v>13754.469150666666</v>
      </c>
      <c r="L57" s="9">
        <f>'Life Care Services'!L22</f>
        <v>23304.614752973648</v>
      </c>
      <c r="M57" s="9">
        <f>'Life Care Services'!M22</f>
        <v>28898.465904309185</v>
      </c>
      <c r="N57" s="9">
        <f>'Life Care Services'!N22</f>
        <v>33479.563854929787</v>
      </c>
      <c r="O57" s="9">
        <f>'Life Care Services'!O22</f>
        <v>33727.331214626</v>
      </c>
      <c r="P57" s="9">
        <f>'Life Care Services'!P22</f>
        <v>33070.692736189951</v>
      </c>
      <c r="Q57" s="9">
        <f>'Life Care Services'!Q22</f>
        <v>33401.399663551849</v>
      </c>
    </row>
    <row r="58" spans="2:17" outlineLevel="1">
      <c r="B58" s="84" t="s">
        <v>86</v>
      </c>
      <c r="E58" s="9">
        <f>'Life Care Services'!E23</f>
        <v>0</v>
      </c>
      <c r="F58" s="9">
        <f>'Life Care Services'!F23</f>
        <v>0</v>
      </c>
      <c r="G58" s="9">
        <f>'Life Care Services'!G23</f>
        <v>0</v>
      </c>
      <c r="H58" s="9">
        <f>'Life Care Services'!H23</f>
        <v>3774.9822119999999</v>
      </c>
      <c r="I58" s="83">
        <f>'Life Care Services'!I23</f>
        <v>5181.9627289999999</v>
      </c>
      <c r="J58" s="9">
        <f>'Life Care Services'!J23</f>
        <v>1727.3209096666669</v>
      </c>
      <c r="K58" s="9">
        <f>'Life Care Services'!K23</f>
        <v>6909.2836386666668</v>
      </c>
      <c r="L58" s="9">
        <f>'Life Care Services'!L23</f>
        <v>8666.3366021256425</v>
      </c>
      <c r="M58" s="9">
        <f>'Life Care Services'!M23</f>
        <v>10746.533914697655</v>
      </c>
      <c r="N58" s="9">
        <f>'Life Care Services'!N23</f>
        <v>12450.116542782944</v>
      </c>
      <c r="O58" s="9">
        <f>'Life Care Services'!O23</f>
        <v>12542.254317249839</v>
      </c>
      <c r="P58" s="9">
        <f>'Life Care Services'!P23</f>
        <v>12298.068771152866</v>
      </c>
      <c r="Q58" s="9">
        <f>'Life Care Services'!Q23</f>
        <v>12421.049458864394</v>
      </c>
    </row>
    <row r="59" spans="2:17" outlineLevel="1">
      <c r="B59" s="84" t="s">
        <v>92</v>
      </c>
      <c r="E59" s="9">
        <f>'Life Care Services'!E24</f>
        <v>0</v>
      </c>
      <c r="F59" s="9">
        <f>'Life Care Services'!F24</f>
        <v>9863.1637960000007</v>
      </c>
      <c r="G59" s="9">
        <f>'Life Care Services'!G24</f>
        <v>14480.264762000003</v>
      </c>
      <c r="H59" s="9">
        <f>'Life Care Services'!H24</f>
        <v>6509.4696599999997</v>
      </c>
      <c r="I59" s="83">
        <f>'Life Care Services'!I24</f>
        <v>8500.6453280000005</v>
      </c>
      <c r="J59" s="9">
        <f>'Life Care Services'!J24</f>
        <v>4750.4780307125639</v>
      </c>
      <c r="K59" s="9">
        <f>'Life Care Services'!K24</f>
        <v>13251.123358712564</v>
      </c>
      <c r="L59" s="9">
        <f>'Life Care Services'!L24</f>
        <v>9505.5230343638123</v>
      </c>
      <c r="M59" s="9">
        <f>'Life Care Services'!M24</f>
        <v>9676.5288179704021</v>
      </c>
      <c r="N59" s="9">
        <f>'Life Care Services'!N24</f>
        <v>9910.815019725509</v>
      </c>
      <c r="O59" s="9">
        <f>'Life Care Services'!O24</f>
        <v>10172.812757107595</v>
      </c>
      <c r="P59" s="9">
        <f>'Life Care Services'!P24</f>
        <v>10459.366065222044</v>
      </c>
      <c r="Q59" s="9">
        <f>'Life Care Services'!Q24</f>
        <v>10563.959725874265</v>
      </c>
    </row>
    <row r="60" spans="2:17" outlineLevel="1">
      <c r="B60" s="84" t="s">
        <v>79</v>
      </c>
      <c r="E60" s="9">
        <f>'Life Care Services'!E25</f>
        <v>0</v>
      </c>
      <c r="F60" s="9">
        <f>'Life Care Services'!F25</f>
        <v>566.81623100000002</v>
      </c>
      <c r="G60" s="9">
        <f>'Life Care Services'!G25</f>
        <v>1237.2267380000001</v>
      </c>
      <c r="H60" s="9">
        <f>'Life Care Services'!H25</f>
        <v>1019.043761</v>
      </c>
      <c r="I60" s="83">
        <f>'Life Care Services'!I25</f>
        <v>1282.9531869336747</v>
      </c>
      <c r="J60" s="9">
        <f>'Life Care Services'!J25</f>
        <v>427.6510623112249</v>
      </c>
      <c r="K60" s="9">
        <f>'Life Care Services'!K25</f>
        <v>1710.6042492448996</v>
      </c>
      <c r="L60" s="9">
        <f>'Life Care Services'!L25</f>
        <v>2286.327515683904</v>
      </c>
      <c r="M60" s="9">
        <f>'Life Care Services'!M25</f>
        <v>3379.5528186974034</v>
      </c>
      <c r="N60" s="9">
        <f>'Life Care Services'!N25</f>
        <v>4556.5907316409721</v>
      </c>
      <c r="O60" s="9">
        <f>'Life Care Services'!O25</f>
        <v>6188.270358541904</v>
      </c>
      <c r="P60" s="9">
        <f>'Life Care Services'!P25</f>
        <v>7926.6551200567683</v>
      </c>
      <c r="Q60" s="9">
        <f>'Life Care Services'!Q25</f>
        <v>8005.9216712573361</v>
      </c>
    </row>
    <row r="61" spans="2:17" outlineLevel="1">
      <c r="B61" s="84" t="s">
        <v>83</v>
      </c>
      <c r="E61" s="9">
        <f>'Life Care Services'!E26</f>
        <v>622.09916399999997</v>
      </c>
      <c r="F61" s="9">
        <f>'Life Care Services'!F26</f>
        <v>0</v>
      </c>
      <c r="G61" s="9">
        <f>'Life Care Services'!G26</f>
        <v>400</v>
      </c>
      <c r="H61" s="9">
        <f>'Life Care Services'!H26</f>
        <v>9437.1696771385432</v>
      </c>
      <c r="I61" s="83">
        <f>'Life Care Services'!I26</f>
        <v>11682.518600004456</v>
      </c>
      <c r="J61" s="9">
        <f>'Life Care Services'!J26</f>
        <v>2480.2913326681519</v>
      </c>
      <c r="K61" s="9">
        <f>'Life Care Services'!K26</f>
        <v>14162.809932672608</v>
      </c>
      <c r="L61" s="9">
        <f>'Life Care Services'!L26</f>
        <v>10131.427706836448</v>
      </c>
      <c r="M61" s="9">
        <f>'Life Care Services'!M26</f>
        <v>10195.294754031744</v>
      </c>
      <c r="N61" s="9">
        <f>'Life Care Services'!N26</f>
        <v>10303.427939757919</v>
      </c>
      <c r="O61" s="9">
        <f>'Life Care Services'!O26</f>
        <v>10433.207120927163</v>
      </c>
      <c r="P61" s="9">
        <f>'Life Care Services'!P26</f>
        <v>10574.958496633233</v>
      </c>
      <c r="Q61" s="9">
        <f>'Life Care Services'!Q26</f>
        <v>10680.708081599565</v>
      </c>
    </row>
    <row r="62" spans="2:17" outlineLevel="1">
      <c r="B62" s="84" t="s">
        <v>93</v>
      </c>
      <c r="E62" s="9">
        <f>'Life Care Services'!E27</f>
        <v>0</v>
      </c>
      <c r="F62" s="9">
        <f>'Life Care Services'!F27</f>
        <v>0</v>
      </c>
      <c r="G62" s="9">
        <f>'Life Care Services'!G27</f>
        <v>0</v>
      </c>
      <c r="H62" s="9">
        <f>'Life Care Services'!H27</f>
        <v>0</v>
      </c>
      <c r="I62" s="83">
        <f>'Life Care Services'!I27</f>
        <v>0</v>
      </c>
      <c r="J62" s="9">
        <f>'Life Care Services'!J27</f>
        <v>40.881040999999641</v>
      </c>
      <c r="K62" s="9">
        <f>'Life Care Services'!K27</f>
        <v>40.881040999999641</v>
      </c>
      <c r="L62" s="9">
        <f>'Life Care Services'!L27</f>
        <v>3327.9214756435258</v>
      </c>
      <c r="M62" s="9">
        <f>'Life Care Services'!M27</f>
        <v>10507.952170101536</v>
      </c>
      <c r="N62" s="9">
        <f>'Life Care Services'!N27</f>
        <v>14463.345086980447</v>
      </c>
      <c r="O62" s="9">
        <f>'Life Care Services'!O27</f>
        <v>15308.801261377352</v>
      </c>
      <c r="P62" s="9">
        <f>'Life Care Services'!P27</f>
        <v>15204.661924475338</v>
      </c>
      <c r="Q62" s="9">
        <f>'Life Care Services'!Q27</f>
        <v>15356.708543720091</v>
      </c>
    </row>
    <row r="63" spans="2:17" outlineLevel="1">
      <c r="B63" s="84" t="s">
        <v>16</v>
      </c>
      <c r="E63" s="9">
        <f>'Life Care Services'!E28</f>
        <v>0</v>
      </c>
      <c r="F63" s="9">
        <f>'Life Care Services'!F28</f>
        <v>0</v>
      </c>
      <c r="G63" s="9">
        <f>'Life Care Services'!G28</f>
        <v>0</v>
      </c>
      <c r="H63" s="9">
        <f>'Life Care Services'!H28</f>
        <v>0</v>
      </c>
      <c r="I63" s="83">
        <f>'Life Care Services'!I28</f>
        <v>0</v>
      </c>
      <c r="J63" s="9">
        <f>'Life Care Services'!J28</f>
        <v>105.27879169532652</v>
      </c>
      <c r="K63" s="9">
        <f>'Life Care Services'!K28</f>
        <v>105.27879169532652</v>
      </c>
      <c r="L63" s="9">
        <f>'Life Care Services'!L28</f>
        <v>6366.8973495615628</v>
      </c>
      <c r="M63" s="9">
        <f>'Life Care Services'!M28</f>
        <v>20342.228810784254</v>
      </c>
      <c r="N63" s="9">
        <f>'Life Care Services'!N28</f>
        <v>43586.715076454639</v>
      </c>
      <c r="O63" s="9">
        <f>'Life Care Services'!O28</f>
        <v>76958.545319846919</v>
      </c>
      <c r="P63" s="9">
        <f>'Life Care Services'!P28</f>
        <v>117380.60778395695</v>
      </c>
      <c r="Q63" s="9">
        <f>'Life Care Services'!Q28</f>
        <v>118554.41386179652</v>
      </c>
    </row>
    <row r="64" spans="2:17">
      <c r="B64" s="42" t="s">
        <v>95</v>
      </c>
      <c r="E64" s="9">
        <f t="shared" ref="E64:G64" si="13">SUM(E65:E66)</f>
        <v>0</v>
      </c>
      <c r="F64" s="9">
        <f t="shared" si="13"/>
        <v>0</v>
      </c>
      <c r="G64" s="9">
        <f t="shared" si="13"/>
        <v>0</v>
      </c>
      <c r="H64" s="9">
        <f t="shared" ref="H64:Q64" si="14">SUM(H65:H66)</f>
        <v>0</v>
      </c>
      <c r="I64" s="83">
        <f t="shared" si="14"/>
        <v>0</v>
      </c>
      <c r="J64" s="9">
        <f t="shared" si="14"/>
        <v>0</v>
      </c>
      <c r="K64" s="9">
        <f t="shared" si="14"/>
        <v>0</v>
      </c>
      <c r="L64" s="9">
        <f t="shared" si="14"/>
        <v>0</v>
      </c>
      <c r="M64" s="9">
        <f t="shared" si="14"/>
        <v>0</v>
      </c>
      <c r="N64" s="9">
        <f t="shared" si="14"/>
        <v>0</v>
      </c>
      <c r="O64" s="9">
        <f t="shared" si="14"/>
        <v>0</v>
      </c>
      <c r="P64" s="9">
        <f t="shared" si="14"/>
        <v>0</v>
      </c>
      <c r="Q64" s="9">
        <f t="shared" si="14"/>
        <v>0</v>
      </c>
    </row>
    <row r="65" spans="2:17" outlineLevel="1">
      <c r="B65" s="84"/>
      <c r="I65" s="83"/>
    </row>
    <row r="66" spans="2:17" outlineLevel="1">
      <c r="B66" s="84"/>
      <c r="I66" s="83"/>
    </row>
    <row r="67" spans="2:17">
      <c r="B67" s="42" t="s">
        <v>96</v>
      </c>
      <c r="E67" s="9">
        <f t="shared" ref="E67:Q67" si="15">E68</f>
        <v>187220.736538</v>
      </c>
      <c r="F67" s="9">
        <f t="shared" si="15"/>
        <v>223867.06245799997</v>
      </c>
      <c r="G67" s="9">
        <f t="shared" si="15"/>
        <v>241326.024045</v>
      </c>
      <c r="H67" s="9">
        <f t="shared" si="15"/>
        <v>259694.14600000001</v>
      </c>
      <c r="I67" s="83">
        <f t="shared" si="15"/>
        <v>200681.67199999999</v>
      </c>
      <c r="J67" s="9">
        <f t="shared" si="15"/>
        <v>64702.047238430714</v>
      </c>
      <c r="K67" s="9">
        <f t="shared" si="15"/>
        <v>265383.71923843073</v>
      </c>
      <c r="L67" s="9">
        <f t="shared" si="15"/>
        <v>212818.35812620015</v>
      </c>
      <c r="M67" s="9">
        <f t="shared" si="15"/>
        <v>181369.74914058464</v>
      </c>
      <c r="N67" s="9">
        <f t="shared" si="15"/>
        <v>144312.4811201496</v>
      </c>
      <c r="O67" s="9">
        <f t="shared" si="15"/>
        <v>103701.36048430245</v>
      </c>
      <c r="P67" s="9">
        <f t="shared" si="15"/>
        <v>65566.57350685542</v>
      </c>
      <c r="Q67" s="9">
        <f t="shared" si="15"/>
        <v>66222.239241923977</v>
      </c>
    </row>
    <row r="68" spans="2:17" outlineLevel="1">
      <c r="B68" s="84" t="s">
        <v>94</v>
      </c>
      <c r="C68" s="9" t="s">
        <v>97</v>
      </c>
      <c r="E68" s="9">
        <f>E136</f>
        <v>187220.736538</v>
      </c>
      <c r="F68" s="9">
        <f>F136</f>
        <v>223867.06245799997</v>
      </c>
      <c r="G68" s="9">
        <f>G136</f>
        <v>241326.024045</v>
      </c>
      <c r="H68" s="9">
        <f t="shared" ref="H68:I68" si="16">H136</f>
        <v>259694.14600000001</v>
      </c>
      <c r="I68" s="83">
        <f t="shared" si="16"/>
        <v>200681.67199999999</v>
      </c>
      <c r="J68" s="9">
        <f>'Others&amp;NWC'!J38</f>
        <v>64702.047238430714</v>
      </c>
      <c r="K68" s="9">
        <f>SUM(I68:J68)</f>
        <v>265383.71923843073</v>
      </c>
      <c r="L68" s="9">
        <f>'Others&amp;NWC'!L38</f>
        <v>212818.35812620015</v>
      </c>
      <c r="M68" s="9">
        <f>'Others&amp;NWC'!M38</f>
        <v>181369.74914058464</v>
      </c>
      <c r="N68" s="9">
        <f>'Others&amp;NWC'!N38</f>
        <v>144312.4811201496</v>
      </c>
      <c r="O68" s="9">
        <f>'Others&amp;NWC'!O38</f>
        <v>103701.36048430245</v>
      </c>
      <c r="P68" s="9">
        <f>'Others&amp;NWC'!P38</f>
        <v>65566.57350685542</v>
      </c>
      <c r="Q68" s="9">
        <f>P68*(1+DCF!$F$44)</f>
        <v>66222.239241923977</v>
      </c>
    </row>
    <row r="69" spans="2:17">
      <c r="B69" s="42" t="s">
        <v>98</v>
      </c>
      <c r="E69" s="9">
        <f>'Others&amp;NWC'!E10</f>
        <v>-10129.123301260766</v>
      </c>
      <c r="F69" s="9">
        <f>'Others&amp;NWC'!F10</f>
        <v>-18329.83742090642</v>
      </c>
      <c r="G69" s="9">
        <f>'Others&amp;NWC'!G10</f>
        <v>-12186.237000238913</v>
      </c>
      <c r="H69" s="9">
        <f>'Others&amp;NWC'!H10</f>
        <v>-10965.302723245592</v>
      </c>
      <c r="I69" s="83">
        <f>'Others&amp;NWC'!I10</f>
        <v>-7659.0864619304957</v>
      </c>
      <c r="J69" s="9">
        <f>'Others&amp;NWC'!J10</f>
        <v>-3195.7430241306533</v>
      </c>
      <c r="K69" s="85">
        <f>'Others&amp;NWC'!K10</f>
        <v>-10854.82948606115</v>
      </c>
      <c r="L69" s="9">
        <f>'Others&amp;NWC'!L10</f>
        <v>-13763.157575037829</v>
      </c>
      <c r="M69" s="9">
        <f>'Others&amp;NWC'!M10</f>
        <v>-15317.613956554473</v>
      </c>
      <c r="N69" s="9">
        <f>'Others&amp;NWC'!N10</f>
        <v>-16940.589776159908</v>
      </c>
      <c r="O69" s="9">
        <f>'Others&amp;NWC'!O10</f>
        <v>-18534.769376369841</v>
      </c>
      <c r="P69" s="9">
        <f>'Others&amp;NWC'!P10</f>
        <v>-20266.629774954112</v>
      </c>
      <c r="Q69" s="9">
        <f>'Others&amp;NWC'!Q10</f>
        <v>-20469.296072703655</v>
      </c>
    </row>
    <row r="70" spans="2:17" ht="16.2" thickBot="1">
      <c r="B70" s="87" t="s">
        <v>11</v>
      </c>
      <c r="C70" s="87"/>
      <c r="D70" s="87"/>
      <c r="E70" s="87">
        <f t="shared" ref="E70:Q70" si="17">E8-E36</f>
        <v>285939.28761326068</v>
      </c>
      <c r="F70" s="87">
        <f t="shared" si="17"/>
        <v>350776.34000610025</v>
      </c>
      <c r="G70" s="87">
        <f t="shared" si="17"/>
        <v>345497.85640265094</v>
      </c>
      <c r="H70" s="87">
        <f t="shared" si="17"/>
        <v>371525.69071283354</v>
      </c>
      <c r="I70" s="88">
        <f t="shared" si="17"/>
        <v>310667.69552456238</v>
      </c>
      <c r="J70" s="87">
        <f t="shared" si="17"/>
        <v>114419.17271945032</v>
      </c>
      <c r="K70" s="87">
        <f t="shared" si="17"/>
        <v>425086.86824401282</v>
      </c>
      <c r="L70" s="87">
        <f t="shared" si="17"/>
        <v>518372.38680653134</v>
      </c>
      <c r="M70" s="87">
        <f t="shared" si="17"/>
        <v>593099.94433398708</v>
      </c>
      <c r="N70" s="87">
        <f t="shared" si="17"/>
        <v>689696.07886692509</v>
      </c>
      <c r="O70" s="87">
        <f t="shared" si="17"/>
        <v>816636.8586940635</v>
      </c>
      <c r="P70" s="87">
        <f t="shared" si="17"/>
        <v>947719.98842502432</v>
      </c>
      <c r="Q70" s="87">
        <f t="shared" si="17"/>
        <v>957197.18830927415</v>
      </c>
    </row>
    <row r="71" spans="2:17">
      <c r="B71" s="16" t="s">
        <v>99</v>
      </c>
      <c r="E71" s="16">
        <f t="shared" ref="E71:Q71" si="18">SUM(E72,E77,E81,E85,E90,E98)</f>
        <v>101655.1921334463</v>
      </c>
      <c r="F71" s="16">
        <f t="shared" si="18"/>
        <v>218135.16999910015</v>
      </c>
      <c r="G71" s="16">
        <f t="shared" si="18"/>
        <v>232776.77492865076</v>
      </c>
      <c r="H71" s="16">
        <f t="shared" si="18"/>
        <v>249632.63281283353</v>
      </c>
      <c r="I71" s="17">
        <f t="shared" si="18"/>
        <v>209585.74667656232</v>
      </c>
      <c r="J71" s="16">
        <f t="shared" si="18"/>
        <v>69983.903057338073</v>
      </c>
      <c r="K71" s="16">
        <f t="shared" si="18"/>
        <v>279569.64973390038</v>
      </c>
      <c r="L71" s="16">
        <f t="shared" si="18"/>
        <v>305685.78524713451</v>
      </c>
      <c r="M71" s="16">
        <f t="shared" si="18"/>
        <v>331143.08690197876</v>
      </c>
      <c r="N71" s="16">
        <f t="shared" si="18"/>
        <v>359321.9806558913</v>
      </c>
      <c r="O71" s="16">
        <f t="shared" si="18"/>
        <v>390597.26219234063</v>
      </c>
      <c r="P71" s="16">
        <f t="shared" si="18"/>
        <v>420437.82886491425</v>
      </c>
      <c r="Q71" s="16">
        <f t="shared" si="18"/>
        <v>424642.20715356339</v>
      </c>
    </row>
    <row r="72" spans="2:17">
      <c r="B72" s="42" t="s">
        <v>100</v>
      </c>
      <c r="E72" s="9">
        <f t="shared" ref="E72:Q72" si="19">SUM(E73:E76)</f>
        <v>83974.484313000008</v>
      </c>
      <c r="F72" s="9">
        <f t="shared" si="19"/>
        <v>111505.31920799999</v>
      </c>
      <c r="G72" s="9">
        <f t="shared" si="19"/>
        <v>108194.07101699998</v>
      </c>
      <c r="H72" s="9">
        <f t="shared" si="19"/>
        <v>113394.13387300001</v>
      </c>
      <c r="I72" s="83">
        <f t="shared" si="19"/>
        <v>87596.006433835733</v>
      </c>
      <c r="J72" s="9">
        <f t="shared" si="19"/>
        <v>29183.066430132454</v>
      </c>
      <c r="K72" s="9">
        <f t="shared" si="19"/>
        <v>116779.07286396819</v>
      </c>
      <c r="L72" s="9">
        <f t="shared" si="19"/>
        <v>121555.34141682055</v>
      </c>
      <c r="M72" s="9">
        <f t="shared" si="19"/>
        <v>124703.52158429375</v>
      </c>
      <c r="N72" s="9">
        <f t="shared" si="19"/>
        <v>128273.60754716088</v>
      </c>
      <c r="O72" s="9">
        <f t="shared" si="19"/>
        <v>132623.09816331131</v>
      </c>
      <c r="P72" s="9">
        <f t="shared" si="19"/>
        <v>136834.08511011058</v>
      </c>
      <c r="Q72" s="9">
        <f t="shared" si="19"/>
        <v>138202.42596121167</v>
      </c>
    </row>
    <row r="73" spans="2:17" outlineLevel="1">
      <c r="B73" s="82" t="s">
        <v>79</v>
      </c>
      <c r="E73" s="9">
        <f>'Physical Security'!E21</f>
        <v>56742.943632000002</v>
      </c>
      <c r="F73" s="9">
        <f>'Physical Security'!F21</f>
        <v>72967.168418999994</v>
      </c>
      <c r="G73" s="9">
        <f>'Physical Security'!G21</f>
        <v>71937.883710999988</v>
      </c>
      <c r="H73" s="9">
        <f>'Physical Security'!H21</f>
        <v>74869.909484000003</v>
      </c>
      <c r="I73" s="83">
        <f>'Physical Security'!I21</f>
        <v>57025.616710115399</v>
      </c>
      <c r="J73" s="9">
        <f>'Physical Security'!J21</f>
        <v>19008.538903371802</v>
      </c>
      <c r="K73" s="9">
        <f>'Physical Security'!K21</f>
        <v>76034.155613487208</v>
      </c>
      <c r="L73" s="9">
        <f>'Physical Security'!L21</f>
        <v>79174.402930167809</v>
      </c>
      <c r="M73" s="9">
        <f>'Physical Security'!M21</f>
        <v>81089.391637013367</v>
      </c>
      <c r="N73" s="9">
        <f>'Physical Security'!N21</f>
        <v>83374.568222014015</v>
      </c>
      <c r="O73" s="9">
        <f>'Physical Security'!O21</f>
        <v>86476.118840942989</v>
      </c>
      <c r="P73" s="9">
        <f>'Physical Security'!P21</f>
        <v>89416.306881535042</v>
      </c>
      <c r="Q73" s="9">
        <f>'Physical Security'!Q21</f>
        <v>90310.469950350394</v>
      </c>
    </row>
    <row r="74" spans="2:17" outlineLevel="1">
      <c r="B74" s="82" t="s">
        <v>90</v>
      </c>
      <c r="E74" s="9">
        <f>'Physical Security'!E22</f>
        <v>12346.148953</v>
      </c>
      <c r="F74" s="9">
        <f>'Physical Security'!F22</f>
        <v>17923.529001999999</v>
      </c>
      <c r="G74" s="9">
        <f>'Physical Security'!G22</f>
        <v>16764.381788999999</v>
      </c>
      <c r="H74" s="9">
        <f>'Physical Security'!H22</f>
        <v>18373.537100000001</v>
      </c>
      <c r="I74" s="83">
        <f>'Physical Security'!I22</f>
        <v>14111.33673370523</v>
      </c>
      <c r="J74" s="9">
        <f>'Physical Security'!J22</f>
        <v>4688.1765300889529</v>
      </c>
      <c r="K74" s="9">
        <f>'Physical Security'!K22</f>
        <v>18799.513263794182</v>
      </c>
      <c r="L74" s="9">
        <f>'Physical Security'!L22</f>
        <v>19643.620875234956</v>
      </c>
      <c r="M74" s="9">
        <f>'Physical Security'!M22</f>
        <v>20100.132746283965</v>
      </c>
      <c r="N74" s="9">
        <f>'Physical Security'!N22</f>
        <v>20620.104494554223</v>
      </c>
      <c r="O74" s="9">
        <f>'Physical Security'!O22</f>
        <v>21111.767888133836</v>
      </c>
      <c r="P74" s="9">
        <f>'Physical Security'!P22</f>
        <v>21652.839211547645</v>
      </c>
      <c r="Q74" s="9">
        <f>'Physical Security'!Q22</f>
        <v>21869.367603663122</v>
      </c>
    </row>
    <row r="75" spans="2:17" outlineLevel="1">
      <c r="B75" s="82" t="s">
        <v>101</v>
      </c>
      <c r="E75" s="9">
        <f>'Physical Security'!E23</f>
        <v>14885.391728000001</v>
      </c>
      <c r="F75" s="9">
        <f>'Physical Security'!F23</f>
        <v>20614.621787</v>
      </c>
      <c r="G75" s="9">
        <f>'Physical Security'!G23</f>
        <v>19491.805517000001</v>
      </c>
      <c r="H75" s="9">
        <f>'Physical Security'!H23</f>
        <v>20150.687289000001</v>
      </c>
      <c r="I75" s="83">
        <f>'Physical Security'!I23</f>
        <v>16459.052990015101</v>
      </c>
      <c r="J75" s="9">
        <f>'Physical Security'!J23</f>
        <v>5486.3509966717002</v>
      </c>
      <c r="K75" s="9">
        <f>'Physical Security'!K23</f>
        <v>21945.403986686801</v>
      </c>
      <c r="L75" s="9">
        <f>'Physical Security'!L23</f>
        <v>22737.317611417773</v>
      </c>
      <c r="M75" s="9">
        <f>'Physical Security'!M23</f>
        <v>23513.997200996408</v>
      </c>
      <c r="N75" s="9">
        <f>'Physical Security'!N23</f>
        <v>24278.934830592647</v>
      </c>
      <c r="O75" s="9">
        <f>'Physical Security'!O23</f>
        <v>25035.211434234487</v>
      </c>
      <c r="P75" s="9">
        <f>'Physical Security'!P23</f>
        <v>25764.939017027886</v>
      </c>
      <c r="Q75" s="9">
        <f>'Physical Security'!Q23</f>
        <v>26022.588407198164</v>
      </c>
    </row>
    <row r="76" spans="2:17" outlineLevel="1">
      <c r="B76" s="82" t="s">
        <v>16</v>
      </c>
      <c r="E76" s="9">
        <f>'Physical Security'!E24</f>
        <v>0</v>
      </c>
      <c r="F76" s="9">
        <f>'Physical Security'!F24</f>
        <v>0</v>
      </c>
      <c r="G76" s="9">
        <f>'Physical Security'!G24</f>
        <v>0</v>
      </c>
      <c r="H76" s="9">
        <f>'Physical Security'!H24</f>
        <v>0</v>
      </c>
      <c r="I76" s="83">
        <f>'Physical Security'!I24</f>
        <v>0</v>
      </c>
      <c r="J76" s="9">
        <f>'Physical Security'!J24</f>
        <v>0</v>
      </c>
      <c r="K76" s="9">
        <f>'Physical Security'!K24</f>
        <v>0</v>
      </c>
      <c r="L76" s="9">
        <f>'Physical Security'!L24</f>
        <v>0</v>
      </c>
      <c r="M76" s="9">
        <f>'Physical Security'!M24</f>
        <v>0</v>
      </c>
      <c r="N76" s="9">
        <f>'Physical Security'!N24</f>
        <v>0</v>
      </c>
      <c r="O76" s="9">
        <f>'Physical Security'!O24</f>
        <v>0</v>
      </c>
      <c r="P76" s="9">
        <f>'Physical Security'!P24</f>
        <v>0</v>
      </c>
      <c r="Q76" s="9">
        <f>'Physical Security'!Q24</f>
        <v>0</v>
      </c>
    </row>
    <row r="77" spans="2:17">
      <c r="B77" s="42" t="s">
        <v>102</v>
      </c>
      <c r="E77" s="9">
        <f>SUM(E78:E80)</f>
        <v>13823.072509500002</v>
      </c>
      <c r="F77" s="9">
        <f t="shared" ref="F77:Q77" si="20">SUM(F78:F80)</f>
        <v>20214.906708049861</v>
      </c>
      <c r="G77" s="9">
        <f t="shared" si="20"/>
        <v>22016.0919701155</v>
      </c>
      <c r="H77" s="9">
        <f t="shared" si="20"/>
        <v>23199.060975025161</v>
      </c>
      <c r="I77" s="83">
        <f t="shared" si="20"/>
        <v>19803.883287342629</v>
      </c>
      <c r="J77" s="9">
        <f t="shared" si="20"/>
        <v>6601.2944291142094</v>
      </c>
      <c r="K77" s="9">
        <f t="shared" si="20"/>
        <v>26405.177716456841</v>
      </c>
      <c r="L77" s="9">
        <f t="shared" si="20"/>
        <v>31624.794162913167</v>
      </c>
      <c r="M77" s="9">
        <f t="shared" si="20"/>
        <v>36291.583310113143</v>
      </c>
      <c r="N77" s="9">
        <f t="shared" si="20"/>
        <v>41342.006196321134</v>
      </c>
      <c r="O77" s="9">
        <f t="shared" si="20"/>
        <v>46965.462687369167</v>
      </c>
      <c r="P77" s="9">
        <f t="shared" si="20"/>
        <v>53017.256471810593</v>
      </c>
      <c r="Q77" s="9">
        <f t="shared" si="20"/>
        <v>53547.429036528702</v>
      </c>
    </row>
    <row r="78" spans="2:17" outlineLevel="1">
      <c r="B78" s="82" t="s">
        <v>79</v>
      </c>
      <c r="E78" s="9">
        <f>CyberSecurity!E30</f>
        <v>10810.7229945</v>
      </c>
      <c r="F78" s="9">
        <f>CyberSecurity!F30</f>
        <v>14191.385900303232</v>
      </c>
      <c r="G78" s="9">
        <f>CyberSecurity!G30</f>
        <v>14663.606066900533</v>
      </c>
      <c r="H78" s="9">
        <f>CyberSecurity!H30</f>
        <v>16575.496022351483</v>
      </c>
      <c r="I78" s="83">
        <f>CyberSecurity!I30</f>
        <v>14413.957307104427</v>
      </c>
      <c r="J78" s="9">
        <f>CyberSecurity!J30</f>
        <v>4804.652435701475</v>
      </c>
      <c r="K78" s="9">
        <f>CyberSecurity!K30</f>
        <v>19218.6097428059</v>
      </c>
      <c r="L78" s="9">
        <f>CyberSecurity!L30</f>
        <v>24323.241101683816</v>
      </c>
      <c r="M78" s="9">
        <f>CyberSecurity!M30</f>
        <v>28960.824036638875</v>
      </c>
      <c r="N78" s="9">
        <f>CyberSecurity!N30</f>
        <v>33893.954774471276</v>
      </c>
      <c r="O78" s="9">
        <f>CyberSecurity!O30</f>
        <v>39375.898288504162</v>
      </c>
      <c r="P78" s="9">
        <f>CyberSecurity!P30</f>
        <v>45253.132091771695</v>
      </c>
      <c r="Q78" s="9">
        <f>CyberSecurity!Q30</f>
        <v>45705.663412689413</v>
      </c>
    </row>
    <row r="79" spans="2:17" outlineLevel="1">
      <c r="B79" s="82" t="s">
        <v>101</v>
      </c>
      <c r="E79" s="9">
        <f>CyberSecurity!E31</f>
        <v>3012.3495150000008</v>
      </c>
      <c r="F79" s="9">
        <f>CyberSecurity!F31</f>
        <v>6023.5208077466295</v>
      </c>
      <c r="G79" s="9">
        <f>CyberSecurity!G31</f>
        <v>7352.485903214967</v>
      </c>
      <c r="H79" s="9">
        <f>CyberSecurity!H31</f>
        <v>6623.564952673677</v>
      </c>
      <c r="I79" s="83">
        <f>CyberSecurity!I31</f>
        <v>5389.9259802382039</v>
      </c>
      <c r="J79" s="9">
        <f>CyberSecurity!J31</f>
        <v>1796.6419934127346</v>
      </c>
      <c r="K79" s="9">
        <f>CyberSecurity!K31</f>
        <v>7186.5679736509392</v>
      </c>
      <c r="L79" s="9">
        <f>CyberSecurity!L31</f>
        <v>7301.5530612293533</v>
      </c>
      <c r="M79" s="9">
        <f>CyberSecurity!M31</f>
        <v>7330.7592734742711</v>
      </c>
      <c r="N79" s="9">
        <f>CyberSecurity!N31</f>
        <v>7448.0514218498583</v>
      </c>
      <c r="O79" s="9">
        <f>CyberSecurity!O31</f>
        <v>7589.5643988650054</v>
      </c>
      <c r="P79" s="9">
        <f>CyberSecurity!P31</f>
        <v>7764.1243800388993</v>
      </c>
      <c r="Q79" s="9">
        <f>CyberSecurity!Q31</f>
        <v>7841.7656238392883</v>
      </c>
    </row>
    <row r="80" spans="2:17" outlineLevel="1">
      <c r="B80" s="82" t="s">
        <v>16</v>
      </c>
      <c r="E80" s="9">
        <f>CyberSecurity!E32</f>
        <v>0</v>
      </c>
      <c r="F80" s="9">
        <f>CyberSecurity!F32</f>
        <v>0</v>
      </c>
      <c r="G80" s="9">
        <f>CyberSecurity!G32</f>
        <v>0</v>
      </c>
      <c r="H80" s="9">
        <f>CyberSecurity!H32</f>
        <v>0</v>
      </c>
      <c r="I80" s="83">
        <f>CyberSecurity!I32</f>
        <v>0</v>
      </c>
      <c r="J80" s="9">
        <f>CyberSecurity!J32</f>
        <v>0</v>
      </c>
      <c r="K80" s="9">
        <f>CyberSecurity!K32</f>
        <v>0</v>
      </c>
      <c r="L80" s="9">
        <f>CyberSecurity!L32</f>
        <v>0</v>
      </c>
      <c r="M80" s="9">
        <f>CyberSecurity!M32</f>
        <v>0</v>
      </c>
      <c r="N80" s="9">
        <f>CyberSecurity!N32</f>
        <v>0</v>
      </c>
      <c r="O80" s="9">
        <f>CyberSecurity!O32</f>
        <v>0</v>
      </c>
      <c r="P80" s="9">
        <f>CyberSecurity!P32</f>
        <v>0</v>
      </c>
      <c r="Q80" s="9">
        <f>CyberSecurity!Q32</f>
        <v>0</v>
      </c>
    </row>
    <row r="81" spans="2:17">
      <c r="B81" s="42" t="s">
        <v>103</v>
      </c>
      <c r="E81" s="9">
        <f>SUM(E82:E84)</f>
        <v>6665.4613150000005</v>
      </c>
      <c r="F81" s="9">
        <f t="shared" ref="F81:Q81" si="21">SUM(F82:F84)</f>
        <v>10084.808392556966</v>
      </c>
      <c r="G81" s="9">
        <f t="shared" si="21"/>
        <v>15684.818339369764</v>
      </c>
      <c r="H81" s="9">
        <f t="shared" si="21"/>
        <v>17321.521657251498</v>
      </c>
      <c r="I81" s="83">
        <f t="shared" si="21"/>
        <v>18263.775509789441</v>
      </c>
      <c r="J81" s="9">
        <f t="shared" si="21"/>
        <v>6130.4018213738555</v>
      </c>
      <c r="K81" s="9">
        <f t="shared" si="21"/>
        <v>24394.177331163297</v>
      </c>
      <c r="L81" s="9">
        <f t="shared" si="21"/>
        <v>28078.149967786052</v>
      </c>
      <c r="M81" s="9">
        <f t="shared" si="21"/>
        <v>31562.013275313948</v>
      </c>
      <c r="N81" s="9">
        <f t="shared" si="21"/>
        <v>35614.001099877089</v>
      </c>
      <c r="O81" s="9">
        <f t="shared" si="21"/>
        <v>40642.177120062603</v>
      </c>
      <c r="P81" s="9">
        <f t="shared" si="21"/>
        <v>44517.391411850331</v>
      </c>
      <c r="Q81" s="9">
        <f t="shared" si="21"/>
        <v>44962.565325968826</v>
      </c>
    </row>
    <row r="82" spans="2:17" outlineLevel="1">
      <c r="B82" s="82" t="s">
        <v>79</v>
      </c>
      <c r="E82" s="9">
        <f>'Converged Security'!E25</f>
        <v>5850.7023730000001</v>
      </c>
      <c r="F82" s="9">
        <f>'Converged Security'!F25</f>
        <v>8365.2098493376016</v>
      </c>
      <c r="G82" s="9">
        <f>'Converged Security'!G25</f>
        <v>12701.284787749863</v>
      </c>
      <c r="H82" s="9">
        <f>'Converged Security'!H25</f>
        <v>13906.934436505642</v>
      </c>
      <c r="I82" s="83">
        <f>'Converged Security'!I25</f>
        <v>14667.634034164004</v>
      </c>
      <c r="J82" s="9">
        <f>'Converged Security'!J25</f>
        <v>4931.6879961653767</v>
      </c>
      <c r="K82" s="9">
        <f>'Converged Security'!K25</f>
        <v>19599.322030329382</v>
      </c>
      <c r="L82" s="9">
        <f>'Converged Security'!L25</f>
        <v>23859.841629280771</v>
      </c>
      <c r="M82" s="9">
        <f>'Converged Security'!M25</f>
        <v>27325.121985148762</v>
      </c>
      <c r="N82" s="9">
        <f>'Converged Security'!N25</f>
        <v>31308.269098142126</v>
      </c>
      <c r="O82" s="9">
        <f>'Converged Security'!O25</f>
        <v>36253.826312629848</v>
      </c>
      <c r="P82" s="9">
        <f>'Converged Security'!P25</f>
        <v>40027.55348598033</v>
      </c>
      <c r="Q82" s="9">
        <f>'Converged Security'!Q25</f>
        <v>40427.82902084013</v>
      </c>
    </row>
    <row r="83" spans="2:17" outlineLevel="1">
      <c r="B83" s="82" t="s">
        <v>101</v>
      </c>
      <c r="E83" s="9">
        <f>'Converged Security'!E26</f>
        <v>814.75894200000005</v>
      </c>
      <c r="F83" s="9">
        <f>'Converged Security'!F26</f>
        <v>1719.5985432193643</v>
      </c>
      <c r="G83" s="9">
        <f>'Converged Security'!G26</f>
        <v>2983.5335516199011</v>
      </c>
      <c r="H83" s="9">
        <f>'Converged Security'!H26</f>
        <v>3414.5872207458578</v>
      </c>
      <c r="I83" s="83">
        <f>'Converged Security'!I26</f>
        <v>3596.1414756254367</v>
      </c>
      <c r="J83" s="9">
        <f>'Converged Security'!J26</f>
        <v>1198.713825208479</v>
      </c>
      <c r="K83" s="9">
        <f>'Converged Security'!K26</f>
        <v>4794.8553008339159</v>
      </c>
      <c r="L83" s="9">
        <f>'Converged Security'!L26</f>
        <v>4218.3083385052805</v>
      </c>
      <c r="M83" s="9">
        <f>'Converged Security'!M26</f>
        <v>4236.8912901651865</v>
      </c>
      <c r="N83" s="9">
        <f>'Converged Security'!N26</f>
        <v>4305.7320017349666</v>
      </c>
      <c r="O83" s="9">
        <f>'Converged Security'!O26</f>
        <v>4388.3508074327528</v>
      </c>
      <c r="P83" s="9">
        <f>'Converged Security'!P26</f>
        <v>4489.837925869997</v>
      </c>
      <c r="Q83" s="9">
        <f>'Converged Security'!Q26</f>
        <v>4534.7363051286966</v>
      </c>
    </row>
    <row r="84" spans="2:17" outlineLevel="1">
      <c r="B84" s="82" t="s">
        <v>16</v>
      </c>
      <c r="E84" s="9">
        <f>'Converged Security'!E27</f>
        <v>0</v>
      </c>
      <c r="F84" s="9">
        <f>'Converged Security'!F27</f>
        <v>0</v>
      </c>
      <c r="G84" s="9">
        <f>'Converged Security'!G27</f>
        <v>0</v>
      </c>
      <c r="H84" s="9">
        <f>'Converged Security'!H27</f>
        <v>0</v>
      </c>
      <c r="I84" s="83">
        <f>'Converged Security'!I27</f>
        <v>0</v>
      </c>
      <c r="J84" s="9">
        <f>'Converged Security'!J27</f>
        <v>0</v>
      </c>
      <c r="K84" s="9">
        <f>'Converged Security'!K27</f>
        <v>0</v>
      </c>
      <c r="L84" s="9">
        <f>'Converged Security'!L27</f>
        <v>0</v>
      </c>
      <c r="M84" s="9">
        <f>'Converged Security'!M27</f>
        <v>0</v>
      </c>
      <c r="N84" s="9">
        <f>'Converged Security'!N27</f>
        <v>0</v>
      </c>
      <c r="O84" s="9">
        <f>'Converged Security'!O27</f>
        <v>0</v>
      </c>
      <c r="P84" s="9">
        <f>'Converged Security'!P27</f>
        <v>0</v>
      </c>
      <c r="Q84" s="9">
        <f>'Converged Security'!Q27</f>
        <v>0</v>
      </c>
    </row>
    <row r="85" spans="2:17">
      <c r="B85" s="42" t="s">
        <v>104</v>
      </c>
      <c r="E85" s="9">
        <f>SUM(E86:E89)</f>
        <v>0</v>
      </c>
      <c r="F85" s="9">
        <f t="shared" ref="F85:Q85" si="22">SUM(F86:F89)</f>
        <v>6593.0700709999992</v>
      </c>
      <c r="G85" s="9">
        <f t="shared" si="22"/>
        <v>9211.5956159999987</v>
      </c>
      <c r="H85" s="9">
        <f t="shared" si="22"/>
        <v>10409.015541337874</v>
      </c>
      <c r="I85" s="83">
        <f t="shared" si="22"/>
        <v>12533.094437344684</v>
      </c>
      <c r="J85" s="9">
        <f t="shared" si="22"/>
        <v>4133.9527131148943</v>
      </c>
      <c r="K85" s="9">
        <f t="shared" si="22"/>
        <v>16667.047150459577</v>
      </c>
      <c r="L85" s="9">
        <f t="shared" si="22"/>
        <v>17252.760664237921</v>
      </c>
      <c r="M85" s="9">
        <f t="shared" si="22"/>
        <v>22785.564647181924</v>
      </c>
      <c r="N85" s="9">
        <f t="shared" si="22"/>
        <v>31715.507295158171</v>
      </c>
      <c r="O85" s="9">
        <f t="shared" si="22"/>
        <v>43493.915730227702</v>
      </c>
      <c r="P85" s="9">
        <f t="shared" si="22"/>
        <v>55167.927598125767</v>
      </c>
      <c r="Q85" s="9">
        <f t="shared" si="22"/>
        <v>55719.606874107027</v>
      </c>
    </row>
    <row r="86" spans="2:17" outlineLevel="1">
      <c r="B86" s="84" t="s">
        <v>79</v>
      </c>
      <c r="E86" s="9">
        <f>'Life Care Services'!E31</f>
        <v>0</v>
      </c>
      <c r="F86" s="9">
        <f>'Life Care Services'!F31</f>
        <v>5112.7683489999999</v>
      </c>
      <c r="G86" s="9">
        <f>'Life Care Services'!G31</f>
        <v>6093.7834609999991</v>
      </c>
      <c r="H86" s="9">
        <f>'Life Care Services'!H31</f>
        <v>5905.1204059999991</v>
      </c>
      <c r="I86" s="83">
        <f>'Life Care Services'!I31</f>
        <v>4914.3181366946683</v>
      </c>
      <c r="J86" s="9">
        <f>'Life Care Services'!J31</f>
        <v>1638.1060455648894</v>
      </c>
      <c r="K86" s="9">
        <f>'Life Care Services'!K31</f>
        <v>6552.4241822595577</v>
      </c>
      <c r="L86" s="9">
        <f>'Life Care Services'!L31</f>
        <v>7035.8666404837795</v>
      </c>
      <c r="M86" s="9">
        <f>'Life Care Services'!M31</f>
        <v>7375.4565042209306</v>
      </c>
      <c r="N86" s="9">
        <f>'Life Care Services'!N31</f>
        <v>7479.6606526774713</v>
      </c>
      <c r="O86" s="9">
        <f>'Life Care Services'!O31</f>
        <v>7728.9598854387668</v>
      </c>
      <c r="P86" s="9">
        <f>'Life Care Services'!P31</f>
        <v>7899.8174194350395</v>
      </c>
      <c r="Q86" s="9">
        <f>'Life Care Services'!Q31</f>
        <v>7978.8155936293897</v>
      </c>
    </row>
    <row r="87" spans="2:17" outlineLevel="1">
      <c r="B87" s="84" t="s">
        <v>90</v>
      </c>
      <c r="E87" s="9">
        <f>'Life Care Services'!E32</f>
        <v>0</v>
      </c>
      <c r="F87" s="9">
        <f>'Life Care Services'!F32</f>
        <v>646.23930599999994</v>
      </c>
      <c r="G87" s="9">
        <f>'Life Care Services'!G32</f>
        <v>1586.0510399999998</v>
      </c>
      <c r="H87" s="9">
        <f>'Life Care Services'!H32</f>
        <v>2315.5678090000001</v>
      </c>
      <c r="I87" s="83">
        <f>'Life Care Services'!I32</f>
        <v>5461.9159876641852</v>
      </c>
      <c r="J87" s="9">
        <f>'Life Care Services'!J32</f>
        <v>1820.6386625547284</v>
      </c>
      <c r="K87" s="9">
        <f>'Life Care Services'!K32</f>
        <v>7282.5546502189136</v>
      </c>
      <c r="L87" s="9">
        <f>'Life Care Services'!L32</f>
        <v>7459.3490313534312</v>
      </c>
      <c r="M87" s="9">
        <f>'Life Care Services'!M32</f>
        <v>12636.01970940588</v>
      </c>
      <c r="N87" s="9">
        <f>'Life Care Services'!N32</f>
        <v>21434.011816244434</v>
      </c>
      <c r="O87" s="9">
        <f>'Life Care Services'!O32</f>
        <v>32929.492471412181</v>
      </c>
      <c r="P87" s="9">
        <f>'Life Care Services'!P32</f>
        <v>44395.776276773024</v>
      </c>
      <c r="Q87" s="9">
        <f>'Life Care Services'!Q32</f>
        <v>44839.734039540752</v>
      </c>
    </row>
    <row r="88" spans="2:17" s="4" customFormat="1" outlineLevel="1">
      <c r="B88" s="84" t="s">
        <v>101</v>
      </c>
      <c r="E88" s="4">
        <f>'Life Care Services'!E33</f>
        <v>0</v>
      </c>
      <c r="F88" s="4">
        <f>'Life Care Services'!F33</f>
        <v>834.06241599999987</v>
      </c>
      <c r="G88" s="4">
        <f>'Life Care Services'!G33</f>
        <v>1531.761115</v>
      </c>
      <c r="H88" s="4">
        <f>'Life Care Services'!H33</f>
        <v>2188.327326337876</v>
      </c>
      <c r="I88" s="18">
        <f>'Life Care Services'!I33</f>
        <v>2156.8603129858302</v>
      </c>
      <c r="J88" s="4">
        <f>'Life Care Services'!J33</f>
        <v>675.20800499527684</v>
      </c>
      <c r="K88" s="4">
        <f>'Life Care Services'!K33</f>
        <v>2832.0683179811072</v>
      </c>
      <c r="L88" s="4">
        <f>'Life Care Services'!L33</f>
        <v>2757.5449924007103</v>
      </c>
      <c r="M88" s="4">
        <f>'Life Care Services'!M33</f>
        <v>2774.0884335551141</v>
      </c>
      <c r="N88" s="4">
        <f>'Life Care Services'!N33</f>
        <v>2801.8348262362656</v>
      </c>
      <c r="O88" s="4">
        <f>'Life Care Services'!O33</f>
        <v>2835.4633733767519</v>
      </c>
      <c r="P88" s="4">
        <f>'Life Care Services'!P33</f>
        <v>2872.3339019177047</v>
      </c>
      <c r="Q88" s="4">
        <f>'Life Care Services'!Q33</f>
        <v>2901.057240936882</v>
      </c>
    </row>
    <row r="89" spans="2:17" outlineLevel="1">
      <c r="B89" s="84" t="s">
        <v>16</v>
      </c>
      <c r="C89" s="16"/>
      <c r="D89" s="16"/>
      <c r="E89" s="9">
        <f>'Life Care Services'!E34</f>
        <v>0</v>
      </c>
      <c r="F89" s="9">
        <f>'Life Care Services'!F34</f>
        <v>0</v>
      </c>
      <c r="G89" s="9">
        <f>'Life Care Services'!G34</f>
        <v>0</v>
      </c>
      <c r="H89" s="9">
        <f>'Life Care Services'!H34</f>
        <v>0</v>
      </c>
      <c r="I89" s="83">
        <f>'Life Care Services'!I34</f>
        <v>0</v>
      </c>
      <c r="J89" s="4">
        <f>'Life Care Services'!J34</f>
        <v>0</v>
      </c>
      <c r="K89" s="4">
        <f>'Life Care Services'!K34</f>
        <v>0</v>
      </c>
      <c r="L89" s="4">
        <f>'Life Care Services'!L34</f>
        <v>0</v>
      </c>
      <c r="M89" s="4">
        <f>'Life Care Services'!M34</f>
        <v>0</v>
      </c>
      <c r="N89" s="4">
        <f>'Life Care Services'!N34</f>
        <v>0</v>
      </c>
      <c r="O89" s="4">
        <f>'Life Care Services'!O34</f>
        <v>0</v>
      </c>
      <c r="P89" s="4">
        <f>'Life Care Services'!P34</f>
        <v>0</v>
      </c>
      <c r="Q89" s="4">
        <f>'Life Care Services'!Q34</f>
        <v>0</v>
      </c>
    </row>
    <row r="90" spans="2:17" s="4" customFormat="1">
      <c r="B90" s="42" t="s">
        <v>105</v>
      </c>
      <c r="E90" s="4">
        <f>SUM(E91:E97)</f>
        <v>0.4980746855130837</v>
      </c>
      <c r="F90" s="4">
        <f t="shared" ref="F90:Q90" si="23">SUM(F91:F97)</f>
        <v>74562.07810458701</v>
      </c>
      <c r="G90" s="4">
        <f t="shared" si="23"/>
        <v>80559.889353572857</v>
      </c>
      <c r="H90" s="4">
        <f t="shared" si="23"/>
        <v>87632.211089581077</v>
      </c>
      <c r="I90" s="18">
        <f t="shared" si="23"/>
        <v>73027.32482439671</v>
      </c>
      <c r="J90" s="4">
        <f t="shared" si="23"/>
        <v>24586.522076937119</v>
      </c>
      <c r="K90" s="9">
        <f t="shared" si="23"/>
        <v>97613.846901333833</v>
      </c>
      <c r="L90" s="4">
        <f t="shared" si="23"/>
        <v>110019.73142506251</v>
      </c>
      <c r="M90" s="4">
        <f t="shared" si="23"/>
        <v>118882.32548149131</v>
      </c>
      <c r="N90" s="4">
        <f t="shared" si="23"/>
        <v>125721.03855370225</v>
      </c>
      <c r="O90" s="4">
        <f t="shared" si="23"/>
        <v>130507.86499330649</v>
      </c>
      <c r="P90" s="4">
        <f t="shared" si="23"/>
        <v>134814.14846766228</v>
      </c>
      <c r="Q90" s="4">
        <f t="shared" si="23"/>
        <v>136162.28995233891</v>
      </c>
    </row>
    <row r="91" spans="2:17" s="4" customFormat="1" outlineLevel="1">
      <c r="B91" s="84" t="s">
        <v>79</v>
      </c>
      <c r="E91" s="4">
        <f>'Others&amp;NWC'!E16</f>
        <v>0.24903734275654185</v>
      </c>
      <c r="F91" s="4">
        <f>'Others&amp;NWC'!F16</f>
        <v>51958.619081082892</v>
      </c>
      <c r="G91" s="4">
        <f>'Others&amp;NWC'!G16</f>
        <v>58433.27680629948</v>
      </c>
      <c r="H91" s="4">
        <f>'Others&amp;NWC'!H16</f>
        <v>61002.016157348888</v>
      </c>
      <c r="I91" s="18">
        <f>'Others&amp;NWC'!I16</f>
        <v>49777.645184396708</v>
      </c>
      <c r="J91" s="4">
        <f>'Others&amp;NWC'!J16</f>
        <v>16592.548394798898</v>
      </c>
      <c r="K91" s="4">
        <f>'Others&amp;NWC'!K16</f>
        <v>66370.193579195606</v>
      </c>
      <c r="L91" s="4">
        <f>'Others&amp;NWC'!L16</f>
        <v>68759.520548046654</v>
      </c>
      <c r="M91" s="4">
        <f>'Others&amp;NWC'!M16</f>
        <v>70065.951438459539</v>
      </c>
      <c r="N91" s="4">
        <f>'Others&amp;NWC'!N16</f>
        <v>71677.468321544104</v>
      </c>
      <c r="O91" s="4">
        <f>'Others&amp;NWC'!O16</f>
        <v>73971.147307833511</v>
      </c>
      <c r="P91" s="4">
        <f>'Others&amp;NWC'!P16</f>
        <v>76486.166316299859</v>
      </c>
      <c r="Q91" s="4">
        <f>'Others&amp;NWC'!Q16</f>
        <v>77251.027979462859</v>
      </c>
    </row>
    <row r="92" spans="2:17" s="4" customFormat="1" outlineLevel="1">
      <c r="B92" s="84" t="s">
        <v>107</v>
      </c>
      <c r="E92" s="4">
        <f>'Others&amp;NWC'!E18</f>
        <v>0</v>
      </c>
      <c r="F92" s="4">
        <f>'Others&amp;NWC'!F18</f>
        <v>4070.9449119999999</v>
      </c>
      <c r="G92" s="4">
        <f>'Others&amp;NWC'!G18</f>
        <v>2644.7160219999996</v>
      </c>
      <c r="H92" s="4">
        <f>'Others&amp;NWC'!H18</f>
        <v>3059.7509690000002</v>
      </c>
      <c r="I92" s="18">
        <f>'Others&amp;NWC'!I18</f>
        <v>3750</v>
      </c>
      <c r="J92" s="4">
        <f>'Others&amp;NWC'!J18</f>
        <v>1250</v>
      </c>
      <c r="K92" s="4">
        <f>'Others&amp;NWC'!K18</f>
        <v>5000</v>
      </c>
      <c r="L92" s="4">
        <f>'Others&amp;NWC'!L18</f>
        <v>5080</v>
      </c>
      <c r="M92" s="4">
        <f>'Others&amp;NWC'!M18</f>
        <v>5100.32</v>
      </c>
      <c r="N92" s="4">
        <f>'Others&amp;NWC'!N18</f>
        <v>5181.9251199999999</v>
      </c>
      <c r="O92" s="4">
        <f>'Others&amp;NWC'!O18</f>
        <v>5280.3816972799996</v>
      </c>
      <c r="P92" s="4">
        <f>'Others&amp;NWC'!P18</f>
        <v>5401.8304763174392</v>
      </c>
      <c r="Q92" s="4">
        <f>'Others&amp;NWC'!Q18</f>
        <v>5455.8487810806137</v>
      </c>
    </row>
    <row r="93" spans="2:17" s="4" customFormat="1" outlineLevel="1">
      <c r="B93" s="84" t="s">
        <v>108</v>
      </c>
      <c r="E93" s="4">
        <f>'Others&amp;NWC'!E20</f>
        <v>0.24903734275654185</v>
      </c>
      <c r="F93" s="4">
        <f>'Others&amp;NWC'!F20</f>
        <v>18532.514111504126</v>
      </c>
      <c r="G93" s="4">
        <f>'Others&amp;NWC'!G20</f>
        <v>19481.896525273383</v>
      </c>
      <c r="H93" s="4">
        <f>'Others&amp;NWC'!H20</f>
        <v>23570.443963232181</v>
      </c>
      <c r="I93" s="18">
        <f>'Others&amp;NWC'!I20</f>
        <v>17702.838639999998</v>
      </c>
      <c r="J93" s="4">
        <f>'Others&amp;NWC'!J20</f>
        <v>5638.1291978742665</v>
      </c>
      <c r="K93" s="4">
        <f>'Others&amp;NWC'!K20</f>
        <v>23340.967837874265</v>
      </c>
      <c r="L93" s="4">
        <f>'Others&amp;NWC'!L20</f>
        <v>23714.423323280254</v>
      </c>
      <c r="M93" s="4">
        <f>'Others&amp;NWC'!M20</f>
        <v>23809.281016573375</v>
      </c>
      <c r="N93" s="4">
        <f>'Others&amp;NWC'!N20</f>
        <v>24190.229512838549</v>
      </c>
      <c r="O93" s="4">
        <f>'Others&amp;NWC'!O20</f>
        <v>24649.843873582478</v>
      </c>
      <c r="P93" s="4">
        <f>'Others&amp;NWC'!P20</f>
        <v>25216.790282674872</v>
      </c>
      <c r="Q93" s="4">
        <f>'Others&amp;NWC'!Q20</f>
        <v>25468.958185501622</v>
      </c>
    </row>
    <row r="94" spans="2:17" s="4" customFormat="1" outlineLevel="1">
      <c r="B94" s="82" t="s">
        <v>109</v>
      </c>
      <c r="I94" s="18"/>
      <c r="J94" s="4">
        <f>'Others&amp;NWC'!J22</f>
        <v>182.81182200000001</v>
      </c>
      <c r="K94" s="4">
        <f>'Others&amp;NWC'!K22</f>
        <v>182.81182200000001</v>
      </c>
      <c r="L94" s="4">
        <f>'Others&amp;NWC'!L22</f>
        <v>8113.8175444329963</v>
      </c>
      <c r="M94" s="4">
        <f>'Others&amp;NWC'!M22</f>
        <v>14894.597123469086</v>
      </c>
      <c r="N94" s="4">
        <f>'Others&amp;NWC'!N22</f>
        <v>19047.005240522605</v>
      </c>
      <c r="O94" s="4">
        <f>'Others&amp;NWC'!O22</f>
        <v>20358.64385070623</v>
      </c>
      <c r="P94" s="4">
        <f>'Others&amp;NWC'!P22</f>
        <v>20811.227364514092</v>
      </c>
      <c r="Q94" s="4">
        <f>'Others&amp;NWC'!Q22</f>
        <v>21019.339638159232</v>
      </c>
    </row>
    <row r="95" spans="2:17" s="4" customFormat="1" outlineLevel="1">
      <c r="B95" s="82" t="s">
        <v>110</v>
      </c>
      <c r="I95" s="18"/>
      <c r="J95" s="4">
        <f>'Others&amp;NWC'!J23</f>
        <v>0</v>
      </c>
      <c r="K95" s="4">
        <f>'Others&amp;NWC'!K23</f>
        <v>0</v>
      </c>
      <c r="L95" s="4">
        <f>'Others&amp;NWC'!L23</f>
        <v>325.11091999999996</v>
      </c>
      <c r="M95" s="4">
        <f>'Others&amp;NWC'!M23</f>
        <v>497.88505899999996</v>
      </c>
      <c r="N95" s="4">
        <f>'Others&amp;NWC'!N23</f>
        <v>563.75059199999998</v>
      </c>
      <c r="O95" s="4">
        <f>'Others&amp;NWC'!O23</f>
        <v>585.87503200000003</v>
      </c>
      <c r="P95" s="4">
        <f>'Others&amp;NWC'!P23</f>
        <v>596.66776800000002</v>
      </c>
      <c r="Q95" s="4">
        <f>'Others&amp;NWC'!Q23</f>
        <v>602.63444568</v>
      </c>
    </row>
    <row r="96" spans="2:17" s="4" customFormat="1" outlineLevel="1">
      <c r="B96" s="84" t="s">
        <v>111</v>
      </c>
      <c r="E96" s="4">
        <v>0</v>
      </c>
      <c r="F96" s="4">
        <f>'Others&amp;NWC'!F24</f>
        <v>0</v>
      </c>
      <c r="G96" s="4">
        <f>'Others&amp;NWC'!G24</f>
        <v>0</v>
      </c>
      <c r="H96" s="4">
        <f>'Others&amp;NWC'!H24</f>
        <v>0</v>
      </c>
      <c r="I96" s="18">
        <f>'Others&amp;NWC'!I24</f>
        <v>1796.8409999999999</v>
      </c>
      <c r="J96" s="4">
        <f>'Others&amp;NWC'!J24</f>
        <v>923.03266226395635</v>
      </c>
      <c r="K96" s="4">
        <f>'Others&amp;NWC'!K24</f>
        <v>2719.8736622639562</v>
      </c>
      <c r="L96" s="4">
        <f>'Others&amp;NWC'!L24</f>
        <v>4026.8590893026026</v>
      </c>
      <c r="M96" s="4">
        <f>'Others&amp;NWC'!M24</f>
        <v>4514.2908439893245</v>
      </c>
      <c r="N96" s="4">
        <f>'Others&amp;NWC'!N24</f>
        <v>5060.6597667970063</v>
      </c>
      <c r="O96" s="4">
        <f>'Others&amp;NWC'!O24</f>
        <v>5661.9732319042778</v>
      </c>
      <c r="P96" s="4">
        <f>'Others&amp;NWC'!P24</f>
        <v>6301.4662598560099</v>
      </c>
      <c r="Q96" s="4">
        <f>'Others&amp;NWC'!Q24</f>
        <v>6364.4809224545697</v>
      </c>
    </row>
    <row r="97" spans="2:17" s="4" customFormat="1" outlineLevel="1">
      <c r="B97" s="84" t="s">
        <v>112</v>
      </c>
      <c r="E97" s="4">
        <f>'Others&amp;NWC'!E39</f>
        <v>0</v>
      </c>
      <c r="F97" s="4">
        <f>'Others&amp;NWC'!F39</f>
        <v>0</v>
      </c>
      <c r="G97" s="4">
        <f>'Others&amp;NWC'!G39</f>
        <v>0</v>
      </c>
      <c r="H97" s="4">
        <f>'Others&amp;NWC'!H39</f>
        <v>0</v>
      </c>
      <c r="I97" s="18">
        <f>'Others&amp;NWC'!I39</f>
        <v>0</v>
      </c>
      <c r="J97" s="4">
        <f>'Others&amp;NWC'!J39</f>
        <v>0</v>
      </c>
      <c r="K97" s="4">
        <f>'Others&amp;NWC'!K39</f>
        <v>0</v>
      </c>
      <c r="L97" s="4">
        <f>'Others&amp;NWC'!L39</f>
        <v>0</v>
      </c>
      <c r="M97" s="4">
        <f>'Others&amp;NWC'!M39</f>
        <v>0</v>
      </c>
      <c r="N97" s="4">
        <f>'Others&amp;NWC'!N39</f>
        <v>0</v>
      </c>
      <c r="O97" s="4">
        <f>'Others&amp;NWC'!O39</f>
        <v>0</v>
      </c>
      <c r="P97" s="4">
        <f>'Others&amp;NWC'!P39</f>
        <v>0</v>
      </c>
      <c r="Q97" s="9">
        <f>'Others&amp;NWC'!Q39</f>
        <v>0</v>
      </c>
    </row>
    <row r="98" spans="2:17" s="4" customFormat="1">
      <c r="B98" s="42" t="s">
        <v>113</v>
      </c>
      <c r="E98" s="4">
        <f t="shared" ref="E98" si="24">E35-E69</f>
        <v>-2808.3240787392333</v>
      </c>
      <c r="F98" s="4">
        <f>'Others&amp;NWC'!F90</f>
        <v>-4825.0124850936554</v>
      </c>
      <c r="G98" s="4">
        <f>'Others&amp;NWC'!G90</f>
        <v>-2889.6913674073239</v>
      </c>
      <c r="H98" s="4">
        <f>'Others&amp;NWC'!H90</f>
        <v>-2323.3103233620513</v>
      </c>
      <c r="I98" s="18">
        <f>'Others&amp;NWC'!I90</f>
        <v>-1638.3378161468827</v>
      </c>
      <c r="J98" s="4">
        <f>'Others&amp;NWC'!J90</f>
        <v>-651.3344133344558</v>
      </c>
      <c r="K98" s="85">
        <f>'Others&amp;NWC'!K90</f>
        <v>-2289.6722294813371</v>
      </c>
      <c r="L98" s="4">
        <f>'Others&amp;NWC'!L90</f>
        <v>-2844.9923896856453</v>
      </c>
      <c r="M98" s="4">
        <f>'Others&amp;NWC'!M90</f>
        <v>-3081.9213964152514</v>
      </c>
      <c r="N98" s="4">
        <f>'Others&amp;NWC'!N90</f>
        <v>-3344.18003632822</v>
      </c>
      <c r="O98" s="4">
        <f>'Others&amp;NWC'!O90</f>
        <v>-3635.2565019366521</v>
      </c>
      <c r="P98" s="4">
        <f>'Others&amp;NWC'!P90</f>
        <v>-3912.9801946453081</v>
      </c>
      <c r="Q98" s="4">
        <f>'Others&amp;NWC'!Q90</f>
        <v>-3952.1099965917601</v>
      </c>
    </row>
    <row r="99" spans="2:17" ht="16.2" thickBot="1">
      <c r="B99" s="87" t="s">
        <v>114</v>
      </c>
      <c r="C99" s="87"/>
      <c r="D99" s="87"/>
      <c r="E99" s="87">
        <f t="shared" ref="E99:Q99" si="25">E70-E71</f>
        <v>184284.09547981439</v>
      </c>
      <c r="F99" s="87">
        <f t="shared" si="25"/>
        <v>132641.1700070001</v>
      </c>
      <c r="G99" s="87">
        <f t="shared" si="25"/>
        <v>112721.08147400018</v>
      </c>
      <c r="H99" s="87">
        <f t="shared" si="25"/>
        <v>121893.05790000001</v>
      </c>
      <c r="I99" s="88">
        <f t="shared" si="25"/>
        <v>101081.94884800006</v>
      </c>
      <c r="J99" s="87">
        <f t="shared" si="25"/>
        <v>44435.269662112245</v>
      </c>
      <c r="K99" s="87">
        <f t="shared" si="25"/>
        <v>145517.21851011243</v>
      </c>
      <c r="L99" s="87">
        <f t="shared" si="25"/>
        <v>212686.60155939683</v>
      </c>
      <c r="M99" s="87">
        <f t="shared" si="25"/>
        <v>261956.85743200831</v>
      </c>
      <c r="N99" s="87">
        <f t="shared" si="25"/>
        <v>330374.09821103379</v>
      </c>
      <c r="O99" s="87">
        <f t="shared" si="25"/>
        <v>426039.59650172287</v>
      </c>
      <c r="P99" s="87">
        <f t="shared" si="25"/>
        <v>527282.15956011007</v>
      </c>
      <c r="Q99" s="87">
        <f t="shared" si="25"/>
        <v>532554.98115571076</v>
      </c>
    </row>
    <row r="100" spans="2:17">
      <c r="B100" s="16" t="s">
        <v>94</v>
      </c>
      <c r="E100" s="16">
        <f>E136</f>
        <v>187220.736538</v>
      </c>
      <c r="F100" s="16">
        <f>F136</f>
        <v>223867.06245799997</v>
      </c>
      <c r="G100" s="16">
        <f>G136</f>
        <v>241326.024045</v>
      </c>
      <c r="H100" s="16">
        <f>H136</f>
        <v>259694.14600000001</v>
      </c>
      <c r="I100" s="17">
        <f>I136</f>
        <v>200681.67199999999</v>
      </c>
      <c r="J100" s="16">
        <f t="shared" ref="J100:Q100" si="26">SUM(J101:J110)</f>
        <v>66185.585244678805</v>
      </c>
      <c r="K100" s="16">
        <f t="shared" si="26"/>
        <v>34116.601995248078</v>
      </c>
      <c r="L100" s="16">
        <f t="shared" si="26"/>
        <v>251935.17235350865</v>
      </c>
      <c r="M100" s="16">
        <f t="shared" si="26"/>
        <v>278631.25877340027</v>
      </c>
      <c r="N100" s="16">
        <f t="shared" si="26"/>
        <v>310461.05684144923</v>
      </c>
      <c r="O100" s="16">
        <f t="shared" si="26"/>
        <v>350392.3425810078</v>
      </c>
      <c r="P100" s="16">
        <f t="shared" si="26"/>
        <v>399981.79626512522</v>
      </c>
      <c r="Q100" s="16">
        <f t="shared" si="26"/>
        <v>403981.61422777647</v>
      </c>
    </row>
    <row r="101" spans="2:17">
      <c r="B101" s="89" t="s">
        <v>115</v>
      </c>
      <c r="I101" s="83"/>
      <c r="J101" s="9">
        <f>'Physical Security'!J26</f>
        <v>1378.2592145527537</v>
      </c>
      <c r="K101" s="9">
        <f>'Physical Security'!K26</f>
        <v>1378.2592145527537</v>
      </c>
      <c r="L101" s="9">
        <f>'Physical Security'!L26</f>
        <v>32749.916877746942</v>
      </c>
      <c r="M101" s="9">
        <f>'Physical Security'!M26</f>
        <v>76919.280822031375</v>
      </c>
      <c r="N101" s="9">
        <f>'Physical Security'!N26</f>
        <v>122561.860644845</v>
      </c>
      <c r="O101" s="9">
        <f>'Physical Security'!O26</f>
        <v>169732.43677685843</v>
      </c>
      <c r="P101" s="9">
        <f>'Physical Security'!P26</f>
        <v>217034.61497431283</v>
      </c>
      <c r="Q101" s="9">
        <f>P101*(1+DCF!$F$44)</f>
        <v>219204.96112405596</v>
      </c>
    </row>
    <row r="102" spans="2:17">
      <c r="B102" s="89" t="s">
        <v>116</v>
      </c>
      <c r="I102" s="83"/>
      <c r="J102" s="9">
        <f>CyberSecurity!J34</f>
        <v>0</v>
      </c>
      <c r="K102" s="9">
        <f>CyberSecurity!K34</f>
        <v>0</v>
      </c>
      <c r="L102" s="9">
        <f>CyberSecurity!L34</f>
        <v>0</v>
      </c>
      <c r="M102" s="9">
        <f>CyberSecurity!M34</f>
        <v>0</v>
      </c>
      <c r="N102" s="9">
        <f>CyberSecurity!N34</f>
        <v>0</v>
      </c>
      <c r="O102" s="9">
        <f>CyberSecurity!O34</f>
        <v>0</v>
      </c>
      <c r="P102" s="9">
        <f>CyberSecurity!P34</f>
        <v>0</v>
      </c>
      <c r="Q102" s="9">
        <f>P102*(1+DCF!$F$44)</f>
        <v>0</v>
      </c>
    </row>
    <row r="103" spans="2:17">
      <c r="B103" s="89" t="s">
        <v>117</v>
      </c>
      <c r="I103" s="83"/>
      <c r="J103" s="9">
        <f>'Converged Security'!J29</f>
        <v>0</v>
      </c>
      <c r="K103" s="9">
        <f>'Converged Security'!K29</f>
        <v>0</v>
      </c>
      <c r="L103" s="9">
        <f>'Converged Security'!L29</f>
        <v>0</v>
      </c>
      <c r="M103" s="9">
        <f>'Converged Security'!M29</f>
        <v>0</v>
      </c>
      <c r="N103" s="9">
        <f>'Converged Security'!N29</f>
        <v>0</v>
      </c>
      <c r="O103" s="9">
        <f>'Converged Security'!O29</f>
        <v>0</v>
      </c>
      <c r="P103" s="9">
        <f>'Converged Security'!P29</f>
        <v>0</v>
      </c>
      <c r="Q103" s="9">
        <f>P103*(1+DCF!$F$44)</f>
        <v>0</v>
      </c>
    </row>
    <row r="104" spans="2:17">
      <c r="B104" s="89" t="s">
        <v>118</v>
      </c>
      <c r="I104" s="83"/>
      <c r="J104" s="9">
        <f>'Life Care Services'!J36</f>
        <v>105.27879169532652</v>
      </c>
      <c r="K104" s="9">
        <f>'Life Care Services'!K36</f>
        <v>105.27879169532652</v>
      </c>
      <c r="L104" s="9">
        <f>'Life Care Services'!L36</f>
        <v>6366.8973495615628</v>
      </c>
      <c r="M104" s="9">
        <f>'Life Care Services'!M36</f>
        <v>20342.228810784254</v>
      </c>
      <c r="N104" s="9">
        <f>'Life Care Services'!N36</f>
        <v>43586.715076454639</v>
      </c>
      <c r="O104" s="9">
        <f>'Life Care Services'!O36</f>
        <v>76958.545319846919</v>
      </c>
      <c r="P104" s="9">
        <f>'Life Care Services'!P36</f>
        <v>117380.60778395695</v>
      </c>
      <c r="Q104" s="9">
        <f>P104*(1+DCF!$F$44)</f>
        <v>118554.41386179652</v>
      </c>
    </row>
    <row r="105" spans="2:17">
      <c r="B105" s="89" t="s">
        <v>119</v>
      </c>
      <c r="I105" s="83"/>
      <c r="J105" s="9">
        <f>'Others&amp;NWC'!J32</f>
        <v>64212.117755556465</v>
      </c>
      <c r="K105" s="9">
        <f>'Others&amp;NWC'!K32</f>
        <v>0</v>
      </c>
      <c r="L105" s="9">
        <f>'Others&amp;NWC'!L32</f>
        <v>203055.51103934814</v>
      </c>
      <c r="M105" s="9">
        <f>'Others&amp;NWC'!M32</f>
        <v>160345.29182430246</v>
      </c>
      <c r="N105" s="9">
        <f>'Others&amp;NWC'!N32</f>
        <v>113060.76322860349</v>
      </c>
      <c r="O105" s="9">
        <f>'Others&amp;NWC'!O32</f>
        <v>63669.9970809921</v>
      </c>
      <c r="P105" s="9">
        <f>'Others&amp;NWC'!P32</f>
        <v>17671.655556773338</v>
      </c>
      <c r="Q105" s="9">
        <f>P105*(1+DCF!$F$44)</f>
        <v>17848.372112341072</v>
      </c>
    </row>
    <row r="106" spans="2:17">
      <c r="B106" s="89" t="s">
        <v>120</v>
      </c>
      <c r="I106" s="83"/>
      <c r="J106" s="9">
        <f>'Others&amp;NWC'!J33</f>
        <v>86.740546849253462</v>
      </c>
      <c r="K106" s="9">
        <f>'Others&amp;NWC'!K33</f>
        <v>0</v>
      </c>
      <c r="L106" s="9">
        <f>'Others&amp;NWC'!L33</f>
        <v>1978.9663153975462</v>
      </c>
      <c r="M106" s="9">
        <f>'Others&amp;NWC'!M33</f>
        <v>4448.2947118323564</v>
      </c>
      <c r="N106" s="9">
        <f>'Others&amp;NWC'!N33</f>
        <v>6672.8786989489508</v>
      </c>
      <c r="O106" s="9">
        <f>'Others&amp;NWC'!O33</f>
        <v>8555.6186784048423</v>
      </c>
      <c r="P106" s="9">
        <f>'Others&amp;NWC'!P33</f>
        <v>10248.912907627739</v>
      </c>
      <c r="Q106" s="9">
        <f>P106*(1+DCF!$F$44)</f>
        <v>10351.402036704016</v>
      </c>
    </row>
    <row r="107" spans="2:17">
      <c r="B107" s="89" t="s">
        <v>121</v>
      </c>
      <c r="I107" s="83"/>
      <c r="J107" s="9">
        <f>'Others&amp;NWC'!J34</f>
        <v>117.5</v>
      </c>
      <c r="K107" s="9">
        <f>'Others&amp;NWC'!K34</f>
        <v>0</v>
      </c>
      <c r="L107" s="9">
        <f>'Others&amp;NWC'!L34</f>
        <v>1260</v>
      </c>
      <c r="M107" s="9">
        <f>'Others&amp;NWC'!M34</f>
        <v>1900</v>
      </c>
      <c r="N107" s="9">
        <f>'Others&amp;NWC'!N34</f>
        <v>2540</v>
      </c>
      <c r="O107" s="9">
        <f>'Others&amp;NWC'!O34</f>
        <v>3180</v>
      </c>
      <c r="P107" s="9">
        <f>'Others&amp;NWC'!P34</f>
        <v>3702.5</v>
      </c>
      <c r="Q107" s="9">
        <f>P107*(1+DCF!$F$44)</f>
        <v>3739.5250000000001</v>
      </c>
    </row>
    <row r="108" spans="2:17">
      <c r="B108" s="89" t="s">
        <v>122</v>
      </c>
      <c r="I108" s="83"/>
      <c r="J108" s="9">
        <f>'Others&amp;NWC'!J35</f>
        <v>285.68893602499998</v>
      </c>
      <c r="K108" s="9">
        <f>'Others&amp;NWC'!K35</f>
        <v>0</v>
      </c>
      <c r="L108" s="9">
        <f>'Others&amp;NWC'!L35</f>
        <v>6523.8807714544446</v>
      </c>
      <c r="M108" s="9">
        <f>'Others&amp;NWC'!M35</f>
        <v>14676.162604449821</v>
      </c>
      <c r="N108" s="9">
        <f>'Others&amp;NWC'!N35</f>
        <v>22038.839192597152</v>
      </c>
      <c r="O108" s="9">
        <f>'Others&amp;NWC'!O35</f>
        <v>28295.744724905511</v>
      </c>
      <c r="P108" s="9">
        <f>'Others&amp;NWC'!P35</f>
        <v>33943.505042454344</v>
      </c>
      <c r="Q108" s="9">
        <f>P108*(1+DCF!$F$44)</f>
        <v>34282.940092878889</v>
      </c>
    </row>
    <row r="109" spans="2:17">
      <c r="B109" s="89" t="s">
        <v>123</v>
      </c>
      <c r="I109" s="83"/>
      <c r="J109" s="9">
        <f>'Others&amp;NWC'!J36</f>
        <v>0</v>
      </c>
      <c r="K109" s="9">
        <f>'Others&amp;NWC'!K36</f>
        <v>32633.063988999998</v>
      </c>
      <c r="L109" s="9">
        <f>'Others&amp;NWC'!L36</f>
        <v>0</v>
      </c>
      <c r="M109" s="9">
        <f>'Others&amp;NWC'!M36</f>
        <v>0</v>
      </c>
      <c r="N109" s="9">
        <f>'Others&amp;NWC'!N36</f>
        <v>0</v>
      </c>
      <c r="O109" s="9">
        <f>'Others&amp;NWC'!O36</f>
        <v>0</v>
      </c>
      <c r="P109" s="9">
        <f>'Others&amp;NWC'!P36</f>
        <v>0</v>
      </c>
      <c r="Q109" s="9">
        <f>P109*(1+DCF!$F$44)</f>
        <v>0</v>
      </c>
    </row>
    <row r="110" spans="2:17">
      <c r="B110" s="89" t="s">
        <v>125</v>
      </c>
      <c r="I110" s="83"/>
      <c r="J110" s="9">
        <f>'Others&amp;NWC'!J12</f>
        <v>0</v>
      </c>
      <c r="K110" s="9">
        <f>'Others&amp;NWC'!K12</f>
        <v>0</v>
      </c>
      <c r="L110" s="9">
        <f>'Others&amp;NWC'!L12</f>
        <v>0</v>
      </c>
      <c r="M110" s="9">
        <f>'Others&amp;NWC'!M12</f>
        <v>0</v>
      </c>
      <c r="N110" s="9">
        <f>'Others&amp;NWC'!N12</f>
        <v>0</v>
      </c>
      <c r="O110" s="9">
        <f>'Others&amp;NWC'!O12</f>
        <v>0</v>
      </c>
      <c r="P110" s="9">
        <f>'Others&amp;NWC'!P12</f>
        <v>0</v>
      </c>
      <c r="Q110" s="9">
        <f>P110*(1+DCF!$F$44)</f>
        <v>0</v>
      </c>
    </row>
    <row r="111" spans="2:17" ht="16.2" thickBot="1">
      <c r="B111" s="87" t="s">
        <v>23</v>
      </c>
      <c r="C111" s="87"/>
      <c r="D111" s="87"/>
      <c r="E111" s="87">
        <f>E99+E100</f>
        <v>371504.83201781439</v>
      </c>
      <c r="F111" s="87">
        <f t="shared" ref="F111:Q111" si="27">F99+F100</f>
        <v>356508.23246500007</v>
      </c>
      <c r="G111" s="87">
        <f t="shared" si="27"/>
        <v>354047.10551900021</v>
      </c>
      <c r="H111" s="87">
        <f t="shared" si="27"/>
        <v>381587.20390000002</v>
      </c>
      <c r="I111" s="88">
        <f t="shared" si="27"/>
        <v>301763.62084800005</v>
      </c>
      <c r="J111" s="87">
        <f t="shared" si="27"/>
        <v>110620.85490679105</v>
      </c>
      <c r="K111" s="87">
        <f t="shared" si="27"/>
        <v>179633.82050536052</v>
      </c>
      <c r="L111" s="87">
        <f t="shared" si="27"/>
        <v>464621.77391290548</v>
      </c>
      <c r="M111" s="87">
        <f t="shared" si="27"/>
        <v>540588.11620540859</v>
      </c>
      <c r="N111" s="87">
        <f t="shared" si="27"/>
        <v>640835.15505248308</v>
      </c>
      <c r="O111" s="87">
        <f t="shared" si="27"/>
        <v>776431.93908273068</v>
      </c>
      <c r="P111" s="87">
        <f t="shared" si="27"/>
        <v>927263.95582523523</v>
      </c>
      <c r="Q111" s="87">
        <f t="shared" si="27"/>
        <v>936536.59538348718</v>
      </c>
    </row>
    <row r="112" spans="2:17">
      <c r="B112" s="16" t="s">
        <v>126</v>
      </c>
      <c r="E112" s="16">
        <f>E133</f>
        <v>186629.084673</v>
      </c>
      <c r="F112" s="16">
        <f t="shared" ref="F112:I112" si="28">F133</f>
        <v>201921.13907599999</v>
      </c>
      <c r="G112" s="16">
        <f t="shared" si="28"/>
        <v>241813.31761999999</v>
      </c>
      <c r="H112" s="16">
        <f t="shared" si="28"/>
        <v>266349.46714700002</v>
      </c>
      <c r="I112" s="17">
        <f t="shared" si="28"/>
        <v>194876.110289</v>
      </c>
      <c r="J112" s="16">
        <f>SUM(J113:J119)</f>
        <v>78938.699564893352</v>
      </c>
      <c r="K112" s="16">
        <f t="shared" ref="K112:Q112" si="29">SUM(K113:K119)</f>
        <v>274755.91762014205</v>
      </c>
      <c r="L112" s="16">
        <f t="shared" si="29"/>
        <v>330919.21401181823</v>
      </c>
      <c r="M112" s="16">
        <f t="shared" si="29"/>
        <v>363143.84233755484</v>
      </c>
      <c r="N112" s="16">
        <f t="shared" si="29"/>
        <v>427999.42429992469</v>
      </c>
      <c r="O112" s="16">
        <f t="shared" si="29"/>
        <v>465221.094571775</v>
      </c>
      <c r="P112" s="16">
        <f t="shared" si="29"/>
        <v>510391.53240280983</v>
      </c>
      <c r="Q112" s="16">
        <f t="shared" si="29"/>
        <v>0</v>
      </c>
    </row>
    <row r="113" spans="2:17">
      <c r="B113" s="89" t="s">
        <v>127</v>
      </c>
      <c r="I113" s="83"/>
      <c r="J113" s="9">
        <f>'Physical Security'!J27</f>
        <v>55130.368582110154</v>
      </c>
      <c r="K113" s="9">
        <f>'Physical Security'!K27</f>
        <v>217427.07441211012</v>
      </c>
      <c r="L113" s="9">
        <f>'Physical Security'!L27</f>
        <v>217238.43161324912</v>
      </c>
      <c r="M113" s="9">
        <f>'Physical Security'!M27</f>
        <v>224455.20782959517</v>
      </c>
      <c r="N113" s="9">
        <f>'Physical Security'!N27</f>
        <v>231970.59039854119</v>
      </c>
      <c r="O113" s="9">
        <f>'Physical Security'!O27</f>
        <v>239735.17092159338</v>
      </c>
      <c r="P113" s="9">
        <f>'Physical Security'!P27</f>
        <v>247069.20319847789</v>
      </c>
    </row>
    <row r="114" spans="2:17">
      <c r="B114" s="89" t="s">
        <v>128</v>
      </c>
      <c r="I114" s="83"/>
      <c r="J114" s="9">
        <f>CyberSecurity!J35</f>
        <v>0</v>
      </c>
      <c r="K114" s="9">
        <f>CyberSecurity!K35</f>
        <v>0</v>
      </c>
      <c r="L114" s="9">
        <f>CyberSecurity!L35</f>
        <v>0</v>
      </c>
      <c r="M114" s="9">
        <f>CyberSecurity!M35</f>
        <v>0</v>
      </c>
      <c r="N114" s="9">
        <f>CyberSecurity!N35</f>
        <v>0</v>
      </c>
      <c r="O114" s="9">
        <f>CyberSecurity!O35</f>
        <v>0</v>
      </c>
      <c r="P114" s="9">
        <f>CyberSecurity!P35</f>
        <v>0</v>
      </c>
      <c r="Q114" s="9">
        <f>CyberSecurity!Q35</f>
        <v>0</v>
      </c>
    </row>
    <row r="115" spans="2:17">
      <c r="B115" s="89" t="s">
        <v>129</v>
      </c>
      <c r="I115" s="83"/>
      <c r="J115" s="9">
        <f>'Converged Security'!J30</f>
        <v>0</v>
      </c>
      <c r="K115" s="9">
        <f>'Converged Security'!K30</f>
        <v>0</v>
      </c>
      <c r="L115" s="9">
        <f>'Converged Security'!L30</f>
        <v>0</v>
      </c>
      <c r="M115" s="9">
        <f>'Converged Security'!M30</f>
        <v>0</v>
      </c>
      <c r="N115" s="9">
        <f>'Converged Security'!N30</f>
        <v>0</v>
      </c>
      <c r="O115" s="9">
        <f>'Converged Security'!O30</f>
        <v>0</v>
      </c>
      <c r="P115" s="9">
        <f>'Converged Security'!P30</f>
        <v>0</v>
      </c>
      <c r="Q115" s="9">
        <f>'Converged Security'!Q30</f>
        <v>0</v>
      </c>
    </row>
    <row r="116" spans="2:17">
      <c r="B116" s="89" t="s">
        <v>130</v>
      </c>
      <c r="I116" s="83"/>
      <c r="J116" s="9">
        <f>'Life Care Services'!J37</f>
        <v>4211.1516678130611</v>
      </c>
      <c r="K116" s="9">
        <f>'Life Care Services'!K37</f>
        <v>16523.644020061791</v>
      </c>
      <c r="L116" s="9">
        <f>'Life Care Services'!L37</f>
        <v>55246.670159989502</v>
      </c>
      <c r="M116" s="9">
        <f>'Life Care Services'!M37</f>
        <v>84506.644452237422</v>
      </c>
      <c r="N116" s="9">
        <f>'Life Care Services'!N37</f>
        <v>147938.21820446645</v>
      </c>
      <c r="O116" s="9">
        <f>'Life Care Services'!O37</f>
        <v>185780.08422945614</v>
      </c>
      <c r="P116" s="9">
        <f>'Life Care Services'!P37</f>
        <v>219493.32832859756</v>
      </c>
    </row>
    <row r="117" spans="2:17">
      <c r="B117" s="89" t="s">
        <v>131</v>
      </c>
      <c r="I117" s="83"/>
      <c r="J117" s="9">
        <f>'Others&amp;NWC'!J28</f>
        <v>4700</v>
      </c>
      <c r="K117" s="9">
        <f>'Others&amp;NWC'!K28</f>
        <v>4700</v>
      </c>
      <c r="L117" s="9">
        <f>'Others&amp;NWC'!L28</f>
        <v>3200</v>
      </c>
      <c r="M117" s="9">
        <f>'Others&amp;NWC'!M28</f>
        <v>3200</v>
      </c>
      <c r="N117" s="9">
        <f>'Others&amp;NWC'!N28</f>
        <v>3200</v>
      </c>
      <c r="O117" s="9">
        <f>'Others&amp;NWC'!O28</f>
        <v>3200</v>
      </c>
      <c r="P117" s="9">
        <f>'Others&amp;NWC'!P28</f>
        <v>3200</v>
      </c>
    </row>
    <row r="118" spans="2:17">
      <c r="B118" s="89" t="s">
        <v>132</v>
      </c>
      <c r="I118" s="83"/>
      <c r="J118" s="9">
        <f>'Others&amp;NWC'!J29</f>
        <v>3469.6218739701385</v>
      </c>
      <c r="K118" s="9">
        <f>'Others&amp;NWC'!K29</f>
        <v>13250.084305970138</v>
      </c>
      <c r="L118" s="9">
        <f>'Others&amp;NWC'!L29</f>
        <v>12850.419406035184</v>
      </c>
      <c r="M118" s="9">
        <f>'Others&amp;NWC'!M29</f>
        <v>11842.864558312916</v>
      </c>
      <c r="N118" s="9">
        <f>'Others&amp;NWC'!N29</f>
        <v>10402.975312853034</v>
      </c>
      <c r="O118" s="9">
        <f>'Others&amp;NWC'!O29</f>
        <v>8424.4244817058843</v>
      </c>
      <c r="P118" s="9">
        <f>'Others&amp;NWC'!P29</f>
        <v>9375.9232790156129</v>
      </c>
    </row>
    <row r="119" spans="2:17">
      <c r="B119" s="89" t="s">
        <v>133</v>
      </c>
      <c r="C119" s="85"/>
      <c r="D119" s="85"/>
      <c r="F119" s="85"/>
      <c r="G119" s="85"/>
      <c r="H119" s="85"/>
      <c r="I119" s="86"/>
      <c r="J119" s="85">
        <f>'Others&amp;NWC'!J30</f>
        <v>11427.557440999999</v>
      </c>
      <c r="K119" s="85">
        <f>'Others&amp;NWC'!K30</f>
        <v>22855.114881999998</v>
      </c>
      <c r="L119" s="85">
        <f>'Others&amp;NWC'!L30</f>
        <v>42383.692832544446</v>
      </c>
      <c r="M119" s="85">
        <f>'Others&amp;NWC'!M30</f>
        <v>39139.125497409317</v>
      </c>
      <c r="N119" s="85">
        <f>'Others&amp;NWC'!N30</f>
        <v>34487.640384064005</v>
      </c>
      <c r="O119" s="85">
        <f>'Others&amp;NWC'!O30</f>
        <v>28081.414939019614</v>
      </c>
      <c r="P119" s="85">
        <f>'Others&amp;NWC'!P30</f>
        <v>31253.077596718711</v>
      </c>
      <c r="Q119" s="85"/>
    </row>
    <row r="120" spans="2:17">
      <c r="B120" s="90" t="s">
        <v>134</v>
      </c>
      <c r="C120" s="91"/>
      <c r="D120" s="91"/>
      <c r="E120" s="19"/>
      <c r="F120" s="19">
        <f>'Others&amp;NWC'!F61</f>
        <v>-18496.845459999982</v>
      </c>
      <c r="G120" s="19">
        <f>'Others&amp;NWC'!G61</f>
        <v>-34465.060766000039</v>
      </c>
      <c r="H120" s="19">
        <f>'Others&amp;NWC'!H61</f>
        <v>9233.2127200000104</v>
      </c>
      <c r="I120" s="19">
        <f>'Others&amp;NWC'!I61</f>
        <v>-39672.532000000007</v>
      </c>
      <c r="J120" s="19">
        <f>'Others&amp;NWC'!J61</f>
        <v>69027.88986345171</v>
      </c>
      <c r="K120" s="19">
        <f>'Others&amp;NWC'!K61</f>
        <v>29355.357863451703</v>
      </c>
      <c r="L120" s="19">
        <f>'Others&amp;NWC'!L61</f>
        <v>11715.372992122429</v>
      </c>
      <c r="M120" s="19">
        <f>'Others&amp;NWC'!M61</f>
        <v>14800.647262361075</v>
      </c>
      <c r="N120" s="19">
        <f>'Others&amp;NWC'!N61</f>
        <v>13761.773194551235</v>
      </c>
      <c r="O120" s="19">
        <f>'Others&amp;NWC'!O61</f>
        <v>10777.812964861805</v>
      </c>
      <c r="P120" s="19">
        <f>'Others&amp;NWC'!P61</f>
        <v>11568.733888183953</v>
      </c>
      <c r="Q120" s="19">
        <f>'Others&amp;NWC'!Q61</f>
        <v>2148.6158316552173</v>
      </c>
    </row>
    <row r="122" spans="2:17"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</row>
    <row r="123" spans="2:17">
      <c r="B123" s="9" t="s">
        <v>135</v>
      </c>
      <c r="F123" s="37">
        <f>F8/E8-1</f>
        <v>0.17540634501462171</v>
      </c>
      <c r="G123" s="37">
        <f>G8/F8-1</f>
        <v>0.12522397859899081</v>
      </c>
      <c r="H123" s="37">
        <f>H8/G8-1</f>
        <v>0.16770044580120214</v>
      </c>
      <c r="I123" s="37">
        <f>I8*4/3/H8-1</f>
        <v>0.11028028202114304</v>
      </c>
      <c r="J123" s="37">
        <f>J8*3/I8-1</f>
        <v>6.4250866897089143E-2</v>
      </c>
      <c r="K123" s="37">
        <f>K8/H8-1</f>
        <v>0.12811439967579408</v>
      </c>
      <c r="L123" s="37">
        <f t="shared" ref="L123:Q123" si="30">L8/K8-1</f>
        <v>0.14238599205272795</v>
      </c>
      <c r="M123" s="37">
        <f t="shared" si="30"/>
        <v>0.12104514806132394</v>
      </c>
      <c r="N123" s="37">
        <f t="shared" si="30"/>
        <v>0.12103095296466315</v>
      </c>
      <c r="O123" s="37">
        <f t="shared" si="30"/>
        <v>0.11882116024722511</v>
      </c>
      <c r="P123" s="37">
        <f t="shared" si="30"/>
        <v>0.11294525808569622</v>
      </c>
      <c r="Q123" s="37">
        <f t="shared" si="30"/>
        <v>1.0000000000000009E-2</v>
      </c>
    </row>
    <row r="124" spans="2:17">
      <c r="B124" s="9" t="s">
        <v>136</v>
      </c>
      <c r="E124" s="37">
        <f t="shared" ref="E124:Q124" si="31">E36/E8</f>
        <v>0.71504210745500651</v>
      </c>
      <c r="F124" s="37">
        <f t="shared" si="31"/>
        <v>0.70259441426858926</v>
      </c>
      <c r="G124" s="37">
        <f t="shared" si="31"/>
        <v>0.73966940715969054</v>
      </c>
      <c r="H124" s="37">
        <f t="shared" si="31"/>
        <v>0.76026179216586365</v>
      </c>
      <c r="I124" s="37">
        <f t="shared" si="31"/>
        <v>0.75925869541812208</v>
      </c>
      <c r="J124" s="37">
        <f t="shared" si="31"/>
        <v>0.75006299623083006</v>
      </c>
      <c r="K124" s="37">
        <f t="shared" si="31"/>
        <v>0.75685074099987715</v>
      </c>
      <c r="L124" s="37">
        <f t="shared" si="31"/>
        <v>0.7404480767473467</v>
      </c>
      <c r="M124" s="37">
        <f t="shared" si="31"/>
        <v>0.73509681975303554</v>
      </c>
      <c r="N124" s="37">
        <f t="shared" si="31"/>
        <v>0.72521093796322977</v>
      </c>
      <c r="O124" s="37">
        <f t="shared" si="31"/>
        <v>0.70918956168432512</v>
      </c>
      <c r="P124" s="37">
        <f t="shared" si="31"/>
        <v>0.69675946777013531</v>
      </c>
      <c r="Q124" s="37">
        <f t="shared" si="31"/>
        <v>0.69675946777013542</v>
      </c>
    </row>
    <row r="125" spans="2:17">
      <c r="B125" s="9" t="s">
        <v>137</v>
      </c>
      <c r="E125" s="37">
        <f t="shared" ref="E125:Q125" si="32">E99/E8</f>
        <v>0.18365159931612324</v>
      </c>
      <c r="F125" s="37">
        <f t="shared" si="32"/>
        <v>0.11245976526622481</v>
      </c>
      <c r="G125" s="37">
        <f t="shared" si="32"/>
        <v>8.4934668687287815E-2</v>
      </c>
      <c r="H125" s="37">
        <f t="shared" si="32"/>
        <v>7.8655188534339476E-2</v>
      </c>
      <c r="I125" s="37">
        <f t="shared" si="32"/>
        <v>7.8329998857001246E-2</v>
      </c>
      <c r="J125" s="37">
        <f t="shared" si="32"/>
        <v>9.706431096346757E-2</v>
      </c>
      <c r="K125" s="37">
        <f t="shared" si="32"/>
        <v>8.323570191347858E-2</v>
      </c>
      <c r="L125" s="37">
        <f t="shared" si="32"/>
        <v>0.10649335861598536</v>
      </c>
      <c r="M125" s="37">
        <f t="shared" si="32"/>
        <v>0.11700086180106417</v>
      </c>
      <c r="N125" s="37">
        <f t="shared" si="32"/>
        <v>0.1316278160052729</v>
      </c>
      <c r="O125" s="37">
        <f t="shared" si="32"/>
        <v>0.15171585813139829</v>
      </c>
      <c r="P125" s="37">
        <f t="shared" si="32"/>
        <v>0.16871367561429212</v>
      </c>
      <c r="Q125" s="37">
        <f t="shared" si="32"/>
        <v>0.16871367561429199</v>
      </c>
    </row>
    <row r="126" spans="2:17">
      <c r="B126" s="9" t="s">
        <v>138</v>
      </c>
      <c r="E126" s="37">
        <f t="shared" ref="E126:Q126" si="33">E111/E8</f>
        <v>0.37022976061009361</v>
      </c>
      <c r="F126" s="37">
        <f t="shared" si="33"/>
        <v>0.30226536856071706</v>
      </c>
      <c r="G126" s="37">
        <f t="shared" si="33"/>
        <v>0.26677240152176451</v>
      </c>
      <c r="H126" s="37">
        <f t="shared" si="33"/>
        <v>0.24623070404607464</v>
      </c>
      <c r="I126" s="37">
        <f t="shared" si="33"/>
        <v>0.23384139646587424</v>
      </c>
      <c r="J126" s="37">
        <f t="shared" si="33"/>
        <v>0.24163996621072809</v>
      </c>
      <c r="K126" s="37">
        <f t="shared" si="33"/>
        <v>0.10275036377309843</v>
      </c>
      <c r="L126" s="37">
        <f t="shared" si="33"/>
        <v>0.23263869386847255</v>
      </c>
      <c r="M126" s="37">
        <f t="shared" si="33"/>
        <v>0.24144920692470578</v>
      </c>
      <c r="N126" s="37">
        <f t="shared" si="33"/>
        <v>0.25532186795430079</v>
      </c>
      <c r="O126" s="37">
        <f t="shared" si="33"/>
        <v>0.27649316844211613</v>
      </c>
      <c r="P126" s="37">
        <f t="shared" si="33"/>
        <v>0.29669524639793859</v>
      </c>
      <c r="Q126" s="37">
        <f t="shared" si="33"/>
        <v>0.29669524639793848</v>
      </c>
    </row>
    <row r="127" spans="2:17">
      <c r="B127" s="9" t="s">
        <v>139</v>
      </c>
      <c r="E127" s="37">
        <f t="shared" ref="E127:Q127" si="34">E112/E$8</f>
        <v>0.18598854008459414</v>
      </c>
      <c r="F127" s="37">
        <f t="shared" si="34"/>
        <v>0.17119876054755312</v>
      </c>
      <c r="G127" s="37">
        <f t="shared" si="34"/>
        <v>0.18220490566324002</v>
      </c>
      <c r="H127" s="37">
        <f t="shared" si="34"/>
        <v>0.17187006311430097</v>
      </c>
      <c r="I127" s="37">
        <f t="shared" si="34"/>
        <v>0.15101257613412383</v>
      </c>
      <c r="J127" s="37">
        <f t="shared" si="34"/>
        <v>0.17243353173912818</v>
      </c>
      <c r="K127" s="37">
        <f t="shared" si="34"/>
        <v>0.15716010718281528</v>
      </c>
      <c r="L127" s="37">
        <f t="shared" si="34"/>
        <v>0.16569308208556296</v>
      </c>
      <c r="M127" s="37">
        <f t="shared" si="34"/>
        <v>0.16219519094769874</v>
      </c>
      <c r="N127" s="37">
        <f t="shared" si="34"/>
        <v>0.17052374800922479</v>
      </c>
      <c r="O127" s="37">
        <f t="shared" si="34"/>
        <v>0.16566868000847856</v>
      </c>
      <c r="P127" s="37">
        <f t="shared" si="34"/>
        <v>0.16330920717273498</v>
      </c>
      <c r="Q127" s="37">
        <f t="shared" si="34"/>
        <v>0</v>
      </c>
    </row>
    <row r="132" spans="2:9">
      <c r="H132" s="9" t="s">
        <v>140</v>
      </c>
      <c r="I132" s="9" t="s">
        <v>141</v>
      </c>
    </row>
    <row r="133" spans="2:9">
      <c r="B133" s="9" t="s">
        <v>142</v>
      </c>
      <c r="E133" s="9">
        <f>SUM(E134:E135)</f>
        <v>186629.084673</v>
      </c>
      <c r="F133" s="9">
        <f t="shared" ref="F133:I133" si="35">SUM(F134:F135)</f>
        <v>201921.13907599999</v>
      </c>
      <c r="G133" s="9">
        <f t="shared" si="35"/>
        <v>241813.31761999999</v>
      </c>
      <c r="H133" s="9">
        <f t="shared" si="35"/>
        <v>266349.46714700002</v>
      </c>
      <c r="I133" s="9">
        <f t="shared" si="35"/>
        <v>194876.110289</v>
      </c>
    </row>
    <row r="134" spans="2:9">
      <c r="B134" s="89" t="s">
        <v>143</v>
      </c>
      <c r="E134" s="9">
        <v>176668.73009900001</v>
      </c>
      <c r="F134" s="9">
        <v>196364.42413299999</v>
      </c>
      <c r="G134" s="9">
        <v>235782.609505</v>
      </c>
      <c r="H134" s="9">
        <v>256416.98330200001</v>
      </c>
      <c r="I134" s="9">
        <v>189695.09087000001</v>
      </c>
    </row>
    <row r="135" spans="2:9">
      <c r="B135" s="89" t="s">
        <v>144</v>
      </c>
      <c r="E135" s="9">
        <v>9960.3545740000009</v>
      </c>
      <c r="F135" s="9">
        <v>5556.7149429999999</v>
      </c>
      <c r="G135" s="9">
        <v>6030.7081150000004</v>
      </c>
      <c r="H135" s="9">
        <v>9932.4838450000007</v>
      </c>
      <c r="I135" s="9">
        <v>5181.0194190000002</v>
      </c>
    </row>
    <row r="136" spans="2:9">
      <c r="B136" s="9" t="s">
        <v>145</v>
      </c>
      <c r="E136" s="9">
        <f>SUM(E137:E139)</f>
        <v>187220.736538</v>
      </c>
      <c r="F136" s="9">
        <f t="shared" ref="F136:I136" si="36">SUM(F137:F139)</f>
        <v>223867.06245799997</v>
      </c>
      <c r="G136" s="9">
        <f t="shared" si="36"/>
        <v>241326.024045</v>
      </c>
      <c r="H136" s="9">
        <f t="shared" si="36"/>
        <v>259694.14600000001</v>
      </c>
      <c r="I136" s="9">
        <f t="shared" si="36"/>
        <v>200681.67199999999</v>
      </c>
    </row>
    <row r="137" spans="2:9">
      <c r="B137" s="89" t="s">
        <v>146</v>
      </c>
      <c r="E137" s="9">
        <v>171232.72690000001</v>
      </c>
      <c r="F137" s="9">
        <v>182269.08019899999</v>
      </c>
      <c r="G137" s="9">
        <v>198633.91042299999</v>
      </c>
      <c r="H137" s="9">
        <v>217469.49</v>
      </c>
      <c r="I137" s="9">
        <v>168738.394</v>
      </c>
    </row>
    <row r="138" spans="2:9">
      <c r="B138" s="89" t="s">
        <v>147</v>
      </c>
    </row>
    <row r="139" spans="2:9">
      <c r="B139" s="89" t="s">
        <v>148</v>
      </c>
      <c r="E139" s="9">
        <v>15988.009638</v>
      </c>
      <c r="F139" s="9">
        <v>41597.982258999997</v>
      </c>
      <c r="G139" s="9">
        <v>42692.113621999997</v>
      </c>
      <c r="H139" s="9">
        <v>42224.656000000003</v>
      </c>
      <c r="I139" s="9">
        <v>31943.277999999998</v>
      </c>
    </row>
    <row r="140" spans="2:9">
      <c r="B140" s="89" t="s">
        <v>149</v>
      </c>
    </row>
    <row r="141" spans="2:9">
      <c r="B141" s="89" t="s">
        <v>150</v>
      </c>
    </row>
    <row r="142" spans="2:9">
      <c r="E142" s="37">
        <f>E136/E8</f>
        <v>0.1865781612939704</v>
      </c>
      <c r="F142" s="37">
        <f>F136/F8</f>
        <v>0.18980560329449225</v>
      </c>
      <c r="G142" s="37">
        <f>G136/G8</f>
        <v>0.18183773283447671</v>
      </c>
      <c r="H142" s="37">
        <f>H136/H8</f>
        <v>0.16757551551173516</v>
      </c>
      <c r="I142" s="37">
        <f>I136/I8</f>
        <v>0.155511397608873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9850-4B5E-4BB2-A410-56D2E4E2FCFA}">
  <sheetPr>
    <tabColor theme="4"/>
  </sheetPr>
  <dimension ref="B1:V355"/>
  <sheetViews>
    <sheetView showGridLines="0" zoomScale="70" zoomScaleNormal="70" workbookViewId="0">
      <pane xSplit="3" ySplit="4" topLeftCell="D5" activePane="bottomRight" state="frozen"/>
      <selection activeCell="K33" sqref="K33:O37"/>
      <selection pane="topRight" activeCell="K33" sqref="K33:O37"/>
      <selection pane="bottomLeft" activeCell="K33" sqref="K33:O37"/>
      <selection pane="bottomRight" activeCell="D5" sqref="D5"/>
    </sheetView>
  </sheetViews>
  <sheetFormatPr defaultRowHeight="15.6" outlineLevelCol="1"/>
  <cols>
    <col min="1" max="1" width="2.6640625" style="9" customWidth="1"/>
    <col min="2" max="2" width="40.88671875" style="9" customWidth="1"/>
    <col min="3" max="3" width="15.33203125" style="93" customWidth="1"/>
    <col min="4" max="10" width="15.33203125" style="9" customWidth="1"/>
    <col min="11" max="11" width="15.33203125" style="9" customWidth="1" outlineLevel="1"/>
    <col min="12" max="17" width="15.33203125" style="9" customWidth="1"/>
    <col min="18" max="18" width="3.109375" style="9" customWidth="1"/>
    <col min="19" max="21" width="10.5546875" style="9" bestFit="1" customWidth="1"/>
    <col min="22" max="16384" width="8.88671875" style="9"/>
  </cols>
  <sheetData>
    <row r="1" spans="2:17" s="4" customFormat="1">
      <c r="B1" s="1" t="s">
        <v>0</v>
      </c>
      <c r="C1" s="92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s="4" customFormat="1">
      <c r="B2" s="2" t="s">
        <v>153</v>
      </c>
      <c r="C2" s="9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s="4" customFormat="1">
      <c r="B3" s="5"/>
      <c r="C3" s="6"/>
      <c r="D3" s="6"/>
      <c r="E3" s="6">
        <v>2018</v>
      </c>
      <c r="F3" s="6">
        <v>2019</v>
      </c>
      <c r="G3" s="6">
        <v>2020</v>
      </c>
      <c r="H3" s="6">
        <v>2021</v>
      </c>
      <c r="I3" s="6">
        <v>2022</v>
      </c>
      <c r="J3" s="6">
        <v>2022</v>
      </c>
      <c r="K3" s="6">
        <v>2022</v>
      </c>
      <c r="L3" s="6">
        <v>2023</v>
      </c>
      <c r="M3" s="6">
        <v>2024</v>
      </c>
      <c r="N3" s="6">
        <v>2025</v>
      </c>
      <c r="O3" s="6">
        <v>2026</v>
      </c>
      <c r="P3" s="6">
        <v>2027</v>
      </c>
      <c r="Q3" s="6" t="s">
        <v>3</v>
      </c>
    </row>
    <row r="4" spans="2:17" s="4" customFormat="1">
      <c r="B4" s="7" t="s">
        <v>4</v>
      </c>
      <c r="C4" s="8"/>
      <c r="D4" s="8"/>
      <c r="E4" s="8" t="s">
        <v>5</v>
      </c>
      <c r="F4" s="8" t="s">
        <v>5</v>
      </c>
      <c r="G4" s="8" t="s">
        <v>5</v>
      </c>
      <c r="H4" s="8" t="s">
        <v>5</v>
      </c>
      <c r="I4" s="8" t="s">
        <v>6</v>
      </c>
      <c r="J4" s="8" t="s">
        <v>7</v>
      </c>
      <c r="K4" s="8" t="s">
        <v>5</v>
      </c>
      <c r="L4" s="8" t="s">
        <v>5</v>
      </c>
      <c r="M4" s="8" t="s">
        <v>5</v>
      </c>
      <c r="N4" s="8" t="s">
        <v>5</v>
      </c>
      <c r="O4" s="8" t="s">
        <v>5</v>
      </c>
      <c r="P4" s="8" t="s">
        <v>5</v>
      </c>
      <c r="Q4" s="8"/>
    </row>
    <row r="6" spans="2:17">
      <c r="B6" s="11" t="s">
        <v>154</v>
      </c>
      <c r="C6" s="9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8" spans="2:17">
      <c r="B8" s="12" t="s">
        <v>9</v>
      </c>
      <c r="C8" s="95"/>
      <c r="D8" s="12"/>
      <c r="E8" s="12">
        <f>E9+E12+E13+E14+E17+E21</f>
        <v>232438.53923999998</v>
      </c>
      <c r="F8" s="12">
        <f t="shared" ref="F8:Q8" si="0">F9+F12+F13+F14+F17+F21</f>
        <v>250640.81579799997</v>
      </c>
      <c r="G8" s="12">
        <f t="shared" si="0"/>
        <v>287091.8143391792</v>
      </c>
      <c r="H8" s="12">
        <f t="shared" si="0"/>
        <v>336886.20366409182</v>
      </c>
      <c r="I8" s="13">
        <f>I9+I12+I13+I14+I17+I21</f>
        <v>270623.50515851454</v>
      </c>
      <c r="J8" s="12">
        <f t="shared" si="0"/>
        <v>94472.468238644637</v>
      </c>
      <c r="K8" s="12">
        <f t="shared" si="0"/>
        <v>365095.97339715925</v>
      </c>
      <c r="L8" s="12">
        <f t="shared" si="0"/>
        <v>434222.14337929059</v>
      </c>
      <c r="M8" s="12">
        <f t="shared" si="0"/>
        <v>492955.48969179863</v>
      </c>
      <c r="N8" s="12">
        <f t="shared" si="0"/>
        <v>562469.56400711462</v>
      </c>
      <c r="O8" s="12">
        <f t="shared" si="0"/>
        <v>646092.31655765686</v>
      </c>
      <c r="P8" s="12">
        <f t="shared" si="0"/>
        <v>748859.93914132635</v>
      </c>
      <c r="Q8" s="12">
        <f t="shared" si="0"/>
        <v>756348.53853273962</v>
      </c>
    </row>
    <row r="9" spans="2:17">
      <c r="B9" s="89" t="s">
        <v>55</v>
      </c>
      <c r="E9" s="9">
        <f>SUM(E10:E11)</f>
        <v>53601.803827000003</v>
      </c>
      <c r="F9" s="9">
        <f t="shared" ref="F9:Q9" si="1">SUM(F10:F11)</f>
        <v>44808.236005999992</v>
      </c>
      <c r="G9" s="9">
        <f t="shared" si="1"/>
        <v>52451.477335296004</v>
      </c>
      <c r="H9" s="9">
        <f t="shared" si="1"/>
        <v>59523.371739358496</v>
      </c>
      <c r="I9" s="83">
        <f t="shared" si="1"/>
        <v>47013.683221895277</v>
      </c>
      <c r="J9" s="9">
        <f t="shared" si="1"/>
        <v>15671.227740631759</v>
      </c>
      <c r="K9" s="9">
        <f t="shared" si="1"/>
        <v>62684.910962527036</v>
      </c>
      <c r="L9" s="9">
        <f t="shared" si="1"/>
        <v>70021.973683319477</v>
      </c>
      <c r="M9" s="9">
        <f t="shared" si="1"/>
        <v>77026.798358115164</v>
      </c>
      <c r="N9" s="9">
        <f t="shared" si="1"/>
        <v>84453.161253320301</v>
      </c>
      <c r="O9" s="9">
        <f t="shared" si="1"/>
        <v>92162.657626172222</v>
      </c>
      <c r="P9" s="9">
        <f t="shared" si="1"/>
        <v>100149.44865995296</v>
      </c>
      <c r="Q9" s="9">
        <f t="shared" si="1"/>
        <v>101150.9431465525</v>
      </c>
    </row>
    <row r="10" spans="2:17">
      <c r="B10" s="82" t="s">
        <v>155</v>
      </c>
      <c r="E10" s="9">
        <f>E53</f>
        <v>36560.63207</v>
      </c>
      <c r="F10" s="377">
        <f t="shared" ref="F10:Q11" si="2">F53</f>
        <v>36198.018847999985</v>
      </c>
      <c r="G10" s="377">
        <f t="shared" si="2"/>
        <v>37023.496762000002</v>
      </c>
      <c r="H10" s="377">
        <f t="shared" si="2"/>
        <v>40790.125390024601</v>
      </c>
      <c r="I10" s="378">
        <f t="shared" si="2"/>
        <v>30724.829711252776</v>
      </c>
      <c r="J10" s="377">
        <f t="shared" si="2"/>
        <v>10241.609903750925</v>
      </c>
      <c r="K10" s="377">
        <f t="shared" si="2"/>
        <v>40966.439615003699</v>
      </c>
      <c r="L10" s="377">
        <f t="shared" si="2"/>
        <v>47977.7252655833</v>
      </c>
      <c r="M10" s="9">
        <f t="shared" si="2"/>
        <v>54453.487978353311</v>
      </c>
      <c r="N10" s="9">
        <f t="shared" si="2"/>
        <v>61247.798182925122</v>
      </c>
      <c r="O10" s="9">
        <f t="shared" si="2"/>
        <v>68307.544389805975</v>
      </c>
      <c r="P10" s="9">
        <f t="shared" si="2"/>
        <v>75602.5371397321</v>
      </c>
      <c r="Q10" s="9">
        <f t="shared" si="2"/>
        <v>76358.562511129421</v>
      </c>
    </row>
    <row r="11" spans="2:17">
      <c r="B11" s="82" t="s">
        <v>156</v>
      </c>
      <c r="E11" s="9">
        <f t="shared" ref="E11:G11" si="3">E54</f>
        <v>17041.171757000004</v>
      </c>
      <c r="F11" s="377">
        <f t="shared" si="3"/>
        <v>8610.2171580000031</v>
      </c>
      <c r="G11" s="377">
        <f t="shared" si="3"/>
        <v>15427.980573296001</v>
      </c>
      <c r="H11" s="377">
        <f t="shared" si="2"/>
        <v>18733.246349333898</v>
      </c>
      <c r="I11" s="378">
        <f t="shared" si="2"/>
        <v>16288.853510642501</v>
      </c>
      <c r="J11" s="377">
        <f t="shared" si="2"/>
        <v>5429.6178368808332</v>
      </c>
      <c r="K11" s="377">
        <f t="shared" si="2"/>
        <v>21718.471347523333</v>
      </c>
      <c r="L11" s="377">
        <f t="shared" si="2"/>
        <v>22044.24841773618</v>
      </c>
      <c r="M11" s="9">
        <f t="shared" si="2"/>
        <v>22573.31037976185</v>
      </c>
      <c r="N11" s="9">
        <f t="shared" si="2"/>
        <v>23205.363070395182</v>
      </c>
      <c r="O11" s="9">
        <f t="shared" si="2"/>
        <v>23855.113236366247</v>
      </c>
      <c r="P11" s="9">
        <f t="shared" si="2"/>
        <v>24546.911520220867</v>
      </c>
      <c r="Q11" s="9">
        <f t="shared" si="2"/>
        <v>24792.380635423076</v>
      </c>
    </row>
    <row r="12" spans="2:17">
      <c r="B12" s="89" t="s">
        <v>56</v>
      </c>
      <c r="E12" s="9">
        <f>E65</f>
        <v>62574.981631000002</v>
      </c>
      <c r="F12" s="377">
        <f t="shared" ref="F12:Q12" si="4">F65</f>
        <v>68953.197505000004</v>
      </c>
      <c r="G12" s="377">
        <f t="shared" si="4"/>
        <v>76969.977826390386</v>
      </c>
      <c r="H12" s="377">
        <f t="shared" si="4"/>
        <v>86466.045259773397</v>
      </c>
      <c r="I12" s="378">
        <f t="shared" si="4"/>
        <v>75621.809288212797</v>
      </c>
      <c r="J12" s="377">
        <f t="shared" si="4"/>
        <v>26152.742254922672</v>
      </c>
      <c r="K12" s="377">
        <f t="shared" si="4"/>
        <v>101774.55154313547</v>
      </c>
      <c r="L12" s="377">
        <f t="shared" si="4"/>
        <v>108734.5338984113</v>
      </c>
      <c r="M12" s="9">
        <f t="shared" si="4"/>
        <v>114165.88591615914</v>
      </c>
      <c r="N12" s="9">
        <f t="shared" si="4"/>
        <v>120241.32621802035</v>
      </c>
      <c r="O12" s="9">
        <f t="shared" si="4"/>
        <v>127656.10492573331</v>
      </c>
      <c r="P12" s="9">
        <f t="shared" si="4"/>
        <v>135692.03149414397</v>
      </c>
      <c r="Q12" s="9">
        <f t="shared" si="4"/>
        <v>137048.95180908541</v>
      </c>
    </row>
    <row r="13" spans="2:17">
      <c r="B13" s="89" t="s">
        <v>57</v>
      </c>
      <c r="E13" s="9">
        <f>E84</f>
        <v>21096.761630000001</v>
      </c>
      <c r="F13" s="377">
        <f t="shared" ref="F13:Q13" si="5">F84</f>
        <v>21002.015141999997</v>
      </c>
      <c r="G13" s="377">
        <f t="shared" si="5"/>
        <v>24651.491547000005</v>
      </c>
      <c r="H13" s="377">
        <f t="shared" si="5"/>
        <v>26815.151562999999</v>
      </c>
      <c r="I13" s="378">
        <f t="shared" si="5"/>
        <v>22960.914301999997</v>
      </c>
      <c r="J13" s="377">
        <f t="shared" si="5"/>
        <v>8423.9718056038964</v>
      </c>
      <c r="K13" s="377">
        <f t="shared" si="5"/>
        <v>31384.886107603896</v>
      </c>
      <c r="L13" s="377">
        <f t="shared" si="5"/>
        <v>36299.118155616365</v>
      </c>
      <c r="M13" s="9">
        <f t="shared" si="5"/>
        <v>38562.792949533628</v>
      </c>
      <c r="N13" s="9">
        <f t="shared" si="5"/>
        <v>41059.930541959548</v>
      </c>
      <c r="O13" s="9">
        <f t="shared" si="5"/>
        <v>43869.395907042337</v>
      </c>
      <c r="P13" s="9">
        <f t="shared" si="5"/>
        <v>47079.173374240941</v>
      </c>
      <c r="Q13" s="9">
        <f t="shared" si="5"/>
        <v>47549.965107983349</v>
      </c>
    </row>
    <row r="14" spans="2:17">
      <c r="B14" s="89" t="s">
        <v>58</v>
      </c>
      <c r="E14" s="9">
        <f>SUM(E15:E16)</f>
        <v>75607.743982</v>
      </c>
      <c r="F14" s="377">
        <f t="shared" ref="F14:Q14" si="6">SUM(F15:F16)</f>
        <v>92325.225107999999</v>
      </c>
      <c r="G14" s="377">
        <f t="shared" si="6"/>
        <v>106856.97310184001</v>
      </c>
      <c r="H14" s="377">
        <f t="shared" si="6"/>
        <v>133642.0993113071</v>
      </c>
      <c r="I14" s="378">
        <f t="shared" si="6"/>
        <v>100426.1539958753</v>
      </c>
      <c r="J14" s="377">
        <f t="shared" si="6"/>
        <v>36024.211653975901</v>
      </c>
      <c r="K14" s="377">
        <f t="shared" si="6"/>
        <v>136450.36564985121</v>
      </c>
      <c r="L14" s="377">
        <f t="shared" si="6"/>
        <v>169332.86872876994</v>
      </c>
      <c r="M14" s="9">
        <f t="shared" si="6"/>
        <v>192085.85618813211</v>
      </c>
      <c r="N14" s="9">
        <f t="shared" si="6"/>
        <v>217527.79649883416</v>
      </c>
      <c r="O14" s="9">
        <f t="shared" si="6"/>
        <v>246116.97099636239</v>
      </c>
      <c r="P14" s="9">
        <f t="shared" si="6"/>
        <v>278403.44375761272</v>
      </c>
      <c r="Q14" s="9">
        <f t="shared" si="6"/>
        <v>281187.47819518886</v>
      </c>
    </row>
    <row r="15" spans="2:17">
      <c r="B15" s="82" t="s">
        <v>157</v>
      </c>
      <c r="E15" s="9">
        <f>E103</f>
        <v>9696</v>
      </c>
      <c r="F15" s="377">
        <f t="shared" ref="F15:Q16" si="7">F103</f>
        <v>10436</v>
      </c>
      <c r="G15" s="377">
        <f t="shared" si="7"/>
        <v>21461</v>
      </c>
      <c r="H15" s="377">
        <f t="shared" si="7"/>
        <v>32132.684207999999</v>
      </c>
      <c r="I15" s="378">
        <f t="shared" si="7"/>
        <v>24454.665687999997</v>
      </c>
      <c r="J15" s="377">
        <f t="shared" si="7"/>
        <v>8151.5552293333312</v>
      </c>
      <c r="K15" s="377">
        <f t="shared" si="7"/>
        <v>32606.220917333329</v>
      </c>
      <c r="L15" s="377">
        <f t="shared" si="7"/>
        <v>44942.784601406391</v>
      </c>
      <c r="M15" s="9">
        <f t="shared" si="7"/>
        <v>55385.24060354317</v>
      </c>
      <c r="N15" s="9">
        <f t="shared" si="7"/>
        <v>67126.911611494332</v>
      </c>
      <c r="O15" s="9">
        <f t="shared" si="7"/>
        <v>80245.188313170613</v>
      </c>
      <c r="P15" s="9">
        <f t="shared" si="7"/>
        <v>94836.438388115464</v>
      </c>
      <c r="Q15" s="9">
        <f t="shared" si="7"/>
        <v>95784.802771996619</v>
      </c>
    </row>
    <row r="16" spans="2:17">
      <c r="B16" s="82" t="s">
        <v>158</v>
      </c>
      <c r="E16" s="9">
        <f>E104</f>
        <v>65911.743982</v>
      </c>
      <c r="F16" s="377">
        <f t="shared" si="7"/>
        <v>81889.225107999999</v>
      </c>
      <c r="G16" s="377">
        <f t="shared" si="7"/>
        <v>85395.973101840005</v>
      </c>
      <c r="H16" s="377">
        <f t="shared" si="7"/>
        <v>101509.41510330711</v>
      </c>
      <c r="I16" s="378">
        <f t="shared" si="7"/>
        <v>75971.488307875305</v>
      </c>
      <c r="J16" s="377">
        <f t="shared" si="7"/>
        <v>27872.656424642566</v>
      </c>
      <c r="K16" s="377">
        <f t="shared" si="7"/>
        <v>103844.14473251787</v>
      </c>
      <c r="L16" s="377">
        <f t="shared" si="7"/>
        <v>124390.08412736355</v>
      </c>
      <c r="M16" s="9">
        <f t="shared" si="7"/>
        <v>136700.61558458893</v>
      </c>
      <c r="N16" s="9">
        <f t="shared" si="7"/>
        <v>150400.88488733981</v>
      </c>
      <c r="O16" s="9">
        <f t="shared" si="7"/>
        <v>165871.78268319176</v>
      </c>
      <c r="P16" s="9">
        <f t="shared" si="7"/>
        <v>183567.00536949726</v>
      </c>
      <c r="Q16" s="9">
        <f>Q104</f>
        <v>185402.67542319224</v>
      </c>
    </row>
    <row r="17" spans="2:17">
      <c r="B17" s="89" t="s">
        <v>59</v>
      </c>
      <c r="E17" s="9">
        <f>SUM(E18:E20)</f>
        <v>19557.248169999995</v>
      </c>
      <c r="F17" s="377">
        <f t="shared" ref="F17:Q17" si="8">SUM(F18:F20)</f>
        <v>23552.142036999998</v>
      </c>
      <c r="G17" s="377">
        <f t="shared" si="8"/>
        <v>26161.894528652796</v>
      </c>
      <c r="H17" s="377">
        <f t="shared" si="8"/>
        <v>30092.869121652802</v>
      </c>
      <c r="I17" s="378">
        <f t="shared" si="8"/>
        <v>24497.611019531199</v>
      </c>
      <c r="J17" s="377">
        <f t="shared" si="8"/>
        <v>8165.8703398437337</v>
      </c>
      <c r="K17" s="377">
        <f t="shared" si="8"/>
        <v>32663.481359374935</v>
      </c>
      <c r="L17" s="377">
        <f t="shared" si="8"/>
        <v>47749.975236996834</v>
      </c>
      <c r="M17" s="9">
        <f t="shared" si="8"/>
        <v>65103.041621378616</v>
      </c>
      <c r="N17" s="9">
        <f t="shared" si="8"/>
        <v>88993.686414871539</v>
      </c>
      <c r="O17" s="9">
        <f t="shared" si="8"/>
        <v>122026.85208051438</v>
      </c>
      <c r="P17" s="9">
        <f t="shared" si="8"/>
        <v>168345.3183743399</v>
      </c>
      <c r="Q17" s="9">
        <f t="shared" si="8"/>
        <v>170028.7715580833</v>
      </c>
    </row>
    <row r="18" spans="2:17">
      <c r="B18" s="82" t="s">
        <v>159</v>
      </c>
      <c r="E18" s="9">
        <f>E117</f>
        <v>1319.8909520000004</v>
      </c>
      <c r="F18" s="377">
        <f t="shared" ref="F18:Q20" si="9">F117</f>
        <v>1830</v>
      </c>
      <c r="G18" s="377">
        <f t="shared" si="9"/>
        <v>2450</v>
      </c>
      <c r="H18" s="377">
        <f t="shared" si="9"/>
        <v>3720</v>
      </c>
      <c r="I18" s="378">
        <f t="shared" si="9"/>
        <v>4374.1596879999997</v>
      </c>
      <c r="J18" s="377">
        <f t="shared" si="9"/>
        <v>1458.0532293333333</v>
      </c>
      <c r="K18" s="377">
        <f t="shared" si="9"/>
        <v>5832.2129173333333</v>
      </c>
      <c r="L18" s="377">
        <f t="shared" si="9"/>
        <v>9262.850160040296</v>
      </c>
      <c r="M18" s="9">
        <f t="shared" si="9"/>
        <v>12091.768707726887</v>
      </c>
      <c r="N18" s="9">
        <f t="shared" si="9"/>
        <v>15013.761255997772</v>
      </c>
      <c r="O18" s="9">
        <f t="shared" si="9"/>
        <v>18028.614150597681</v>
      </c>
      <c r="P18" s="9">
        <f t="shared" si="9"/>
        <v>21134.52483495725</v>
      </c>
      <c r="Q18" s="9">
        <f t="shared" si="9"/>
        <v>21345.870083306821</v>
      </c>
    </row>
    <row r="19" spans="2:17">
      <c r="B19" s="82" t="s">
        <v>160</v>
      </c>
      <c r="E19" s="9">
        <f t="shared" ref="E19:G20" si="10">E118</f>
        <v>259.18943999999999</v>
      </c>
      <c r="F19" s="377">
        <f t="shared" si="10"/>
        <v>4640.9409979999982</v>
      </c>
      <c r="G19" s="377">
        <f t="shared" si="10"/>
        <v>5349.3593730000011</v>
      </c>
      <c r="H19" s="377">
        <f t="shared" si="9"/>
        <v>8105.6624499999989</v>
      </c>
      <c r="I19" s="378">
        <f t="shared" si="9"/>
        <v>6411.1459409999998</v>
      </c>
      <c r="J19" s="377">
        <f t="shared" si="9"/>
        <v>2137.0486470000001</v>
      </c>
      <c r="K19" s="377">
        <f t="shared" si="9"/>
        <v>8548.1945880000003</v>
      </c>
      <c r="L19" s="377">
        <f t="shared" si="9"/>
        <v>19289.897530212857</v>
      </c>
      <c r="M19" s="9">
        <f t="shared" si="9"/>
        <v>32854.183989570862</v>
      </c>
      <c r="N19" s="9">
        <f t="shared" si="9"/>
        <v>52814.981788588855</v>
      </c>
      <c r="O19" s="9">
        <f t="shared" si="9"/>
        <v>81775.047391117536</v>
      </c>
      <c r="P19" s="9">
        <f t="shared" si="9"/>
        <v>123876.44347364354</v>
      </c>
      <c r="Q19" s="9">
        <f t="shared" si="9"/>
        <v>125115.20790837998</v>
      </c>
    </row>
    <row r="20" spans="2:17">
      <c r="B20" s="82" t="s">
        <v>161</v>
      </c>
      <c r="E20" s="9">
        <f t="shared" si="10"/>
        <v>17978.167777999995</v>
      </c>
      <c r="F20" s="377">
        <f t="shared" si="10"/>
        <v>17081.201039</v>
      </c>
      <c r="G20" s="377">
        <f t="shared" si="10"/>
        <v>18362.535155652793</v>
      </c>
      <c r="H20" s="377">
        <f t="shared" si="9"/>
        <v>18267.206671652802</v>
      </c>
      <c r="I20" s="378">
        <f t="shared" si="9"/>
        <v>13712.305390531201</v>
      </c>
      <c r="J20" s="377">
        <f t="shared" si="9"/>
        <v>4570.7684635104006</v>
      </c>
      <c r="K20" s="377">
        <f t="shared" si="9"/>
        <v>18283.073854041602</v>
      </c>
      <c r="L20" s="377">
        <f t="shared" si="9"/>
        <v>19197.227546743685</v>
      </c>
      <c r="M20" s="9">
        <f t="shared" si="9"/>
        <v>20157.088924080868</v>
      </c>
      <c r="N20" s="9">
        <f t="shared" si="9"/>
        <v>21164.943370284913</v>
      </c>
      <c r="O20" s="9">
        <f t="shared" si="9"/>
        <v>22223.190538799161</v>
      </c>
      <c r="P20" s="9">
        <f t="shared" si="9"/>
        <v>23334.35006573912</v>
      </c>
      <c r="Q20" s="9">
        <f t="shared" si="9"/>
        <v>23567.693566396512</v>
      </c>
    </row>
    <row r="21" spans="2:17">
      <c r="B21" s="89" t="s">
        <v>60</v>
      </c>
      <c r="E21" s="9">
        <f>E139</f>
        <v>0</v>
      </c>
      <c r="F21" s="377">
        <f t="shared" ref="F21:I21" si="11">F139</f>
        <v>0</v>
      </c>
      <c r="G21" s="377">
        <f t="shared" si="11"/>
        <v>0</v>
      </c>
      <c r="H21" s="377">
        <f t="shared" si="11"/>
        <v>346.66666900000001</v>
      </c>
      <c r="I21" s="378">
        <f t="shared" si="11"/>
        <v>103.333331</v>
      </c>
      <c r="J21" s="377">
        <f>J139</f>
        <v>34.444443666666665</v>
      </c>
      <c r="K21" s="377">
        <f>K139</f>
        <v>137.77777466666666</v>
      </c>
      <c r="L21" s="377">
        <f>L139</f>
        <v>2083.6736761766397</v>
      </c>
      <c r="M21" s="9">
        <f t="shared" ref="M21:Q21" si="12">M139</f>
        <v>6011.114658479999</v>
      </c>
      <c r="N21" s="9">
        <f t="shared" si="12"/>
        <v>10193.663080108799</v>
      </c>
      <c r="O21" s="9">
        <f t="shared" si="12"/>
        <v>14260.335021832203</v>
      </c>
      <c r="P21" s="9">
        <f t="shared" si="12"/>
        <v>19190.52348103578</v>
      </c>
      <c r="Q21" s="9">
        <f t="shared" si="12"/>
        <v>19382.428715846137</v>
      </c>
    </row>
    <row r="22" spans="2:17">
      <c r="B22" s="16" t="s">
        <v>77</v>
      </c>
      <c r="C22" s="96"/>
      <c r="D22" s="16"/>
      <c r="E22" s="16">
        <f t="shared" ref="E22:Q22" si="13">SUM(E23:E27)</f>
        <v>172598.52344999998</v>
      </c>
      <c r="F22" s="376">
        <f t="shared" si="13"/>
        <v>186048.54201680617</v>
      </c>
      <c r="G22" s="376">
        <f t="shared" si="13"/>
        <v>214727.61098356236</v>
      </c>
      <c r="H22" s="376">
        <f t="shared" si="13"/>
        <v>257500.82931137693</v>
      </c>
      <c r="I22" s="379">
        <f t="shared" si="13"/>
        <v>208534.01376730029</v>
      </c>
      <c r="J22" s="376">
        <f t="shared" si="13"/>
        <v>72802.096286960921</v>
      </c>
      <c r="K22" s="376">
        <f t="shared" si="13"/>
        <v>281336.11005426123</v>
      </c>
      <c r="L22" s="376">
        <f t="shared" si="13"/>
        <v>328491.31735693791</v>
      </c>
      <c r="M22" s="16">
        <f t="shared" si="13"/>
        <v>369798.65383589792</v>
      </c>
      <c r="N22" s="16">
        <f t="shared" si="13"/>
        <v>417056.73713233141</v>
      </c>
      <c r="O22" s="16">
        <f t="shared" si="13"/>
        <v>473462.23312731338</v>
      </c>
      <c r="P22" s="16">
        <f t="shared" si="13"/>
        <v>539983.33620628167</v>
      </c>
      <c r="Q22" s="16">
        <f t="shared" si="13"/>
        <v>545383.16956834437</v>
      </c>
    </row>
    <row r="23" spans="2:17">
      <c r="B23" s="89" t="s">
        <v>86</v>
      </c>
      <c r="E23" s="9">
        <f>E156</f>
        <v>76140.000784000003</v>
      </c>
      <c r="F23" s="377">
        <f t="shared" ref="F23:Q27" si="14">F156</f>
        <v>84266.66563800002</v>
      </c>
      <c r="G23" s="377">
        <f t="shared" si="14"/>
        <v>104080.40082149599</v>
      </c>
      <c r="H23" s="377">
        <f t="shared" si="14"/>
        <v>131987.4930438115</v>
      </c>
      <c r="I23" s="378">
        <f t="shared" si="14"/>
        <v>105025.79468792801</v>
      </c>
      <c r="J23" s="377">
        <f t="shared" si="14"/>
        <v>37016.117864920809</v>
      </c>
      <c r="K23" s="377">
        <f t="shared" si="14"/>
        <v>142041.91255284884</v>
      </c>
      <c r="L23" s="377">
        <f t="shared" si="14"/>
        <v>177714.2839020887</v>
      </c>
      <c r="M23" s="9">
        <f t="shared" si="14"/>
        <v>205235.28586205249</v>
      </c>
      <c r="N23" s="9">
        <f t="shared" si="14"/>
        <v>237806.78758588328</v>
      </c>
      <c r="O23" s="9">
        <f t="shared" si="14"/>
        <v>276886.03196287545</v>
      </c>
      <c r="P23" s="9">
        <f t="shared" si="14"/>
        <v>324723.79770077148</v>
      </c>
      <c r="Q23" s="9">
        <f t="shared" si="14"/>
        <v>327971.03567777917</v>
      </c>
    </row>
    <row r="24" spans="2:17">
      <c r="B24" s="89" t="s">
        <v>79</v>
      </c>
      <c r="E24" s="9">
        <f t="shared" ref="E24:J27" si="15">E157</f>
        <v>51753.752267999989</v>
      </c>
      <c r="F24" s="377">
        <f t="shared" si="15"/>
        <v>56812.06878227627</v>
      </c>
      <c r="G24" s="377">
        <f t="shared" si="15"/>
        <v>63335.626098917142</v>
      </c>
      <c r="H24" s="377">
        <f t="shared" si="14"/>
        <v>71791.740389236365</v>
      </c>
      <c r="I24" s="378">
        <f t="shared" si="15"/>
        <v>59511.002429187072</v>
      </c>
      <c r="J24" s="377">
        <f t="shared" si="15"/>
        <v>22122.901535728997</v>
      </c>
      <c r="K24" s="377">
        <f t="shared" si="14"/>
        <v>81633.90396491607</v>
      </c>
      <c r="L24" s="377">
        <f t="shared" si="14"/>
        <v>91582.311568356919</v>
      </c>
      <c r="M24" s="9">
        <f t="shared" si="14"/>
        <v>100869.87423152183</v>
      </c>
      <c r="N24" s="9">
        <f t="shared" si="14"/>
        <v>110718.15397064158</v>
      </c>
      <c r="O24" s="9">
        <f t="shared" si="14"/>
        <v>122991.10854602732</v>
      </c>
      <c r="P24" s="9">
        <f t="shared" si="14"/>
        <v>136305.54271234752</v>
      </c>
      <c r="Q24" s="9">
        <f t="shared" si="14"/>
        <v>137668.598139471</v>
      </c>
    </row>
    <row r="25" spans="2:17">
      <c r="B25" s="89" t="s">
        <v>87</v>
      </c>
      <c r="E25" s="9">
        <f t="shared" si="15"/>
        <v>35445.294183999998</v>
      </c>
      <c r="F25" s="377">
        <f t="shared" si="15"/>
        <v>34639.20655499999</v>
      </c>
      <c r="G25" s="377">
        <f t="shared" si="15"/>
        <v>37535.7329955936</v>
      </c>
      <c r="H25" s="377">
        <f t="shared" si="14"/>
        <v>45040.699419749697</v>
      </c>
      <c r="I25" s="378">
        <f t="shared" si="15"/>
        <v>36972.644731529603</v>
      </c>
      <c r="J25" s="377">
        <f t="shared" si="15"/>
        <v>11321.552913425914</v>
      </c>
      <c r="K25" s="377">
        <f t="shared" si="14"/>
        <v>48294.197644955515</v>
      </c>
      <c r="L25" s="377">
        <f t="shared" si="14"/>
        <v>49502.967947747813</v>
      </c>
      <c r="M25" s="9">
        <f t="shared" si="14"/>
        <v>53776.330423224688</v>
      </c>
      <c r="N25" s="9">
        <f t="shared" si="14"/>
        <v>58284.047493299651</v>
      </c>
      <c r="O25" s="9">
        <f t="shared" si="14"/>
        <v>62973.198658252142</v>
      </c>
      <c r="P25" s="9">
        <f t="shared" si="14"/>
        <v>67935.190661477711</v>
      </c>
      <c r="Q25" s="9">
        <f t="shared" si="14"/>
        <v>68614.542568092482</v>
      </c>
    </row>
    <row r="26" spans="2:17">
      <c r="B26" s="89" t="s">
        <v>83</v>
      </c>
      <c r="E26" s="9">
        <f t="shared" si="15"/>
        <v>9259.4762140000021</v>
      </c>
      <c r="F26" s="377">
        <f t="shared" si="15"/>
        <v>10330.601041529892</v>
      </c>
      <c r="G26" s="377">
        <f t="shared" si="15"/>
        <v>9775.8510675556226</v>
      </c>
      <c r="H26" s="377">
        <f t="shared" si="14"/>
        <v>8680.8964585793856</v>
      </c>
      <c r="I26" s="378">
        <f t="shared" si="15"/>
        <v>7024.5719186555907</v>
      </c>
      <c r="J26" s="377">
        <f t="shared" si="15"/>
        <v>2341.5239728851971</v>
      </c>
      <c r="K26" s="377">
        <f t="shared" si="14"/>
        <v>9366.0958915407882</v>
      </c>
      <c r="L26" s="377">
        <f t="shared" si="14"/>
        <v>9691.7539387444649</v>
      </c>
      <c r="M26" s="9">
        <f t="shared" si="14"/>
        <v>9917.1633190988541</v>
      </c>
      <c r="N26" s="9">
        <f t="shared" si="14"/>
        <v>10247.748082506912</v>
      </c>
      <c r="O26" s="9">
        <f t="shared" si="14"/>
        <v>10611.893960158437</v>
      </c>
      <c r="P26" s="9">
        <f t="shared" si="14"/>
        <v>11018.805131684941</v>
      </c>
      <c r="Q26" s="9">
        <f t="shared" si="14"/>
        <v>11128.99318300179</v>
      </c>
    </row>
    <row r="27" spans="2:17">
      <c r="B27" s="89" t="s">
        <v>94</v>
      </c>
      <c r="E27" s="9">
        <f t="shared" si="15"/>
        <v>0</v>
      </c>
      <c r="F27" s="377">
        <f t="shared" si="15"/>
        <v>0</v>
      </c>
      <c r="G27" s="377">
        <f t="shared" si="15"/>
        <v>0</v>
      </c>
      <c r="H27" s="377">
        <f t="shared" si="14"/>
        <v>0</v>
      </c>
      <c r="I27" s="378"/>
      <c r="J27" s="377">
        <f t="shared" ref="J27" si="16">K27/2</f>
        <v>0</v>
      </c>
      <c r="K27" s="377">
        <f t="shared" si="14"/>
        <v>0</v>
      </c>
      <c r="L27" s="377">
        <f t="shared" si="14"/>
        <v>0</v>
      </c>
      <c r="M27" s="9">
        <f t="shared" si="14"/>
        <v>0</v>
      </c>
      <c r="N27" s="9">
        <f t="shared" si="14"/>
        <v>0</v>
      </c>
      <c r="O27" s="9">
        <f t="shared" si="14"/>
        <v>0</v>
      </c>
      <c r="P27" s="9">
        <f t="shared" si="14"/>
        <v>0</v>
      </c>
      <c r="Q27" s="9">
        <f t="shared" si="14"/>
        <v>0</v>
      </c>
    </row>
    <row r="28" spans="2:17" ht="16.2" thickBot="1">
      <c r="B28" s="87" t="s">
        <v>162</v>
      </c>
      <c r="C28" s="97"/>
      <c r="D28" s="87"/>
      <c r="E28" s="87">
        <f t="shared" ref="E28:Q28" si="17">E8-E22</f>
        <v>59840.015790000005</v>
      </c>
      <c r="F28" s="380">
        <f t="shared" si="17"/>
        <v>64592.273781193799</v>
      </c>
      <c r="G28" s="380">
        <f t="shared" si="17"/>
        <v>72364.203355616832</v>
      </c>
      <c r="H28" s="380">
        <f t="shared" si="17"/>
        <v>79385.374352714891</v>
      </c>
      <c r="I28" s="381">
        <f t="shared" si="17"/>
        <v>62089.491391214251</v>
      </c>
      <c r="J28" s="380">
        <f t="shared" si="17"/>
        <v>21670.371951683715</v>
      </c>
      <c r="K28" s="380">
        <f t="shared" si="17"/>
        <v>83759.863342898025</v>
      </c>
      <c r="L28" s="380">
        <f t="shared" si="17"/>
        <v>105730.82602235267</v>
      </c>
      <c r="M28" s="87">
        <f t="shared" si="17"/>
        <v>123156.83585590072</v>
      </c>
      <c r="N28" s="87">
        <f t="shared" si="17"/>
        <v>145412.8268747832</v>
      </c>
      <c r="O28" s="87">
        <f t="shared" si="17"/>
        <v>172630.08343034348</v>
      </c>
      <c r="P28" s="87">
        <f t="shared" si="17"/>
        <v>208876.60293504468</v>
      </c>
      <c r="Q28" s="87">
        <f t="shared" si="17"/>
        <v>210965.36896439525</v>
      </c>
    </row>
    <row r="29" spans="2:17">
      <c r="B29" s="16" t="s">
        <v>99</v>
      </c>
      <c r="C29" s="96"/>
      <c r="D29" s="16"/>
      <c r="E29" s="16">
        <f t="shared" ref="E29:Q29" si="18">SUM(E30:E32)</f>
        <v>13823.072509500002</v>
      </c>
      <c r="F29" s="376">
        <f t="shared" si="18"/>
        <v>20214.906708049861</v>
      </c>
      <c r="G29" s="376">
        <f t="shared" si="18"/>
        <v>22016.0919701155</v>
      </c>
      <c r="H29" s="376">
        <f t="shared" si="18"/>
        <v>23199.060975025161</v>
      </c>
      <c r="I29" s="379">
        <f t="shared" si="18"/>
        <v>19803.883287342629</v>
      </c>
      <c r="J29" s="376">
        <f t="shared" si="18"/>
        <v>6601.2944291142094</v>
      </c>
      <c r="K29" s="376">
        <f t="shared" si="18"/>
        <v>26405.177716456841</v>
      </c>
      <c r="L29" s="376">
        <f t="shared" si="18"/>
        <v>31624.794162913167</v>
      </c>
      <c r="M29" s="16">
        <f t="shared" si="18"/>
        <v>36291.583310113143</v>
      </c>
      <c r="N29" s="16">
        <f t="shared" si="18"/>
        <v>41342.006196321134</v>
      </c>
      <c r="O29" s="16">
        <f t="shared" si="18"/>
        <v>46965.462687369167</v>
      </c>
      <c r="P29" s="16">
        <f t="shared" si="18"/>
        <v>53017.256471810593</v>
      </c>
      <c r="Q29" s="16">
        <f t="shared" si="18"/>
        <v>53547.429036528702</v>
      </c>
    </row>
    <row r="30" spans="2:17">
      <c r="B30" s="89" t="s">
        <v>79</v>
      </c>
      <c r="E30" s="9">
        <f>E280</f>
        <v>10810.7229945</v>
      </c>
      <c r="F30" s="377">
        <f t="shared" ref="F30:Q31" si="19">F280</f>
        <v>14191.385900303232</v>
      </c>
      <c r="G30" s="377">
        <f t="shared" si="19"/>
        <v>14663.606066900533</v>
      </c>
      <c r="H30" s="377">
        <f t="shared" si="19"/>
        <v>16575.496022351483</v>
      </c>
      <c r="I30" s="378">
        <f t="shared" si="19"/>
        <v>14413.957307104427</v>
      </c>
      <c r="J30" s="377">
        <f t="shared" si="19"/>
        <v>4804.652435701475</v>
      </c>
      <c r="K30" s="377">
        <f t="shared" si="19"/>
        <v>19218.6097428059</v>
      </c>
      <c r="L30" s="377">
        <f t="shared" si="19"/>
        <v>24323.241101683816</v>
      </c>
      <c r="M30" s="9">
        <f t="shared" si="19"/>
        <v>28960.824036638875</v>
      </c>
      <c r="N30" s="9">
        <f t="shared" si="19"/>
        <v>33893.954774471276</v>
      </c>
      <c r="O30" s="9">
        <f t="shared" si="19"/>
        <v>39375.898288504162</v>
      </c>
      <c r="P30" s="9">
        <f t="shared" si="19"/>
        <v>45253.132091771695</v>
      </c>
      <c r="Q30" s="9">
        <f t="shared" si="19"/>
        <v>45705.663412689413</v>
      </c>
    </row>
    <row r="31" spans="2:17">
      <c r="B31" s="89" t="s">
        <v>101</v>
      </c>
      <c r="E31" s="9">
        <f>E281+E283</f>
        <v>3012.3495150000008</v>
      </c>
      <c r="F31" s="377">
        <f t="shared" ref="F31:H31" si="20">F281+F283</f>
        <v>6023.5208077466295</v>
      </c>
      <c r="G31" s="377">
        <f t="shared" si="20"/>
        <v>7352.485903214967</v>
      </c>
      <c r="H31" s="377">
        <f t="shared" si="20"/>
        <v>6623.564952673677</v>
      </c>
      <c r="I31" s="378">
        <f t="shared" si="19"/>
        <v>5389.9259802382039</v>
      </c>
      <c r="J31" s="377">
        <f t="shared" si="19"/>
        <v>1796.6419934127346</v>
      </c>
      <c r="K31" s="377">
        <f t="shared" ref="K31:Q31" si="21">K281+K283</f>
        <v>7186.5679736509392</v>
      </c>
      <c r="L31" s="377">
        <f t="shared" si="21"/>
        <v>7301.5530612293533</v>
      </c>
      <c r="M31" s="9">
        <f t="shared" si="21"/>
        <v>7330.7592734742711</v>
      </c>
      <c r="N31" s="9">
        <f t="shared" si="21"/>
        <v>7448.0514218498583</v>
      </c>
      <c r="O31" s="9">
        <f t="shared" si="21"/>
        <v>7589.5643988650054</v>
      </c>
      <c r="P31" s="9">
        <f t="shared" si="21"/>
        <v>7764.1243800388993</v>
      </c>
      <c r="Q31" s="9">
        <f t="shared" si="21"/>
        <v>7841.7656238392883</v>
      </c>
    </row>
    <row r="32" spans="2:17">
      <c r="B32" s="89" t="s">
        <v>94</v>
      </c>
      <c r="E32" s="9">
        <f>E282</f>
        <v>0</v>
      </c>
      <c r="F32" s="377">
        <f t="shared" ref="F32:H32" si="22">F282</f>
        <v>0</v>
      </c>
      <c r="G32" s="377">
        <f t="shared" si="22"/>
        <v>0</v>
      </c>
      <c r="H32" s="377">
        <f t="shared" si="22"/>
        <v>0</v>
      </c>
      <c r="I32" s="378"/>
      <c r="J32" s="377">
        <f t="shared" ref="J32" si="23">K32/2</f>
        <v>0</v>
      </c>
      <c r="K32" s="377">
        <f t="shared" ref="K32:Q32" si="24">K282</f>
        <v>0</v>
      </c>
      <c r="L32" s="377">
        <f t="shared" si="24"/>
        <v>0</v>
      </c>
      <c r="M32" s="9">
        <f t="shared" si="24"/>
        <v>0</v>
      </c>
      <c r="N32" s="9">
        <f t="shared" si="24"/>
        <v>0</v>
      </c>
      <c r="O32" s="9">
        <f t="shared" si="24"/>
        <v>0</v>
      </c>
      <c r="P32" s="9">
        <f t="shared" si="24"/>
        <v>0</v>
      </c>
      <c r="Q32" s="9">
        <f t="shared" si="24"/>
        <v>0</v>
      </c>
    </row>
    <row r="33" spans="2:17" ht="16.2" thickBot="1">
      <c r="B33" s="87" t="s">
        <v>114</v>
      </c>
      <c r="C33" s="97"/>
      <c r="D33" s="87"/>
      <c r="E33" s="87">
        <f t="shared" ref="E33:Q33" si="25">E28-E29</f>
        <v>46016.943280500003</v>
      </c>
      <c r="F33" s="87">
        <f t="shared" si="25"/>
        <v>44377.367073143934</v>
      </c>
      <c r="G33" s="87">
        <f t="shared" si="25"/>
        <v>50348.111385501332</v>
      </c>
      <c r="H33" s="87">
        <f t="shared" si="25"/>
        <v>56186.31337768973</v>
      </c>
      <c r="I33" s="88">
        <f t="shared" si="25"/>
        <v>42285.608103871622</v>
      </c>
      <c r="J33" s="87">
        <f t="shared" si="25"/>
        <v>15069.077522569507</v>
      </c>
      <c r="K33" s="87">
        <f t="shared" si="25"/>
        <v>57354.685626441184</v>
      </c>
      <c r="L33" s="87">
        <f t="shared" si="25"/>
        <v>74106.031859439507</v>
      </c>
      <c r="M33" s="87">
        <f t="shared" si="25"/>
        <v>86865.252545787574</v>
      </c>
      <c r="N33" s="87">
        <f t="shared" si="25"/>
        <v>104070.82067846207</v>
      </c>
      <c r="O33" s="87">
        <f t="shared" si="25"/>
        <v>125664.62074297431</v>
      </c>
      <c r="P33" s="87">
        <f t="shared" si="25"/>
        <v>155859.34646323408</v>
      </c>
      <c r="Q33" s="87">
        <f t="shared" si="25"/>
        <v>157417.93992786657</v>
      </c>
    </row>
    <row r="34" spans="2:17">
      <c r="B34" s="9" t="s">
        <v>94</v>
      </c>
      <c r="I34" s="83"/>
      <c r="K34" s="9">
        <f t="shared" ref="K34" si="26">SUM(I34:J34)</f>
        <v>0</v>
      </c>
    </row>
    <row r="35" spans="2:17">
      <c r="B35" s="85" t="s">
        <v>126</v>
      </c>
      <c r="C35" s="98"/>
      <c r="D35" s="85"/>
      <c r="E35" s="85"/>
      <c r="F35" s="85"/>
      <c r="G35" s="85"/>
      <c r="H35" s="85"/>
      <c r="I35" s="86"/>
      <c r="J35" s="85"/>
      <c r="K35" s="85"/>
      <c r="L35" s="85"/>
      <c r="M35" s="85"/>
      <c r="N35" s="85"/>
      <c r="O35" s="85"/>
      <c r="P35" s="85"/>
      <c r="Q35" s="85"/>
    </row>
    <row r="36" spans="2:17" ht="16.2" thickBot="1">
      <c r="B36" s="87" t="s">
        <v>23</v>
      </c>
      <c r="C36" s="97"/>
      <c r="D36" s="87"/>
      <c r="E36" s="87">
        <f>E33+E34</f>
        <v>46016.943280500003</v>
      </c>
      <c r="F36" s="87">
        <f t="shared" ref="F36:Q36" si="27">F33+F34</f>
        <v>44377.367073143934</v>
      </c>
      <c r="G36" s="87">
        <f t="shared" si="27"/>
        <v>50348.111385501332</v>
      </c>
      <c r="H36" s="87">
        <f t="shared" si="27"/>
        <v>56186.31337768973</v>
      </c>
      <c r="I36" s="88">
        <f t="shared" si="27"/>
        <v>42285.608103871622</v>
      </c>
      <c r="J36" s="87">
        <f t="shared" si="27"/>
        <v>15069.077522569507</v>
      </c>
      <c r="K36" s="87">
        <f t="shared" si="27"/>
        <v>57354.685626441184</v>
      </c>
      <c r="L36" s="87">
        <f t="shared" si="27"/>
        <v>74106.031859439507</v>
      </c>
      <c r="M36" s="87">
        <f t="shared" si="27"/>
        <v>86865.252545787574</v>
      </c>
      <c r="N36" s="87">
        <f t="shared" si="27"/>
        <v>104070.82067846207</v>
      </c>
      <c r="O36" s="87">
        <f t="shared" si="27"/>
        <v>125664.62074297431</v>
      </c>
      <c r="P36" s="87">
        <f t="shared" si="27"/>
        <v>155859.34646323408</v>
      </c>
      <c r="Q36" s="87">
        <f t="shared" si="27"/>
        <v>157417.93992786657</v>
      </c>
    </row>
    <row r="40" spans="2:17">
      <c r="B40" s="27" t="s">
        <v>164</v>
      </c>
      <c r="C40" s="99"/>
      <c r="D40" s="28"/>
      <c r="E40" s="29"/>
      <c r="F40" s="29">
        <f>IFERROR(F8/E8-1,"")</f>
        <v>7.83100625976898E-2</v>
      </c>
      <c r="G40" s="29">
        <f>IFERROR(G8/F8-1,"")</f>
        <v>0.14543121568258988</v>
      </c>
      <c r="H40" s="29">
        <f>IFERROR(H8/G8-1,"")</f>
        <v>0.17344412775936546</v>
      </c>
      <c r="I40" s="30">
        <f>I8*4/3/H8-1</f>
        <v>7.107781882079256E-2</v>
      </c>
      <c r="J40" s="29">
        <f>J8*4/H8-1</f>
        <v>0.12171370879696619</v>
      </c>
      <c r="K40" s="29">
        <f>IFERROR(K8/H8-1,"")</f>
        <v>8.3736791314836134E-2</v>
      </c>
      <c r="L40" s="29">
        <f t="shared" ref="L40:Q40" si="28">IFERROR(L8/K8-1,"")</f>
        <v>0.18933698265396748</v>
      </c>
      <c r="M40" s="29">
        <f t="shared" si="28"/>
        <v>0.13526105752097672</v>
      </c>
      <c r="N40" s="29">
        <f t="shared" si="28"/>
        <v>0.14101491061348548</v>
      </c>
      <c r="O40" s="29">
        <f t="shared" si="28"/>
        <v>0.14867071554023581</v>
      </c>
      <c r="P40" s="29">
        <f t="shared" si="28"/>
        <v>0.15906027660444799</v>
      </c>
      <c r="Q40" s="30">
        <f t="shared" si="28"/>
        <v>1.0000000000000009E-2</v>
      </c>
    </row>
    <row r="41" spans="2:17">
      <c r="B41" s="100" t="s">
        <v>165</v>
      </c>
      <c r="C41" s="101"/>
      <c r="D41" s="102"/>
      <c r="E41" s="103">
        <f t="shared" ref="E41:Q41" si="29">IFERROR(E22/E$8,"")</f>
        <v>0.74255553323619305</v>
      </c>
      <c r="F41" s="103">
        <f t="shared" si="29"/>
        <v>0.74229147963972908</v>
      </c>
      <c r="G41" s="103">
        <f t="shared" si="29"/>
        <v>0.74794055510714241</v>
      </c>
      <c r="H41" s="103">
        <f t="shared" si="29"/>
        <v>0.76435551978890237</v>
      </c>
      <c r="I41" s="104">
        <f t="shared" si="29"/>
        <v>0.77056874141495557</v>
      </c>
      <c r="J41" s="103">
        <f t="shared" si="29"/>
        <v>0.7706170659483278</v>
      </c>
      <c r="K41" s="103">
        <f t="shared" si="29"/>
        <v>0.77058124590220489</v>
      </c>
      <c r="L41" s="103">
        <f t="shared" si="29"/>
        <v>0.75650521827488337</v>
      </c>
      <c r="M41" s="103">
        <f t="shared" si="29"/>
        <v>0.75016641779788318</v>
      </c>
      <c r="N41" s="103">
        <f t="shared" si="29"/>
        <v>0.74147431935900465</v>
      </c>
      <c r="O41" s="103">
        <f t="shared" si="29"/>
        <v>0.73280895159053006</v>
      </c>
      <c r="P41" s="103">
        <f t="shared" si="29"/>
        <v>0.72107387240589849</v>
      </c>
      <c r="Q41" s="104">
        <f t="shared" si="29"/>
        <v>0.72107387240589838</v>
      </c>
    </row>
    <row r="42" spans="2:17">
      <c r="B42" s="100" t="s">
        <v>166</v>
      </c>
      <c r="C42" s="101"/>
      <c r="D42" s="102"/>
      <c r="E42" s="103">
        <f t="shared" ref="E42:Q42" si="30">IFERROR(E29/E$8,"")</f>
        <v>5.9469795992940964E-2</v>
      </c>
      <c r="F42" s="103">
        <f t="shared" si="30"/>
        <v>8.0652892242186719E-2</v>
      </c>
      <c r="G42" s="103">
        <f t="shared" si="30"/>
        <v>7.6686588995202087E-2</v>
      </c>
      <c r="H42" s="103">
        <f t="shared" si="30"/>
        <v>6.8863196897658865E-2</v>
      </c>
      <c r="I42" s="104">
        <f t="shared" si="30"/>
        <v>7.3178725830717245E-2</v>
      </c>
      <c r="J42" s="103">
        <f t="shared" si="30"/>
        <v>6.9875325078189318E-2</v>
      </c>
      <c r="K42" s="103">
        <f t="shared" si="30"/>
        <v>7.2323935733283815E-2</v>
      </c>
      <c r="L42" s="103">
        <f t="shared" si="30"/>
        <v>7.2830910733377982E-2</v>
      </c>
      <c r="M42" s="103">
        <f t="shared" si="30"/>
        <v>7.3620406038693381E-2</v>
      </c>
      <c r="N42" s="103">
        <f t="shared" si="30"/>
        <v>7.3500876921756789E-2</v>
      </c>
      <c r="O42" s="103">
        <f t="shared" si="30"/>
        <v>7.2691566644219635E-2</v>
      </c>
      <c r="P42" s="103">
        <f t="shared" si="30"/>
        <v>7.0797292925833852E-2</v>
      </c>
      <c r="Q42" s="104">
        <f t="shared" si="30"/>
        <v>7.0797292925833852E-2</v>
      </c>
    </row>
    <row r="43" spans="2:17">
      <c r="B43" s="100" t="s">
        <v>167</v>
      </c>
      <c r="C43" s="101"/>
      <c r="D43" s="102"/>
      <c r="E43" s="103">
        <f t="shared" ref="E43:Q43" si="31">IFERROR(E33/E$8,"")</f>
        <v>0.19797467077086595</v>
      </c>
      <c r="F43" s="103">
        <f t="shared" si="31"/>
        <v>0.17705562811808423</v>
      </c>
      <c r="G43" s="103">
        <f t="shared" si="31"/>
        <v>0.17537285589765547</v>
      </c>
      <c r="H43" s="103">
        <f t="shared" si="31"/>
        <v>0.16678128331343875</v>
      </c>
      <c r="I43" s="104">
        <f t="shared" si="31"/>
        <v>0.15625253275432718</v>
      </c>
      <c r="J43" s="103">
        <f t="shared" si="31"/>
        <v>0.15950760897348285</v>
      </c>
      <c r="K43" s="103">
        <f t="shared" si="31"/>
        <v>0.15709481836451131</v>
      </c>
      <c r="L43" s="103">
        <f t="shared" si="31"/>
        <v>0.17066387099173869</v>
      </c>
      <c r="M43" s="103">
        <f t="shared" si="31"/>
        <v>0.17621317616342344</v>
      </c>
      <c r="N43" s="103">
        <f t="shared" si="31"/>
        <v>0.18502480371923855</v>
      </c>
      <c r="O43" s="103">
        <f t="shared" si="31"/>
        <v>0.19449948176525031</v>
      </c>
      <c r="P43" s="103">
        <f t="shared" si="31"/>
        <v>0.20812883466826765</v>
      </c>
      <c r="Q43" s="104">
        <f t="shared" si="31"/>
        <v>0.20812883466826784</v>
      </c>
    </row>
    <row r="44" spans="2:17">
      <c r="B44" s="32" t="s">
        <v>168</v>
      </c>
      <c r="C44" s="105"/>
      <c r="D44" s="33"/>
      <c r="E44" s="34">
        <f t="shared" ref="E44:Q44" si="32">IFERROR(E36/E$8,"")</f>
        <v>0.19797467077086595</v>
      </c>
      <c r="F44" s="34">
        <f t="shared" si="32"/>
        <v>0.17705562811808423</v>
      </c>
      <c r="G44" s="34">
        <f t="shared" si="32"/>
        <v>0.17537285589765547</v>
      </c>
      <c r="H44" s="34">
        <f t="shared" si="32"/>
        <v>0.16678128331343875</v>
      </c>
      <c r="I44" s="35">
        <f t="shared" si="32"/>
        <v>0.15625253275432718</v>
      </c>
      <c r="J44" s="34">
        <f t="shared" si="32"/>
        <v>0.15950760897348285</v>
      </c>
      <c r="K44" s="34">
        <f t="shared" si="32"/>
        <v>0.15709481836451131</v>
      </c>
      <c r="L44" s="34">
        <f t="shared" si="32"/>
        <v>0.17066387099173869</v>
      </c>
      <c r="M44" s="34">
        <f t="shared" si="32"/>
        <v>0.17621317616342344</v>
      </c>
      <c r="N44" s="34">
        <f t="shared" si="32"/>
        <v>0.18502480371923855</v>
      </c>
      <c r="O44" s="34">
        <f t="shared" si="32"/>
        <v>0.19449948176525031</v>
      </c>
      <c r="P44" s="34">
        <f t="shared" si="32"/>
        <v>0.20812883466826765</v>
      </c>
      <c r="Q44" s="35">
        <f t="shared" si="32"/>
        <v>0.20812883466826784</v>
      </c>
    </row>
    <row r="45" spans="2:17">
      <c r="K45" s="10"/>
      <c r="L45" s="10"/>
      <c r="M45" s="10"/>
      <c r="N45" s="10"/>
      <c r="O45" s="10"/>
      <c r="P45" s="10"/>
      <c r="Q45" s="10"/>
    </row>
    <row r="48" spans="2:17">
      <c r="B48" s="11" t="s">
        <v>9</v>
      </c>
      <c r="C48" s="94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50" spans="2:17">
      <c r="B50" s="106" t="s">
        <v>169</v>
      </c>
    </row>
    <row r="51" spans="2:17">
      <c r="B51" s="85"/>
      <c r="C51" s="98"/>
      <c r="D51" s="85"/>
      <c r="E51" s="85"/>
      <c r="F51" s="85"/>
      <c r="G51" s="85"/>
      <c r="H51" s="85"/>
      <c r="I51" s="85"/>
      <c r="J51" s="85"/>
      <c r="K51" s="107"/>
      <c r="L51" s="107"/>
      <c r="M51" s="107"/>
      <c r="N51" s="107"/>
      <c r="O51" s="107"/>
      <c r="P51" s="107"/>
      <c r="Q51" s="107"/>
    </row>
    <row r="52" spans="2:17" s="16" customFormat="1">
      <c r="B52" s="16" t="s">
        <v>170</v>
      </c>
      <c r="C52" s="96" t="s">
        <v>171</v>
      </c>
      <c r="E52" s="16">
        <f>SUM(E53:E54)</f>
        <v>53601.803827000003</v>
      </c>
      <c r="F52" s="16">
        <f t="shared" ref="F52:Q52" si="33">SUM(F53:F54)</f>
        <v>44808.236005999992</v>
      </c>
      <c r="G52" s="16">
        <f t="shared" si="33"/>
        <v>52451.477335296004</v>
      </c>
      <c r="H52" s="16">
        <f t="shared" si="33"/>
        <v>59523.371739358496</v>
      </c>
      <c r="I52" s="13">
        <f t="shared" si="33"/>
        <v>47013.683221895277</v>
      </c>
      <c r="J52" s="16">
        <f t="shared" si="33"/>
        <v>15671.227740631759</v>
      </c>
      <c r="K52" s="16">
        <f t="shared" si="33"/>
        <v>62684.910962527036</v>
      </c>
      <c r="L52" s="16">
        <f t="shared" si="33"/>
        <v>70021.973683319477</v>
      </c>
      <c r="M52" s="16">
        <f t="shared" si="33"/>
        <v>77026.798358115164</v>
      </c>
      <c r="N52" s="16">
        <f t="shared" si="33"/>
        <v>84453.161253320301</v>
      </c>
      <c r="O52" s="16">
        <f t="shared" si="33"/>
        <v>92162.657626172222</v>
      </c>
      <c r="P52" s="16">
        <f t="shared" si="33"/>
        <v>100149.44865995296</v>
      </c>
      <c r="Q52" s="16">
        <f t="shared" si="33"/>
        <v>101150.9431465525</v>
      </c>
    </row>
    <row r="53" spans="2:17">
      <c r="B53" s="89" t="s">
        <v>155</v>
      </c>
      <c r="C53" s="93" t="s">
        <v>172</v>
      </c>
      <c r="E53" s="9">
        <v>36560.63207</v>
      </c>
      <c r="F53" s="9">
        <f t="shared" ref="F53:H53" si="34">F55</f>
        <v>36198.018847999985</v>
      </c>
      <c r="G53" s="9">
        <f t="shared" si="34"/>
        <v>37023.496762000002</v>
      </c>
      <c r="H53" s="9">
        <f t="shared" si="34"/>
        <v>40790.125390024601</v>
      </c>
      <c r="I53" s="83">
        <f>I55</f>
        <v>30724.829711252776</v>
      </c>
      <c r="J53" s="9">
        <f>J55</f>
        <v>10241.609903750925</v>
      </c>
      <c r="K53" s="9">
        <f>K55</f>
        <v>40966.439615003699</v>
      </c>
      <c r="L53" s="9">
        <f t="shared" ref="L53:Q53" si="35">L55</f>
        <v>47977.7252655833</v>
      </c>
      <c r="M53" s="9">
        <f t="shared" si="35"/>
        <v>54453.487978353311</v>
      </c>
      <c r="N53" s="9">
        <f t="shared" si="35"/>
        <v>61247.798182925122</v>
      </c>
      <c r="O53" s="9">
        <f t="shared" si="35"/>
        <v>68307.544389805975</v>
      </c>
      <c r="P53" s="9">
        <f t="shared" si="35"/>
        <v>75602.5371397321</v>
      </c>
      <c r="Q53" s="9">
        <f t="shared" si="35"/>
        <v>76358.562511129421</v>
      </c>
    </row>
    <row r="54" spans="2:17">
      <c r="B54" s="108" t="s">
        <v>156</v>
      </c>
      <c r="C54" s="98" t="s">
        <v>171</v>
      </c>
      <c r="D54" s="85"/>
      <c r="E54" s="85">
        <f>E60</f>
        <v>17041.171757000004</v>
      </c>
      <c r="F54" s="85">
        <f t="shared" ref="F54:I54" si="36">F60</f>
        <v>8610.2171580000031</v>
      </c>
      <c r="G54" s="85">
        <f t="shared" si="36"/>
        <v>15427.980573296001</v>
      </c>
      <c r="H54" s="85">
        <f t="shared" si="36"/>
        <v>18733.246349333898</v>
      </c>
      <c r="I54" s="86">
        <f t="shared" si="36"/>
        <v>16288.853510642501</v>
      </c>
      <c r="J54" s="85">
        <f>J60</f>
        <v>5429.6178368808332</v>
      </c>
      <c r="K54" s="85">
        <f>K60</f>
        <v>21718.471347523333</v>
      </c>
      <c r="L54" s="85">
        <f t="shared" ref="L54:Q54" si="37">L60</f>
        <v>22044.24841773618</v>
      </c>
      <c r="M54" s="85">
        <f t="shared" si="37"/>
        <v>22573.31037976185</v>
      </c>
      <c r="N54" s="85">
        <f t="shared" si="37"/>
        <v>23205.363070395182</v>
      </c>
      <c r="O54" s="85">
        <f t="shared" si="37"/>
        <v>23855.113236366247</v>
      </c>
      <c r="P54" s="85">
        <f t="shared" si="37"/>
        <v>24546.911520220867</v>
      </c>
      <c r="Q54" s="85">
        <f t="shared" si="37"/>
        <v>24792.380635423076</v>
      </c>
    </row>
    <row r="55" spans="2:17">
      <c r="B55" s="9" t="s">
        <v>173</v>
      </c>
      <c r="C55" s="93" t="s">
        <v>171</v>
      </c>
      <c r="E55" s="9">
        <f>E56*E58</f>
        <v>36560.63207</v>
      </c>
      <c r="F55" s="9">
        <v>36198.018847999985</v>
      </c>
      <c r="G55" s="9">
        <v>37023.496762000002</v>
      </c>
      <c r="H55" s="9">
        <v>40790.125390024601</v>
      </c>
      <c r="I55" s="83">
        <v>30724.829711252776</v>
      </c>
      <c r="J55" s="9">
        <f>J56*J58/4</f>
        <v>10241.609903750925</v>
      </c>
      <c r="K55" s="9">
        <f>SUM(I55:J55)</f>
        <v>40966.439615003699</v>
      </c>
      <c r="L55" s="9">
        <f t="shared" ref="L55:P55" si="38">L56*L58</f>
        <v>47977.7252655833</v>
      </c>
      <c r="M55" s="9">
        <f t="shared" si="38"/>
        <v>54453.487978353311</v>
      </c>
      <c r="N55" s="9">
        <f t="shared" si="38"/>
        <v>61247.798182925122</v>
      </c>
      <c r="O55" s="9">
        <f t="shared" si="38"/>
        <v>68307.544389805975</v>
      </c>
      <c r="P55" s="9">
        <f t="shared" si="38"/>
        <v>75602.5371397321</v>
      </c>
      <c r="Q55" s="9">
        <f>P55*(1+DCF!$F$44)</f>
        <v>76358.562511129421</v>
      </c>
    </row>
    <row r="56" spans="2:17">
      <c r="B56" s="89" t="s">
        <v>174</v>
      </c>
      <c r="C56" s="93" t="s">
        <v>175</v>
      </c>
      <c r="E56" s="9">
        <v>46</v>
      </c>
      <c r="F56" s="9">
        <v>45</v>
      </c>
      <c r="G56" s="9">
        <v>51</v>
      </c>
      <c r="H56" s="9">
        <v>66</v>
      </c>
      <c r="I56" s="83">
        <v>68</v>
      </c>
      <c r="J56" s="9">
        <f>I56</f>
        <v>68</v>
      </c>
      <c r="K56" s="9">
        <f>J56</f>
        <v>68</v>
      </c>
      <c r="L56" s="9">
        <f>K56+L57</f>
        <v>78</v>
      </c>
      <c r="M56" s="9">
        <f t="shared" ref="M56:P56" si="39">L56+M57</f>
        <v>88</v>
      </c>
      <c r="N56" s="9">
        <f t="shared" si="39"/>
        <v>98</v>
      </c>
      <c r="O56" s="9">
        <f t="shared" si="39"/>
        <v>108</v>
      </c>
      <c r="P56" s="9">
        <f t="shared" si="39"/>
        <v>118</v>
      </c>
    </row>
    <row r="57" spans="2:17">
      <c r="B57" s="82" t="s">
        <v>176</v>
      </c>
      <c r="C57" s="93" t="s">
        <v>175</v>
      </c>
      <c r="F57" s="9">
        <f>F56-E56</f>
        <v>-1</v>
      </c>
      <c r="G57" s="9">
        <f>G56-F56</f>
        <v>6</v>
      </c>
      <c r="H57" s="9">
        <f>H56-G56</f>
        <v>15</v>
      </c>
      <c r="I57" s="83">
        <f>I56-H56</f>
        <v>2</v>
      </c>
      <c r="K57" s="109">
        <f>K56-H56</f>
        <v>2</v>
      </c>
      <c r="L57" s="109">
        <v>10</v>
      </c>
      <c r="M57" s="109">
        <v>10</v>
      </c>
      <c r="N57" s="109">
        <v>10</v>
      </c>
      <c r="O57" s="109">
        <v>10</v>
      </c>
      <c r="P57" s="109">
        <f>O57</f>
        <v>10</v>
      </c>
      <c r="Q57" s="109"/>
    </row>
    <row r="58" spans="2:17">
      <c r="B58" s="89" t="s">
        <v>177</v>
      </c>
      <c r="C58" s="93" t="s">
        <v>171</v>
      </c>
      <c r="E58" s="9">
        <v>794.79634934782609</v>
      </c>
      <c r="F58" s="9">
        <f>F55/F56</f>
        <v>804.40041884444406</v>
      </c>
      <c r="G58" s="9">
        <f t="shared" ref="G58:H58" si="40">G55/G56</f>
        <v>725.9509169019608</v>
      </c>
      <c r="H58" s="9">
        <f t="shared" si="40"/>
        <v>618.03220287916065</v>
      </c>
      <c r="I58" s="83">
        <f>I55*12/9/I56</f>
        <v>602.44764139711322</v>
      </c>
      <c r="J58" s="9">
        <f>I58</f>
        <v>602.44764139711322</v>
      </c>
      <c r="K58" s="9">
        <f>K55/K56</f>
        <v>602.44764139711322</v>
      </c>
      <c r="L58" s="9">
        <f>K58*(1+L59)</f>
        <v>615.09904186645258</v>
      </c>
      <c r="M58" s="9">
        <f t="shared" ref="M58:P58" si="41">L58*(1+M59)</f>
        <v>618.7896361176513</v>
      </c>
      <c r="N58" s="9">
        <f t="shared" si="41"/>
        <v>624.97753247882781</v>
      </c>
      <c r="O58" s="9">
        <f t="shared" si="41"/>
        <v>632.4772628685738</v>
      </c>
      <c r="P58" s="9">
        <f t="shared" si="41"/>
        <v>640.69946728586524</v>
      </c>
    </row>
    <row r="59" spans="2:17">
      <c r="B59" s="110" t="s">
        <v>178</v>
      </c>
      <c r="C59" s="98" t="s">
        <v>179</v>
      </c>
      <c r="D59" s="85"/>
      <c r="E59" s="85"/>
      <c r="F59" s="107">
        <f>F58/E58-1</f>
        <v>1.2083685971253644E-2</v>
      </c>
      <c r="G59" s="107">
        <f>G58/F58-1</f>
        <v>-9.7525436467548521E-2</v>
      </c>
      <c r="H59" s="78">
        <f t="shared" ref="H59:I59" si="42">H58/G58-1</f>
        <v>-0.14865841685736791</v>
      </c>
      <c r="I59" s="111">
        <f t="shared" si="42"/>
        <v>-2.5216423043079805E-2</v>
      </c>
      <c r="J59" s="85"/>
      <c r="K59" s="112">
        <v>5.0999999999999997E-2</v>
      </c>
      <c r="L59" s="112">
        <v>2.1000000000000001E-2</v>
      </c>
      <c r="M59" s="112">
        <v>6.0000000000000001E-3</v>
      </c>
      <c r="N59" s="112">
        <v>0.01</v>
      </c>
      <c r="O59" s="112">
        <v>1.2E-2</v>
      </c>
      <c r="P59" s="112">
        <v>1.3000000000000001E-2</v>
      </c>
      <c r="Q59" s="85"/>
    </row>
    <row r="60" spans="2:17">
      <c r="B60" s="9" t="s">
        <v>180</v>
      </c>
      <c r="C60" s="93" t="s">
        <v>171</v>
      </c>
      <c r="E60" s="9">
        <v>17041.171757000004</v>
      </c>
      <c r="F60" s="9">
        <v>8610.2171580000031</v>
      </c>
      <c r="G60" s="9">
        <v>15427.980573296001</v>
      </c>
      <c r="H60" s="9">
        <v>18733.246349333898</v>
      </c>
      <c r="I60" s="83">
        <v>16288.853510642501</v>
      </c>
      <c r="J60" s="9">
        <f>I60/3</f>
        <v>5429.6178368808332</v>
      </c>
      <c r="K60" s="9">
        <f>SUM(I60:J60)</f>
        <v>21718.471347523333</v>
      </c>
      <c r="L60" s="9">
        <f>K60*(1+L61)</f>
        <v>22044.24841773618</v>
      </c>
      <c r="M60" s="9">
        <f t="shared" ref="M60:P60" si="43">L60*(1+M61)</f>
        <v>22573.31037976185</v>
      </c>
      <c r="N60" s="9">
        <f t="shared" si="43"/>
        <v>23205.363070395182</v>
      </c>
      <c r="O60" s="9">
        <f t="shared" si="43"/>
        <v>23855.113236366247</v>
      </c>
      <c r="P60" s="9">
        <f t="shared" si="43"/>
        <v>24546.911520220867</v>
      </c>
      <c r="Q60" s="9">
        <f>P60*(1+DCF!$F$44)</f>
        <v>24792.380635423076</v>
      </c>
    </row>
    <row r="61" spans="2:17">
      <c r="B61" s="85"/>
      <c r="C61" s="98" t="s">
        <v>181</v>
      </c>
      <c r="D61" s="85"/>
      <c r="E61" s="85"/>
      <c r="F61" s="107">
        <f>F60/E60-1</f>
        <v>-0.49474031006916042</v>
      </c>
      <c r="G61" s="107">
        <f>G60/F60-1</f>
        <v>0.79182246976911785</v>
      </c>
      <c r="H61" s="107">
        <f t="shared" ref="H61" si="44">H60/G60-1</f>
        <v>0.21423839369871378</v>
      </c>
      <c r="I61" s="111">
        <f>I60*4/3/H60-1</f>
        <v>0.15935438751626618</v>
      </c>
      <c r="J61" s="85"/>
      <c r="K61" s="112">
        <f>K60/H60-1</f>
        <v>0.15935438751626618</v>
      </c>
      <c r="L61" s="112">
        <v>1.4999999999999999E-2</v>
      </c>
      <c r="M61" s="112">
        <v>2.4E-2</v>
      </c>
      <c r="N61" s="112">
        <v>2.7999999999999997E-2</v>
      </c>
      <c r="O61" s="112">
        <v>2.7999999999999997E-2</v>
      </c>
      <c r="P61" s="112">
        <v>2.8999999999999998E-2</v>
      </c>
      <c r="Q61" s="85"/>
    </row>
    <row r="63" spans="2:17">
      <c r="B63" s="16" t="s">
        <v>182</v>
      </c>
    </row>
    <row r="64" spans="2:17">
      <c r="B64" s="14"/>
      <c r="C64" s="98"/>
      <c r="D64" s="85"/>
      <c r="E64" s="85"/>
      <c r="F64" s="85"/>
      <c r="G64" s="85"/>
      <c r="H64" s="85"/>
      <c r="I64" s="85"/>
      <c r="J64" s="85"/>
      <c r="K64" s="107"/>
      <c r="L64" s="107"/>
      <c r="M64" s="107"/>
      <c r="N64" s="107"/>
      <c r="O64" s="107"/>
      <c r="P64" s="107"/>
      <c r="Q64" s="107"/>
    </row>
    <row r="65" spans="2:17">
      <c r="B65" s="16" t="s">
        <v>183</v>
      </c>
      <c r="C65" s="96" t="s">
        <v>172</v>
      </c>
      <c r="D65" s="16"/>
      <c r="E65" s="16">
        <v>62574.981631000002</v>
      </c>
      <c r="F65" s="376">
        <v>68953.197505000004</v>
      </c>
      <c r="G65" s="376">
        <v>76969.977826390386</v>
      </c>
      <c r="H65" s="376">
        <v>86466.045259773397</v>
      </c>
      <c r="I65" s="382">
        <v>75621.809288212797</v>
      </c>
      <c r="J65" s="376">
        <f>J66*J67/4</f>
        <v>26152.742254922672</v>
      </c>
      <c r="K65" s="376">
        <f>SUM(I65:J65)</f>
        <v>101774.55154313547</v>
      </c>
      <c r="L65" s="376">
        <f t="shared" ref="L65:P65" si="45">L66*L67</f>
        <v>108734.5338984113</v>
      </c>
      <c r="M65" s="376">
        <f t="shared" si="45"/>
        <v>114165.88591615914</v>
      </c>
      <c r="N65" s="376">
        <f t="shared" si="45"/>
        <v>120241.32621802035</v>
      </c>
      <c r="O65" s="376">
        <f t="shared" si="45"/>
        <v>127656.10492573331</v>
      </c>
      <c r="P65" s="16">
        <f t="shared" si="45"/>
        <v>135692.03149414397</v>
      </c>
      <c r="Q65" s="16">
        <f>P65*(1+DCF!$F$44)</f>
        <v>137048.95180908541</v>
      </c>
    </row>
    <row r="66" spans="2:17">
      <c r="B66" s="89" t="s">
        <v>184</v>
      </c>
      <c r="C66" s="93" t="s">
        <v>185</v>
      </c>
      <c r="E66" s="9">
        <f>E68</f>
        <v>78</v>
      </c>
      <c r="F66" s="377">
        <f t="shared" ref="F66:I66" si="46">F68</f>
        <v>81</v>
      </c>
      <c r="G66" s="377">
        <f t="shared" si="46"/>
        <v>90</v>
      </c>
      <c r="H66" s="377">
        <f t="shared" si="46"/>
        <v>117</v>
      </c>
      <c r="I66" s="378">
        <f t="shared" si="46"/>
        <v>118</v>
      </c>
      <c r="J66" s="377">
        <f>J68</f>
        <v>122.42593565776646</v>
      </c>
      <c r="K66" s="377">
        <f>K65/K67</f>
        <v>119.10648391444161</v>
      </c>
      <c r="L66" s="377">
        <f t="shared" ref="L66:P66" si="47">L68</f>
        <v>124.54427582622286</v>
      </c>
      <c r="M66" s="377">
        <f t="shared" si="47"/>
        <v>131.2721617707904</v>
      </c>
      <c r="N66" s="377">
        <f t="shared" si="47"/>
        <v>138.79129267820338</v>
      </c>
      <c r="O66" s="377">
        <f t="shared" si="47"/>
        <v>146.62857754160322</v>
      </c>
      <c r="P66" s="9">
        <f t="shared" si="47"/>
        <v>154.94651769010369</v>
      </c>
    </row>
    <row r="67" spans="2:17">
      <c r="B67" s="108" t="s">
        <v>186</v>
      </c>
      <c r="C67" s="98" t="s">
        <v>172</v>
      </c>
      <c r="D67" s="85"/>
      <c r="E67" s="85">
        <f>E65/E66</f>
        <v>802.24335424358981</v>
      </c>
      <c r="F67" s="383">
        <f t="shared" ref="F67:H67" si="48">F65/F66</f>
        <v>851.27404327160502</v>
      </c>
      <c r="G67" s="383">
        <f t="shared" si="48"/>
        <v>855.22197584878211</v>
      </c>
      <c r="H67" s="383">
        <f t="shared" si="48"/>
        <v>739.02602786131104</v>
      </c>
      <c r="I67" s="384">
        <f>I65*4/3/I66</f>
        <v>854.48372077076613</v>
      </c>
      <c r="J67" s="383">
        <f>J76</f>
        <v>854.48372077076613</v>
      </c>
      <c r="K67" s="383">
        <f>J67</f>
        <v>854.48372077076613</v>
      </c>
      <c r="L67" s="383">
        <f t="shared" ref="L67:P67" si="49">L76</f>
        <v>873.05926488447403</v>
      </c>
      <c r="M67" s="383">
        <f t="shared" si="49"/>
        <v>869.68847298713706</v>
      </c>
      <c r="N67" s="383">
        <f t="shared" si="49"/>
        <v>866.34632402198076</v>
      </c>
      <c r="O67" s="383">
        <f t="shared" si="49"/>
        <v>870.60862940931952</v>
      </c>
      <c r="P67" s="85">
        <f t="shared" si="49"/>
        <v>875.73463100042625</v>
      </c>
      <c r="Q67" s="85"/>
    </row>
    <row r="68" spans="2:17">
      <c r="B68" s="82" t="s">
        <v>184</v>
      </c>
      <c r="C68" s="93" t="s">
        <v>175</v>
      </c>
      <c r="E68" s="9">
        <v>78</v>
      </c>
      <c r="F68" s="377">
        <v>81</v>
      </c>
      <c r="G68" s="377">
        <v>90</v>
      </c>
      <c r="H68" s="377">
        <v>117</v>
      </c>
      <c r="I68" s="378">
        <v>118</v>
      </c>
      <c r="J68" s="377">
        <f>J69*J74</f>
        <v>122.42593565776646</v>
      </c>
      <c r="K68" s="377">
        <f>K66</f>
        <v>119.10648391444161</v>
      </c>
      <c r="L68" s="377">
        <f t="shared" ref="L68:P68" si="50">L69*L74</f>
        <v>124.54427582622286</v>
      </c>
      <c r="M68" s="377">
        <f t="shared" si="50"/>
        <v>131.2721617707904</v>
      </c>
      <c r="N68" s="377">
        <f t="shared" si="50"/>
        <v>138.79129267820338</v>
      </c>
      <c r="O68" s="377">
        <f t="shared" si="50"/>
        <v>146.62857754160322</v>
      </c>
      <c r="P68" s="9">
        <f t="shared" si="50"/>
        <v>154.94651769010369</v>
      </c>
    </row>
    <row r="69" spans="2:17">
      <c r="B69" s="115" t="s">
        <v>187</v>
      </c>
      <c r="C69" s="93" t="s">
        <v>185</v>
      </c>
      <c r="E69" s="9">
        <v>750.6099999999999</v>
      </c>
      <c r="F69" s="377">
        <v>777.96074999999996</v>
      </c>
      <c r="G69" s="377">
        <v>835.77183333333335</v>
      </c>
      <c r="H69" s="377">
        <v>903.12481021541748</v>
      </c>
      <c r="I69" s="378">
        <v>984.08886444444431</v>
      </c>
      <c r="J69" s="377">
        <v>1021</v>
      </c>
      <c r="K69" s="377">
        <f>K68/K74</f>
        <v>993.31664833333321</v>
      </c>
      <c r="L69" s="377">
        <f>K69+L70</f>
        <v>1023.3166483333332</v>
      </c>
      <c r="M69" s="377">
        <f t="shared" ref="M69:P69" si="51">L69+M70</f>
        <v>1053.3166483333332</v>
      </c>
      <c r="N69" s="377">
        <f t="shared" si="51"/>
        <v>1083.3166483333332</v>
      </c>
      <c r="O69" s="377">
        <f t="shared" si="51"/>
        <v>1113.3166483333332</v>
      </c>
      <c r="P69" s="9">
        <f t="shared" si="51"/>
        <v>1143.3166483333332</v>
      </c>
    </row>
    <row r="70" spans="2:17">
      <c r="B70" s="116" t="s">
        <v>176</v>
      </c>
      <c r="C70" s="93" t="s">
        <v>185</v>
      </c>
      <c r="F70" s="377">
        <f>F69-E69</f>
        <v>27.350750000000062</v>
      </c>
      <c r="G70" s="377">
        <f>G69-F69</f>
        <v>57.811083333333386</v>
      </c>
      <c r="H70" s="377">
        <f>H69-G69</f>
        <v>67.352976882084135</v>
      </c>
      <c r="I70" s="378">
        <f>I69-H69</f>
        <v>80.964054229026829</v>
      </c>
      <c r="J70" s="377"/>
      <c r="K70" s="385">
        <f>K69-H69</f>
        <v>90.191838117915722</v>
      </c>
      <c r="L70" s="385">
        <v>30</v>
      </c>
      <c r="M70" s="385">
        <v>30</v>
      </c>
      <c r="N70" s="385">
        <v>30</v>
      </c>
      <c r="O70" s="385">
        <v>30</v>
      </c>
      <c r="P70" s="109">
        <f>O70</f>
        <v>30</v>
      </c>
    </row>
    <row r="71" spans="2:17">
      <c r="B71" s="117" t="s">
        <v>188</v>
      </c>
      <c r="C71" s="93" t="s">
        <v>185</v>
      </c>
      <c r="E71" s="9">
        <v>589.91666666666663</v>
      </c>
      <c r="F71" s="377">
        <v>618.5</v>
      </c>
      <c r="G71" s="377">
        <v>698</v>
      </c>
      <c r="H71" s="377">
        <v>749.53918924833749</v>
      </c>
      <c r="I71" s="378">
        <v>803.75941999999986</v>
      </c>
      <c r="J71" s="377">
        <f t="shared" ref="J71" si="52">ROUND(J69*J72,)</f>
        <v>872</v>
      </c>
      <c r="K71" s="377">
        <v>848</v>
      </c>
      <c r="L71" s="377">
        <f t="shared" ref="L71:P71" si="53">ROUND(L69*L72,)</f>
        <v>879</v>
      </c>
      <c r="M71" s="377">
        <f t="shared" si="53"/>
        <v>910</v>
      </c>
      <c r="N71" s="377">
        <f t="shared" si="53"/>
        <v>941</v>
      </c>
      <c r="O71" s="377">
        <f t="shared" si="53"/>
        <v>973</v>
      </c>
      <c r="P71" s="9">
        <f t="shared" si="53"/>
        <v>1005</v>
      </c>
    </row>
    <row r="72" spans="2:17">
      <c r="B72" s="118" t="s">
        <v>189</v>
      </c>
      <c r="C72" s="93" t="s">
        <v>179</v>
      </c>
      <c r="E72" s="10">
        <f>E71/E69</f>
        <v>0.78591634359609741</v>
      </c>
      <c r="F72" s="144">
        <f t="shared" ref="F72:K72" si="54">F71/F69</f>
        <v>0.79502725555241704</v>
      </c>
      <c r="G72" s="144">
        <f t="shared" si="54"/>
        <v>0.83515616602697185</v>
      </c>
      <c r="H72" s="144">
        <f t="shared" si="54"/>
        <v>0.82993976111624479</v>
      </c>
      <c r="I72" s="149">
        <f t="shared" si="54"/>
        <v>0.81675491821945645</v>
      </c>
      <c r="J72" s="144">
        <f>K72</f>
        <v>0.85370561484380914</v>
      </c>
      <c r="K72" s="143">
        <f t="shared" si="54"/>
        <v>0.85370561484380914</v>
      </c>
      <c r="L72" s="143">
        <f>K72+0.5%</f>
        <v>0.85870561484380914</v>
      </c>
      <c r="M72" s="143">
        <f t="shared" ref="M72:P72" si="55">L72+0.5%</f>
        <v>0.86370561484380914</v>
      </c>
      <c r="N72" s="143">
        <f t="shared" si="55"/>
        <v>0.86870561484380915</v>
      </c>
      <c r="O72" s="143">
        <f t="shared" si="55"/>
        <v>0.87370561484380915</v>
      </c>
      <c r="P72" s="120">
        <f t="shared" si="55"/>
        <v>0.87870561484380916</v>
      </c>
    </row>
    <row r="73" spans="2:17">
      <c r="B73" s="117" t="s">
        <v>190</v>
      </c>
      <c r="C73" s="93" t="s">
        <v>185</v>
      </c>
      <c r="E73" s="9">
        <f>E69-E71</f>
        <v>160.69333333333327</v>
      </c>
      <c r="F73" s="377">
        <f t="shared" ref="F73:J73" si="56">F69-F71</f>
        <v>159.46074999999996</v>
      </c>
      <c r="G73" s="377">
        <f t="shared" si="56"/>
        <v>137.77183333333335</v>
      </c>
      <c r="H73" s="377">
        <f t="shared" si="56"/>
        <v>153.58562096707999</v>
      </c>
      <c r="I73" s="378">
        <f t="shared" si="56"/>
        <v>180.32944444444445</v>
      </c>
      <c r="J73" s="377">
        <f t="shared" si="56"/>
        <v>149</v>
      </c>
      <c r="K73" s="377">
        <f>K69-K71</f>
        <v>145.31664833333321</v>
      </c>
      <c r="L73" s="377">
        <f t="shared" ref="L73:P73" si="57">L69-L71</f>
        <v>144.31664833333321</v>
      </c>
      <c r="M73" s="377">
        <f t="shared" si="57"/>
        <v>143.31664833333321</v>
      </c>
      <c r="N73" s="377">
        <f t="shared" si="57"/>
        <v>142.31664833333321</v>
      </c>
      <c r="O73" s="377">
        <f t="shared" si="57"/>
        <v>140.31664833333321</v>
      </c>
      <c r="P73" s="9">
        <f t="shared" si="57"/>
        <v>138.31664833333321</v>
      </c>
    </row>
    <row r="74" spans="2:17">
      <c r="B74" s="115" t="s">
        <v>191</v>
      </c>
      <c r="C74" s="93" t="s">
        <v>172</v>
      </c>
      <c r="E74" s="121">
        <f>E68/E69</f>
        <v>0.10391548207457936</v>
      </c>
      <c r="F74" s="386">
        <f t="shared" ref="F74:I74" si="58">F68/F69</f>
        <v>0.10411836329789131</v>
      </c>
      <c r="G74" s="386">
        <f t="shared" si="58"/>
        <v>0.10768489246766112</v>
      </c>
      <c r="H74" s="386">
        <f t="shared" si="58"/>
        <v>0.12955020023433153</v>
      </c>
      <c r="I74" s="387">
        <f t="shared" si="58"/>
        <v>0.11990787037979085</v>
      </c>
      <c r="J74" s="386">
        <f>I74</f>
        <v>0.11990787037979085</v>
      </c>
      <c r="K74" s="386">
        <f>J74</f>
        <v>0.11990787037979085</v>
      </c>
      <c r="L74" s="386">
        <f>K74*(1+L75)</f>
        <v>0.1217064884354877</v>
      </c>
      <c r="M74" s="386">
        <f t="shared" ref="M74:P74" si="59">L74*(1+M75)</f>
        <v>0.12462744415793942</v>
      </c>
      <c r="N74" s="386">
        <f t="shared" si="59"/>
        <v>0.12811701259436173</v>
      </c>
      <c r="O74" s="386">
        <f t="shared" si="59"/>
        <v>0.13170428894700387</v>
      </c>
      <c r="P74" s="121">
        <f t="shared" si="59"/>
        <v>0.13552371332646695</v>
      </c>
    </row>
    <row r="75" spans="2:17">
      <c r="B75" s="123" t="s">
        <v>178</v>
      </c>
      <c r="C75" s="98" t="s">
        <v>179</v>
      </c>
      <c r="D75" s="85"/>
      <c r="E75" s="124"/>
      <c r="F75" s="388">
        <f>F74/E74-1</f>
        <v>1.9523676285921887E-3</v>
      </c>
      <c r="G75" s="388">
        <f>G74/F74-1</f>
        <v>3.4254564293962897E-2</v>
      </c>
      <c r="H75" s="388">
        <f t="shared" ref="H75:I75" si="60">H74/G74-1</f>
        <v>0.20304898176164121</v>
      </c>
      <c r="I75" s="352">
        <f t="shared" si="60"/>
        <v>-7.4429293332619717E-2</v>
      </c>
      <c r="J75" s="383"/>
      <c r="K75" s="389">
        <f>K74/H74-1</f>
        <v>-7.4429293332619717E-2</v>
      </c>
      <c r="L75" s="389">
        <v>1.4999999999999999E-2</v>
      </c>
      <c r="M75" s="389">
        <v>2.4E-2</v>
      </c>
      <c r="N75" s="389">
        <v>2.7999999999999997E-2</v>
      </c>
      <c r="O75" s="389">
        <v>2.7999999999999997E-2</v>
      </c>
      <c r="P75" s="112">
        <v>2.8999999999999998E-2</v>
      </c>
      <c r="Q75" s="85"/>
    </row>
    <row r="76" spans="2:17">
      <c r="B76" s="82" t="s">
        <v>192</v>
      </c>
      <c r="C76" s="93" t="s">
        <v>172</v>
      </c>
      <c r="E76" s="9">
        <f>E67</f>
        <v>802.24335424358981</v>
      </c>
      <c r="F76" s="377">
        <f t="shared" ref="F76:I76" si="61">F67</f>
        <v>851.27404327160502</v>
      </c>
      <c r="G76" s="377">
        <f t="shared" si="61"/>
        <v>855.22197584878211</v>
      </c>
      <c r="H76" s="377">
        <f t="shared" si="61"/>
        <v>739.02602786131104</v>
      </c>
      <c r="I76" s="378">
        <f t="shared" si="61"/>
        <v>854.48372077076613</v>
      </c>
      <c r="J76" s="377">
        <f>+J79/J78*(1+J77)</f>
        <v>854.48372077076613</v>
      </c>
      <c r="K76" s="377">
        <f>K67</f>
        <v>854.48372077076613</v>
      </c>
      <c r="L76" s="377">
        <f>+L79/L78*(1+L77)</f>
        <v>873.05926488447403</v>
      </c>
      <c r="M76" s="377">
        <f>+M79/M78*(1+M77)</f>
        <v>869.68847298713706</v>
      </c>
      <c r="N76" s="377">
        <f>+N79/N78*(1+N77)</f>
        <v>866.34632402198076</v>
      </c>
      <c r="O76" s="377">
        <f>+O79/O78*(1+O77)</f>
        <v>870.60862940931952</v>
      </c>
      <c r="P76" s="9">
        <f>+P79/P78*(1+P77)</f>
        <v>875.73463100042625</v>
      </c>
    </row>
    <row r="77" spans="2:17">
      <c r="B77" s="115" t="s">
        <v>193</v>
      </c>
      <c r="C77" s="93" t="s">
        <v>179</v>
      </c>
      <c r="D77" s="125">
        <f>AVERAGE(F77:I77)</f>
        <v>0.68610255284996491</v>
      </c>
      <c r="E77" s="10">
        <f>+IFERROR(E76/(E79/E78)-1,)</f>
        <v>0.49972824573483354</v>
      </c>
      <c r="F77" s="10">
        <f t="shared" ref="F77:K77" si="62">+IFERROR(F76/(F79/F78)-1,)</f>
        <v>0.67561674034793895</v>
      </c>
      <c r="G77" s="10">
        <f t="shared" si="62"/>
        <v>0.72193995525359655</v>
      </c>
      <c r="H77" s="10">
        <f t="shared" si="62"/>
        <v>0.66937309049718019</v>
      </c>
      <c r="I77" s="126">
        <f t="shared" si="62"/>
        <v>0.67748042530114372</v>
      </c>
      <c r="J77" s="37">
        <f>I77</f>
        <v>0.67748042530114372</v>
      </c>
      <c r="K77" s="10">
        <f t="shared" si="62"/>
        <v>0.67748042530114372</v>
      </c>
      <c r="L77" s="120">
        <f>K77+($P$77-$K$77)/5</f>
        <v>0.67920485081090798</v>
      </c>
      <c r="M77" s="120">
        <f t="shared" ref="M77:O77" si="63">L77+($P$77-$K$77)/5</f>
        <v>0.68092927632067224</v>
      </c>
      <c r="N77" s="120">
        <f t="shared" si="63"/>
        <v>0.6826537018304365</v>
      </c>
      <c r="O77" s="120">
        <f t="shared" si="63"/>
        <v>0.68437812734020076</v>
      </c>
      <c r="P77" s="120">
        <f>D77</f>
        <v>0.68610255284996491</v>
      </c>
    </row>
    <row r="78" spans="2:17">
      <c r="B78" s="115" t="s">
        <v>194</v>
      </c>
      <c r="C78" s="93" t="s">
        <v>175</v>
      </c>
      <c r="E78" s="121">
        <f>E74</f>
        <v>0.10391548207457936</v>
      </c>
      <c r="F78" s="121">
        <f t="shared" ref="F78:P78" si="64">F74</f>
        <v>0.10411836329789131</v>
      </c>
      <c r="G78" s="121">
        <f t="shared" si="64"/>
        <v>0.10768489246766112</v>
      </c>
      <c r="H78" s="121">
        <f t="shared" si="64"/>
        <v>0.12955020023433153</v>
      </c>
      <c r="I78" s="122">
        <f t="shared" si="64"/>
        <v>0.11990787037979085</v>
      </c>
      <c r="J78" s="121">
        <f t="shared" si="64"/>
        <v>0.11990787037979085</v>
      </c>
      <c r="K78" s="121">
        <f t="shared" si="64"/>
        <v>0.11990787037979085</v>
      </c>
      <c r="L78" s="121">
        <f t="shared" si="64"/>
        <v>0.1217064884354877</v>
      </c>
      <c r="M78" s="121">
        <f t="shared" si="64"/>
        <v>0.12462744415793942</v>
      </c>
      <c r="N78" s="121">
        <f t="shared" si="64"/>
        <v>0.12811701259436173</v>
      </c>
      <c r="O78" s="121">
        <f t="shared" si="64"/>
        <v>0.13170428894700387</v>
      </c>
      <c r="P78" s="121">
        <f t="shared" si="64"/>
        <v>0.13552371332646695</v>
      </c>
    </row>
    <row r="79" spans="2:17">
      <c r="B79" s="115" t="s">
        <v>195</v>
      </c>
      <c r="C79" s="93" t="s">
        <v>175</v>
      </c>
      <c r="E79" s="127">
        <v>55.587073947855757</v>
      </c>
      <c r="F79" s="127">
        <f>F185</f>
        <v>52.895902725949895</v>
      </c>
      <c r="G79" s="127">
        <f>G185</f>
        <v>53.482983668669029</v>
      </c>
      <c r="H79" s="127">
        <f>H185</f>
        <v>57.351451531605498</v>
      </c>
      <c r="I79" s="83">
        <f>I185</f>
        <v>61.079295881159851</v>
      </c>
      <c r="J79" s="9">
        <f t="shared" ref="J79:K79" si="65">J185</f>
        <v>61.079295881159851</v>
      </c>
      <c r="K79" s="127">
        <f t="shared" si="65"/>
        <v>61.079295881159851</v>
      </c>
      <c r="L79" s="127">
        <f>K79*(1+L80)</f>
        <v>63.278150532881611</v>
      </c>
      <c r="M79" s="127">
        <f t="shared" ref="M79:P79" si="66">L79*(1+M80)</f>
        <v>64.48043539300636</v>
      </c>
      <c r="N79" s="127">
        <f t="shared" si="66"/>
        <v>65.963485407045496</v>
      </c>
      <c r="O79" s="127">
        <f t="shared" si="66"/>
        <v>68.074316940070958</v>
      </c>
      <c r="P79" s="127">
        <f t="shared" si="66"/>
        <v>70.388843716033378</v>
      </c>
    </row>
    <row r="80" spans="2:17">
      <c r="B80" s="123" t="s">
        <v>178</v>
      </c>
      <c r="C80" s="98" t="s">
        <v>179</v>
      </c>
      <c r="D80" s="85"/>
      <c r="E80" s="85"/>
      <c r="F80" s="107">
        <f>F79/E79-1</f>
        <v>-4.8413615446467828E-2</v>
      </c>
      <c r="G80" s="107">
        <f>G79/F79-1</f>
        <v>1.1098798063070348E-2</v>
      </c>
      <c r="H80" s="78">
        <f t="shared" ref="H80:I80" si="67">H79/G79-1</f>
        <v>7.233081622562243E-2</v>
      </c>
      <c r="I80" s="111">
        <f t="shared" si="67"/>
        <v>6.4999999999999947E-2</v>
      </c>
      <c r="J80" s="85"/>
      <c r="K80" s="112">
        <f>K79/H79-1</f>
        <v>6.4999999999999947E-2</v>
      </c>
      <c r="L80" s="112">
        <v>3.6000000000000004E-2</v>
      </c>
      <c r="M80" s="112">
        <v>1.9E-2</v>
      </c>
      <c r="N80" s="112">
        <v>2.3E-2</v>
      </c>
      <c r="O80" s="112">
        <v>3.2000000000000001E-2</v>
      </c>
      <c r="P80" s="112">
        <v>3.4000000000000002E-2</v>
      </c>
      <c r="Q80" s="112"/>
    </row>
    <row r="81" spans="2:17">
      <c r="F81" s="377"/>
      <c r="G81" s="377"/>
      <c r="H81" s="377"/>
      <c r="I81" s="377"/>
      <c r="J81" s="377"/>
      <c r="K81" s="377"/>
      <c r="L81" s="377"/>
      <c r="M81" s="377"/>
      <c r="N81" s="377"/>
      <c r="O81" s="377"/>
      <c r="P81" s="377"/>
      <c r="Q81" s="377"/>
    </row>
    <row r="82" spans="2:17">
      <c r="B82" s="106" t="s">
        <v>196</v>
      </c>
      <c r="F82" s="377"/>
      <c r="G82" s="377"/>
      <c r="H82" s="377"/>
      <c r="I82" s="377"/>
      <c r="J82" s="377"/>
      <c r="K82" s="377"/>
      <c r="L82" s="377"/>
      <c r="M82" s="377"/>
      <c r="N82" s="377"/>
      <c r="O82" s="377"/>
      <c r="P82" s="377"/>
      <c r="Q82" s="377"/>
    </row>
    <row r="83" spans="2:17">
      <c r="B83" s="85"/>
      <c r="C83" s="98"/>
      <c r="D83" s="85"/>
      <c r="E83" s="85"/>
      <c r="F83" s="383"/>
      <c r="G83" s="383"/>
      <c r="H83" s="383"/>
      <c r="I83" s="383"/>
      <c r="J83" s="383"/>
      <c r="K83" s="388"/>
      <c r="L83" s="388"/>
      <c r="M83" s="388"/>
      <c r="N83" s="388"/>
      <c r="O83" s="388"/>
      <c r="P83" s="388"/>
      <c r="Q83" s="388"/>
    </row>
    <row r="84" spans="2:17" s="16" customFormat="1">
      <c r="B84" s="16" t="s">
        <v>197</v>
      </c>
      <c r="C84" s="96" t="s">
        <v>172</v>
      </c>
      <c r="E84" s="16">
        <v>21096.761630000001</v>
      </c>
      <c r="F84" s="376">
        <v>21002.015141999997</v>
      </c>
      <c r="G84" s="376">
        <v>24651.491547000005</v>
      </c>
      <c r="H84" s="376">
        <v>26815.151562999999</v>
      </c>
      <c r="I84" s="382">
        <v>22960.914301999997</v>
      </c>
      <c r="J84" s="376">
        <f>J85*J86/4</f>
        <v>8423.9718056038964</v>
      </c>
      <c r="K84" s="376">
        <f>SUM(I84:J84)</f>
        <v>31384.886107603896</v>
      </c>
      <c r="L84" s="376">
        <f t="shared" ref="L84:P84" si="68">L85*L86</f>
        <v>36299.118155616365</v>
      </c>
      <c r="M84" s="376">
        <f t="shared" si="68"/>
        <v>38562.792949533628</v>
      </c>
      <c r="N84" s="376">
        <f t="shared" si="68"/>
        <v>41059.930541959548</v>
      </c>
      <c r="O84" s="376">
        <f t="shared" si="68"/>
        <v>43869.395907042337</v>
      </c>
      <c r="P84" s="376">
        <f t="shared" si="68"/>
        <v>47079.173374240941</v>
      </c>
      <c r="Q84" s="376">
        <f>P84*(1+DCF!$F$44)</f>
        <v>47549.965107983349</v>
      </c>
    </row>
    <row r="85" spans="2:17">
      <c r="B85" s="89" t="s">
        <v>198</v>
      </c>
      <c r="C85" s="93" t="s">
        <v>175</v>
      </c>
      <c r="E85" s="9">
        <f>E87</f>
        <v>1131.1045833333333</v>
      </c>
      <c r="F85" s="377">
        <f t="shared" ref="F85:I85" si="69">F87</f>
        <v>1117.8854166666665</v>
      </c>
      <c r="G85" s="377">
        <f t="shared" si="69"/>
        <v>1192.8454166666666</v>
      </c>
      <c r="H85" s="377">
        <f t="shared" si="69"/>
        <v>1330.8652659015725</v>
      </c>
      <c r="I85" s="378">
        <f t="shared" si="69"/>
        <v>1417.7238888888887</v>
      </c>
      <c r="J85" s="377">
        <f>J87</f>
        <v>1418</v>
      </c>
      <c r="K85" s="377">
        <f>K87</f>
        <v>1418</v>
      </c>
      <c r="L85" s="377">
        <f t="shared" ref="L85:P85" si="70">L87</f>
        <v>1490</v>
      </c>
      <c r="M85" s="377">
        <f t="shared" si="70"/>
        <v>1577</v>
      </c>
      <c r="N85" s="377">
        <f t="shared" si="70"/>
        <v>1675</v>
      </c>
      <c r="O85" s="377">
        <f t="shared" si="70"/>
        <v>1777</v>
      </c>
      <c r="P85" s="377">
        <f t="shared" si="70"/>
        <v>1885</v>
      </c>
      <c r="Q85" s="377"/>
    </row>
    <row r="86" spans="2:17">
      <c r="B86" s="108" t="s">
        <v>199</v>
      </c>
      <c r="C86" s="98" t="s">
        <v>172</v>
      </c>
      <c r="D86" s="85"/>
      <c r="E86" s="85">
        <f>E84/E85</f>
        <v>18.651468609408724</v>
      </c>
      <c r="F86" s="383">
        <f t="shared" ref="F86:H86" si="71">F84/F85</f>
        <v>18.787269991073174</v>
      </c>
      <c r="G86" s="383">
        <f t="shared" si="71"/>
        <v>20.66612421237874</v>
      </c>
      <c r="H86" s="383">
        <f t="shared" si="71"/>
        <v>20.148659860646767</v>
      </c>
      <c r="I86" s="384">
        <f>I84*4/3/I85</f>
        <v>21.594157115219506</v>
      </c>
      <c r="J86" s="383">
        <f>J95</f>
        <v>23.762967011576578</v>
      </c>
      <c r="K86" s="383">
        <f>K95</f>
        <v>22.133205999720658</v>
      </c>
      <c r="L86" s="383">
        <f t="shared" ref="L86:P86" si="72">L95</f>
        <v>24.36182426551434</v>
      </c>
      <c r="M86" s="383">
        <f t="shared" si="72"/>
        <v>24.453261223547006</v>
      </c>
      <c r="N86" s="383">
        <f t="shared" si="72"/>
        <v>24.513391368334059</v>
      </c>
      <c r="O86" s="383">
        <f t="shared" si="72"/>
        <v>24.687335907170702</v>
      </c>
      <c r="P86" s="383">
        <f t="shared" si="72"/>
        <v>24.975688792700765</v>
      </c>
      <c r="Q86" s="383"/>
    </row>
    <row r="87" spans="2:17">
      <c r="B87" s="82" t="s">
        <v>198</v>
      </c>
      <c r="C87" s="93" t="s">
        <v>175</v>
      </c>
      <c r="E87" s="9">
        <v>1131.1045833333333</v>
      </c>
      <c r="F87" s="377">
        <v>1117.8854166666665</v>
      </c>
      <c r="G87" s="377">
        <v>1192.8454166666666</v>
      </c>
      <c r="H87" s="377">
        <v>1330.8652659015725</v>
      </c>
      <c r="I87" s="378">
        <v>1417.7238888888887</v>
      </c>
      <c r="J87" s="377">
        <f t="shared" ref="J87:P87" si="73">ROUND(J88*J93,)</f>
        <v>1418</v>
      </c>
      <c r="K87" s="377">
        <f>ROUND(K88*K93,)</f>
        <v>1418</v>
      </c>
      <c r="L87" s="377">
        <f t="shared" si="73"/>
        <v>1490</v>
      </c>
      <c r="M87" s="377">
        <f t="shared" si="73"/>
        <v>1577</v>
      </c>
      <c r="N87" s="377">
        <f t="shared" si="73"/>
        <v>1675</v>
      </c>
      <c r="O87" s="377">
        <f t="shared" si="73"/>
        <v>1777</v>
      </c>
      <c r="P87" s="377">
        <f t="shared" si="73"/>
        <v>1885</v>
      </c>
      <c r="Q87" s="377"/>
    </row>
    <row r="88" spans="2:17">
      <c r="B88" s="115" t="s">
        <v>200</v>
      </c>
      <c r="C88" s="93" t="s">
        <v>175</v>
      </c>
      <c r="E88" s="9">
        <f>E90+E92</f>
        <v>226.22091666666665</v>
      </c>
      <c r="F88" s="377">
        <f t="shared" ref="F88:I88" si="74">F90+F92</f>
        <v>223.57708333333332</v>
      </c>
      <c r="G88" s="377">
        <f t="shared" si="74"/>
        <v>238.56908333333331</v>
      </c>
      <c r="H88" s="377">
        <f t="shared" si="74"/>
        <v>266.17305318031447</v>
      </c>
      <c r="I88" s="378">
        <f t="shared" si="74"/>
        <v>283.54477777777777</v>
      </c>
      <c r="J88" s="377">
        <f>I88</f>
        <v>283.54477777777777</v>
      </c>
      <c r="K88" s="377">
        <f>J88</f>
        <v>283.54477777777777</v>
      </c>
      <c r="L88" s="377">
        <f>K88+L89</f>
        <v>293.54477777777777</v>
      </c>
      <c r="M88" s="377">
        <f t="shared" ref="M88:P88" si="75">L88+M89</f>
        <v>303.54477777777777</v>
      </c>
      <c r="N88" s="377">
        <f t="shared" si="75"/>
        <v>313.54477777777777</v>
      </c>
      <c r="O88" s="377">
        <f t="shared" si="75"/>
        <v>323.54477777777777</v>
      </c>
      <c r="P88" s="377">
        <f t="shared" si="75"/>
        <v>333.54477777777777</v>
      </c>
      <c r="Q88" s="377"/>
    </row>
    <row r="89" spans="2:17">
      <c r="B89" s="116" t="s">
        <v>176</v>
      </c>
      <c r="C89" s="93" t="s">
        <v>175</v>
      </c>
      <c r="F89" s="377">
        <f>F88-E88</f>
        <v>-2.6438333333333333</v>
      </c>
      <c r="G89" s="377">
        <f>G88-F88</f>
        <v>14.99199999999999</v>
      </c>
      <c r="H89" s="377">
        <f>H88-G88</f>
        <v>27.603969846981158</v>
      </c>
      <c r="I89" s="378">
        <f>I88-H88</f>
        <v>17.371724597463299</v>
      </c>
      <c r="J89" s="377"/>
      <c r="K89" s="385">
        <f>K88-H88</f>
        <v>17.371724597463299</v>
      </c>
      <c r="L89" s="385">
        <v>10</v>
      </c>
      <c r="M89" s="385">
        <v>10</v>
      </c>
      <c r="N89" s="385">
        <v>10</v>
      </c>
      <c r="O89" s="385">
        <v>10</v>
      </c>
      <c r="P89" s="385">
        <f>O89</f>
        <v>10</v>
      </c>
      <c r="Q89" s="377"/>
    </row>
    <row r="90" spans="2:17">
      <c r="B90" s="116" t="s">
        <v>188</v>
      </c>
      <c r="C90" s="93" t="s">
        <v>175</v>
      </c>
      <c r="E90" s="9">
        <v>192</v>
      </c>
      <c r="F90" s="377">
        <v>201</v>
      </c>
      <c r="G90" s="377">
        <v>202</v>
      </c>
      <c r="H90" s="377">
        <v>212.17305318031444</v>
      </c>
      <c r="I90" s="378">
        <v>205.33333333333331</v>
      </c>
      <c r="J90" s="377">
        <f>ROUND(J88*J91,)</f>
        <v>226</v>
      </c>
      <c r="K90" s="377">
        <f>ROUND(K88*K91,)</f>
        <v>226</v>
      </c>
      <c r="L90" s="377">
        <f t="shared" ref="L90:P90" si="76">ROUND(L88*L91,)</f>
        <v>235</v>
      </c>
      <c r="M90" s="377">
        <f t="shared" si="76"/>
        <v>245</v>
      </c>
      <c r="N90" s="377">
        <f t="shared" si="76"/>
        <v>255</v>
      </c>
      <c r="O90" s="377">
        <f t="shared" si="76"/>
        <v>264</v>
      </c>
      <c r="P90" s="377">
        <f t="shared" si="76"/>
        <v>274</v>
      </c>
      <c r="Q90" s="377"/>
    </row>
    <row r="91" spans="2:17">
      <c r="B91" s="117" t="s">
        <v>201</v>
      </c>
      <c r="C91" s="93" t="s">
        <v>179</v>
      </c>
      <c r="E91" s="10">
        <f>E90/E88</f>
        <v>0.84872788435787883</v>
      </c>
      <c r="F91" s="144">
        <f t="shared" ref="F91:I91" si="77">F90/F88</f>
        <v>0.89901879478554192</v>
      </c>
      <c r="G91" s="144">
        <f t="shared" si="77"/>
        <v>0.84671491032122426</v>
      </c>
      <c r="H91" s="144">
        <f t="shared" si="77"/>
        <v>0.79712446712846385</v>
      </c>
      <c r="I91" s="149">
        <f t="shared" si="77"/>
        <v>0.72416545613214922</v>
      </c>
      <c r="J91" s="144">
        <f>K91</f>
        <v>0.79712446712846385</v>
      </c>
      <c r="K91" s="143">
        <f>H91</f>
        <v>0.79712446712846385</v>
      </c>
      <c r="L91" s="143">
        <f>K91+0.5%</f>
        <v>0.80212446712846386</v>
      </c>
      <c r="M91" s="143">
        <f t="shared" ref="M91:P91" si="78">L91+0.5%</f>
        <v>0.80712446712846386</v>
      </c>
      <c r="N91" s="143">
        <f t="shared" si="78"/>
        <v>0.81212446712846387</v>
      </c>
      <c r="O91" s="143">
        <f t="shared" si="78"/>
        <v>0.81712446712846387</v>
      </c>
      <c r="P91" s="143">
        <f t="shared" si="78"/>
        <v>0.82212446712846388</v>
      </c>
      <c r="Q91" s="377"/>
    </row>
    <row r="92" spans="2:17">
      <c r="B92" s="116" t="s">
        <v>190</v>
      </c>
      <c r="C92" s="93" t="s">
        <v>175</v>
      </c>
      <c r="E92" s="9">
        <v>34.22091666666666</v>
      </c>
      <c r="F92" s="377">
        <v>22.577083333333331</v>
      </c>
      <c r="G92" s="377">
        <v>36.569083333333317</v>
      </c>
      <c r="H92" s="377">
        <v>54</v>
      </c>
      <c r="I92" s="378">
        <v>78.211444444444439</v>
      </c>
      <c r="J92" s="377">
        <f t="shared" ref="J92" si="79">J88-J90</f>
        <v>57.544777777777767</v>
      </c>
      <c r="K92" s="377">
        <f>K88-K90</f>
        <v>57.544777777777767</v>
      </c>
      <c r="L92" s="377">
        <f t="shared" ref="L92:P92" si="80">L88-L90</f>
        <v>58.544777777777767</v>
      </c>
      <c r="M92" s="377">
        <f t="shared" si="80"/>
        <v>58.544777777777767</v>
      </c>
      <c r="N92" s="377">
        <f t="shared" si="80"/>
        <v>58.544777777777767</v>
      </c>
      <c r="O92" s="377">
        <f t="shared" si="80"/>
        <v>59.544777777777767</v>
      </c>
      <c r="P92" s="377">
        <f t="shared" si="80"/>
        <v>59.544777777777767</v>
      </c>
      <c r="Q92" s="377"/>
    </row>
    <row r="93" spans="2:17">
      <c r="B93" s="115" t="s">
        <v>202</v>
      </c>
      <c r="C93" s="93" t="s">
        <v>175</v>
      </c>
      <c r="E93" s="127">
        <f>E87/E88</f>
        <v>5</v>
      </c>
      <c r="F93" s="390">
        <f t="shared" ref="F93:I93" si="81">F87/F88</f>
        <v>5</v>
      </c>
      <c r="G93" s="390">
        <f t="shared" si="81"/>
        <v>5</v>
      </c>
      <c r="H93" s="390">
        <f t="shared" si="81"/>
        <v>5</v>
      </c>
      <c r="I93" s="391">
        <f t="shared" si="81"/>
        <v>5</v>
      </c>
      <c r="J93" s="377">
        <f>K93</f>
        <v>5</v>
      </c>
      <c r="K93" s="390">
        <f>H93*(1+K94)</f>
        <v>5</v>
      </c>
      <c r="L93" s="390">
        <f>K93*(1+L94)</f>
        <v>5.0749999999999993</v>
      </c>
      <c r="M93" s="390">
        <f t="shared" ref="M93:P93" si="82">L93*(1+M94)</f>
        <v>5.1967999999999996</v>
      </c>
      <c r="N93" s="390">
        <f t="shared" si="82"/>
        <v>5.3423103999999997</v>
      </c>
      <c r="O93" s="390">
        <f t="shared" si="82"/>
        <v>5.4918950912</v>
      </c>
      <c r="P93" s="390">
        <f t="shared" si="82"/>
        <v>5.6511600488447993</v>
      </c>
      <c r="Q93" s="377"/>
    </row>
    <row r="94" spans="2:17">
      <c r="B94" s="123" t="s">
        <v>178</v>
      </c>
      <c r="C94" s="98" t="s">
        <v>179</v>
      </c>
      <c r="D94" s="85"/>
      <c r="E94" s="85"/>
      <c r="F94" s="388">
        <f>F93/E93-1</f>
        <v>0</v>
      </c>
      <c r="G94" s="388">
        <f>G93/F93-1</f>
        <v>0</v>
      </c>
      <c r="H94" s="392">
        <f t="shared" ref="H94:I94" si="83">H93/G93-1</f>
        <v>0</v>
      </c>
      <c r="I94" s="352">
        <f t="shared" si="83"/>
        <v>0</v>
      </c>
      <c r="J94" s="383"/>
      <c r="K94" s="145">
        <v>0</v>
      </c>
      <c r="L94" s="389">
        <v>1.4999999999999999E-2</v>
      </c>
      <c r="M94" s="389">
        <v>2.4E-2</v>
      </c>
      <c r="N94" s="389">
        <v>2.7999999999999997E-2</v>
      </c>
      <c r="O94" s="389">
        <v>2.7999999999999997E-2</v>
      </c>
      <c r="P94" s="389">
        <v>2.8999999999999998E-2</v>
      </c>
      <c r="Q94" s="383"/>
    </row>
    <row r="95" spans="2:17">
      <c r="B95" s="82" t="s">
        <v>199</v>
      </c>
      <c r="C95" s="93" t="s">
        <v>172</v>
      </c>
      <c r="E95" s="9">
        <f>E86</f>
        <v>18.651468609408724</v>
      </c>
      <c r="F95" s="377">
        <f t="shared" ref="F95:I95" si="84">F86</f>
        <v>18.787269991073174</v>
      </c>
      <c r="G95" s="377">
        <f t="shared" si="84"/>
        <v>20.66612421237874</v>
      </c>
      <c r="H95" s="377">
        <f t="shared" si="84"/>
        <v>20.148659860646767</v>
      </c>
      <c r="I95" s="378">
        <f t="shared" si="84"/>
        <v>21.594157115219506</v>
      </c>
      <c r="J95" s="377">
        <f>J96*(1+J98)</f>
        <v>23.762967011576578</v>
      </c>
      <c r="K95" s="377">
        <f>K96*(1+K98)</f>
        <v>22.133205999720658</v>
      </c>
      <c r="L95" s="377">
        <f t="shared" ref="L95:P95" si="85">L96*(1+L98)</f>
        <v>24.36182426551434</v>
      </c>
      <c r="M95" s="377">
        <f t="shared" si="85"/>
        <v>24.453261223547006</v>
      </c>
      <c r="N95" s="377">
        <f t="shared" si="85"/>
        <v>24.513391368334059</v>
      </c>
      <c r="O95" s="377">
        <f t="shared" si="85"/>
        <v>24.687335907170702</v>
      </c>
      <c r="P95" s="377">
        <f t="shared" si="85"/>
        <v>24.975688792700765</v>
      </c>
      <c r="Q95" s="377"/>
    </row>
    <row r="96" spans="2:17">
      <c r="B96" s="115" t="s">
        <v>203</v>
      </c>
      <c r="C96" s="93" t="s">
        <v>172</v>
      </c>
      <c r="E96" s="127">
        <v>11.833299017369084</v>
      </c>
      <c r="F96" s="390">
        <f>F200/F85</f>
        <v>7.8176726797804639</v>
      </c>
      <c r="G96" s="390">
        <f>G200/G85</f>
        <v>7.9152950953060754</v>
      </c>
      <c r="H96" s="390">
        <f>H200/H85</f>
        <v>7.4129199564891461</v>
      </c>
      <c r="I96" s="391">
        <f>I200*4/3/I85</f>
        <v>7.1770028196212801</v>
      </c>
      <c r="J96" s="390">
        <f>J200*4/J85</f>
        <v>7.8978253392651094</v>
      </c>
      <c r="K96" s="390">
        <f>K200/K85</f>
        <v>7.3561603270588725</v>
      </c>
      <c r="L96" s="390">
        <f t="shared" ref="L96:P96" si="86">L200/L85</f>
        <v>8.0968606698468601</v>
      </c>
      <c r="M96" s="390">
        <f t="shared" si="86"/>
        <v>8.1272505249412976</v>
      </c>
      <c r="N96" s="390">
        <f t="shared" si="86"/>
        <v>8.1472352928754326</v>
      </c>
      <c r="O96" s="390">
        <f t="shared" si="86"/>
        <v>8.2050472481662666</v>
      </c>
      <c r="P96" s="390">
        <f t="shared" si="86"/>
        <v>8.3008837960552597</v>
      </c>
      <c r="Q96" s="377"/>
    </row>
    <row r="97" spans="2:17">
      <c r="B97" s="116" t="s">
        <v>178</v>
      </c>
      <c r="C97" s="93" t="s">
        <v>179</v>
      </c>
      <c r="F97" s="144">
        <f>F96/E96-1</f>
        <v>-0.33934968867890747</v>
      </c>
      <c r="G97" s="144">
        <f>G96/F96-1</f>
        <v>1.2487401241305651E-2</v>
      </c>
      <c r="H97" s="144">
        <f>H96/G96-1</f>
        <v>-6.3468908331016927E-2</v>
      </c>
      <c r="I97" s="146">
        <f>I96/H96-1</f>
        <v>-3.1825129402800023E-2</v>
      </c>
      <c r="J97" s="377"/>
      <c r="K97" s="148">
        <v>0</v>
      </c>
      <c r="L97" s="148">
        <v>3.6000000000000004E-2</v>
      </c>
      <c r="M97" s="148">
        <v>1.9E-2</v>
      </c>
      <c r="N97" s="148">
        <v>2.3E-2</v>
      </c>
      <c r="O97" s="148">
        <v>3.2000000000000001E-2</v>
      </c>
      <c r="P97" s="148">
        <v>3.4000000000000002E-2</v>
      </c>
      <c r="Q97" s="377"/>
    </row>
    <row r="98" spans="2:17">
      <c r="B98" s="131" t="s">
        <v>193</v>
      </c>
      <c r="C98" s="98" t="s">
        <v>179</v>
      </c>
      <c r="D98" s="85"/>
      <c r="E98" s="107">
        <f>(E95/E96)-1</f>
        <v>0.57618501670851319</v>
      </c>
      <c r="F98" s="388">
        <f t="shared" ref="F98:I98" si="87">(F95/F96)-1</f>
        <v>1.4031794065341656</v>
      </c>
      <c r="G98" s="388">
        <f t="shared" si="87"/>
        <v>1.6109101383515259</v>
      </c>
      <c r="H98" s="392">
        <f t="shared" si="87"/>
        <v>1.7180463270764128</v>
      </c>
      <c r="I98" s="352">
        <f t="shared" si="87"/>
        <v>2.0087987503896505</v>
      </c>
      <c r="J98" s="353">
        <f>I98</f>
        <v>2.0087987503896505</v>
      </c>
      <c r="K98" s="145">
        <f>J98</f>
        <v>2.0087987503896505</v>
      </c>
      <c r="L98" s="145">
        <f>K98</f>
        <v>2.0087987503896505</v>
      </c>
      <c r="M98" s="145">
        <f t="shared" ref="M98:P98" si="88">L98</f>
        <v>2.0087987503896505</v>
      </c>
      <c r="N98" s="145">
        <f t="shared" si="88"/>
        <v>2.0087987503896505</v>
      </c>
      <c r="O98" s="145">
        <f t="shared" si="88"/>
        <v>2.0087987503896505</v>
      </c>
      <c r="P98" s="145">
        <f t="shared" si="88"/>
        <v>2.0087987503896505</v>
      </c>
      <c r="Q98" s="383"/>
    </row>
    <row r="99" spans="2:17">
      <c r="F99" s="377"/>
      <c r="G99" s="377"/>
      <c r="H99" s="377"/>
      <c r="I99" s="377"/>
      <c r="J99" s="377"/>
      <c r="K99" s="377"/>
      <c r="L99" s="144"/>
      <c r="M99" s="377"/>
      <c r="N99" s="377"/>
      <c r="O99" s="377"/>
      <c r="P99" s="377"/>
      <c r="Q99" s="377"/>
    </row>
    <row r="100" spans="2:17">
      <c r="B100" s="16" t="s">
        <v>204</v>
      </c>
      <c r="F100" s="377"/>
      <c r="G100" s="377"/>
      <c r="H100" s="377"/>
      <c r="I100" s="377"/>
      <c r="J100" s="377"/>
      <c r="K100" s="377"/>
      <c r="L100" s="144"/>
      <c r="M100" s="377"/>
      <c r="N100" s="377"/>
      <c r="O100" s="377"/>
      <c r="P100" s="377"/>
      <c r="Q100" s="377"/>
    </row>
    <row r="101" spans="2:17">
      <c r="B101" s="85"/>
      <c r="C101" s="98"/>
      <c r="D101" s="85"/>
      <c r="E101" s="85"/>
      <c r="F101" s="383"/>
      <c r="G101" s="383"/>
      <c r="H101" s="383"/>
      <c r="I101" s="383"/>
      <c r="J101" s="393"/>
      <c r="K101" s="388"/>
      <c r="L101" s="388"/>
      <c r="M101" s="388"/>
      <c r="N101" s="388"/>
      <c r="O101" s="388"/>
      <c r="P101" s="388"/>
      <c r="Q101" s="388"/>
    </row>
    <row r="102" spans="2:17">
      <c r="B102" s="16" t="s">
        <v>205</v>
      </c>
      <c r="C102" s="96" t="s">
        <v>172</v>
      </c>
      <c r="D102" s="16"/>
      <c r="E102" s="16">
        <f>SUM(E103:E104)</f>
        <v>75607.743982</v>
      </c>
      <c r="F102" s="376">
        <f t="shared" ref="F102:Q102" si="89">SUM(F103:F104)</f>
        <v>92325.225107999999</v>
      </c>
      <c r="G102" s="376">
        <f t="shared" si="89"/>
        <v>106856.97310184001</v>
      </c>
      <c r="H102" s="376">
        <f t="shared" si="89"/>
        <v>133642.0993113071</v>
      </c>
      <c r="I102" s="382">
        <f t="shared" si="89"/>
        <v>100426.1539958753</v>
      </c>
      <c r="J102" s="376">
        <f t="shared" si="89"/>
        <v>36024.211653975901</v>
      </c>
      <c r="K102" s="376">
        <f t="shared" si="89"/>
        <v>136450.36564985121</v>
      </c>
      <c r="L102" s="376">
        <f t="shared" si="89"/>
        <v>169332.86872876994</v>
      </c>
      <c r="M102" s="376">
        <f t="shared" si="89"/>
        <v>192085.85618813211</v>
      </c>
      <c r="N102" s="376">
        <f t="shared" si="89"/>
        <v>217527.79649883416</v>
      </c>
      <c r="O102" s="376">
        <f t="shared" si="89"/>
        <v>246116.97099636239</v>
      </c>
      <c r="P102" s="376">
        <f t="shared" si="89"/>
        <v>278403.44375761272</v>
      </c>
      <c r="Q102" s="376">
        <f t="shared" si="89"/>
        <v>281187.47819518886</v>
      </c>
    </row>
    <row r="103" spans="2:17">
      <c r="B103" s="89" t="s">
        <v>157</v>
      </c>
      <c r="C103" s="93" t="s">
        <v>172</v>
      </c>
      <c r="E103" s="9">
        <f>E105</f>
        <v>9696</v>
      </c>
      <c r="F103" s="377">
        <f t="shared" ref="F103:H103" si="90">F105</f>
        <v>10436</v>
      </c>
      <c r="G103" s="377">
        <f t="shared" si="90"/>
        <v>21461</v>
      </c>
      <c r="H103" s="377">
        <f t="shared" si="90"/>
        <v>32132.684207999999</v>
      </c>
      <c r="I103" s="378">
        <f>I105</f>
        <v>24454.665687999997</v>
      </c>
      <c r="J103" s="377">
        <f>J105</f>
        <v>8151.5552293333312</v>
      </c>
      <c r="K103" s="377">
        <f t="shared" ref="K103:Q103" si="91">K105</f>
        <v>32606.220917333329</v>
      </c>
      <c r="L103" s="377">
        <f t="shared" si="91"/>
        <v>44942.784601406391</v>
      </c>
      <c r="M103" s="377">
        <f t="shared" si="91"/>
        <v>55385.24060354317</v>
      </c>
      <c r="N103" s="377">
        <f t="shared" si="91"/>
        <v>67126.911611494332</v>
      </c>
      <c r="O103" s="377">
        <f t="shared" si="91"/>
        <v>80245.188313170613</v>
      </c>
      <c r="P103" s="377">
        <f t="shared" si="91"/>
        <v>94836.438388115464</v>
      </c>
      <c r="Q103" s="377">
        <f t="shared" si="91"/>
        <v>95784.802771996619</v>
      </c>
    </row>
    <row r="104" spans="2:17">
      <c r="B104" s="108" t="s">
        <v>158</v>
      </c>
      <c r="C104" s="98" t="s">
        <v>206</v>
      </c>
      <c r="D104" s="85"/>
      <c r="E104" s="85">
        <f t="shared" ref="E104:I104" si="92">E111</f>
        <v>65911.743982</v>
      </c>
      <c r="F104" s="383">
        <f t="shared" si="92"/>
        <v>81889.225107999999</v>
      </c>
      <c r="G104" s="383">
        <f t="shared" si="92"/>
        <v>85395.973101840005</v>
      </c>
      <c r="H104" s="383">
        <f t="shared" si="92"/>
        <v>101509.41510330711</v>
      </c>
      <c r="I104" s="384">
        <f t="shared" si="92"/>
        <v>75971.488307875305</v>
      </c>
      <c r="J104" s="383">
        <f>J111</f>
        <v>27872.656424642566</v>
      </c>
      <c r="K104" s="383">
        <f>K111</f>
        <v>103844.14473251787</v>
      </c>
      <c r="L104" s="383">
        <f t="shared" ref="L104:P104" si="93">L111</f>
        <v>124390.08412736355</v>
      </c>
      <c r="M104" s="383">
        <f t="shared" si="93"/>
        <v>136700.61558458893</v>
      </c>
      <c r="N104" s="383">
        <f t="shared" si="93"/>
        <v>150400.88488733981</v>
      </c>
      <c r="O104" s="383">
        <f t="shared" si="93"/>
        <v>165871.78268319176</v>
      </c>
      <c r="P104" s="383">
        <f t="shared" si="93"/>
        <v>183567.00536949726</v>
      </c>
      <c r="Q104" s="383">
        <f>Q111</f>
        <v>185402.67542319224</v>
      </c>
    </row>
    <row r="105" spans="2:17">
      <c r="B105" s="9" t="s">
        <v>207</v>
      </c>
      <c r="C105" s="93" t="s">
        <v>172</v>
      </c>
      <c r="E105" s="9">
        <v>9696</v>
      </c>
      <c r="F105" s="377">
        <v>10436</v>
      </c>
      <c r="G105" s="377">
        <v>21461</v>
      </c>
      <c r="H105" s="377">
        <v>32132.684207999999</v>
      </c>
      <c r="I105" s="378">
        <v>24454.665687999997</v>
      </c>
      <c r="J105" s="377">
        <f>J106*J108/4</f>
        <v>8151.5552293333312</v>
      </c>
      <c r="K105" s="377">
        <f>SUM(I105:J105)</f>
        <v>32606.220917333329</v>
      </c>
      <c r="L105" s="377">
        <f t="shared" ref="L105:P105" si="94">L106*L108</f>
        <v>44942.784601406391</v>
      </c>
      <c r="M105" s="377">
        <f t="shared" si="94"/>
        <v>55385.24060354317</v>
      </c>
      <c r="N105" s="377">
        <f t="shared" si="94"/>
        <v>67126.911611494332</v>
      </c>
      <c r="O105" s="377">
        <f t="shared" si="94"/>
        <v>80245.188313170613</v>
      </c>
      <c r="P105" s="377">
        <f t="shared" si="94"/>
        <v>94836.438388115464</v>
      </c>
      <c r="Q105" s="377">
        <f>P105*(1+DCF!$F$44)</f>
        <v>95784.802771996619</v>
      </c>
    </row>
    <row r="106" spans="2:17">
      <c r="B106" s="89" t="s">
        <v>208</v>
      </c>
      <c r="C106" s="93" t="s">
        <v>175</v>
      </c>
      <c r="E106" s="9">
        <v>7</v>
      </c>
      <c r="F106" s="377">
        <v>9</v>
      </c>
      <c r="G106" s="377">
        <v>11</v>
      </c>
      <c r="H106" s="377">
        <v>14</v>
      </c>
      <c r="I106" s="378">
        <v>14</v>
      </c>
      <c r="J106" s="377">
        <f>I106</f>
        <v>14</v>
      </c>
      <c r="K106" s="377">
        <f>J106</f>
        <v>14</v>
      </c>
      <c r="L106" s="377">
        <f>K106+L107</f>
        <v>18</v>
      </c>
      <c r="M106" s="377">
        <f t="shared" ref="M106:P106" si="95">L106+M107</f>
        <v>21</v>
      </c>
      <c r="N106" s="377">
        <f t="shared" si="95"/>
        <v>24</v>
      </c>
      <c r="O106" s="377">
        <f t="shared" si="95"/>
        <v>27</v>
      </c>
      <c r="P106" s="377">
        <f t="shared" si="95"/>
        <v>30</v>
      </c>
      <c r="Q106" s="377"/>
    </row>
    <row r="107" spans="2:17">
      <c r="B107" s="82" t="s">
        <v>176</v>
      </c>
      <c r="C107" s="93" t="s">
        <v>175</v>
      </c>
      <c r="F107" s="377">
        <f>F106-E106</f>
        <v>2</v>
      </c>
      <c r="G107" s="377">
        <f>G106-F106</f>
        <v>2</v>
      </c>
      <c r="H107" s="377">
        <f>H106-G106</f>
        <v>3</v>
      </c>
      <c r="I107" s="378">
        <f>I106-H106</f>
        <v>0</v>
      </c>
      <c r="J107" s="377"/>
      <c r="K107" s="394">
        <f>K106-H106</f>
        <v>0</v>
      </c>
      <c r="L107" s="394">
        <v>4</v>
      </c>
      <c r="M107" s="394">
        <v>3</v>
      </c>
      <c r="N107" s="394">
        <v>3</v>
      </c>
      <c r="O107" s="394">
        <v>3</v>
      </c>
      <c r="P107" s="394">
        <f>O107</f>
        <v>3</v>
      </c>
      <c r="Q107" s="377"/>
    </row>
    <row r="108" spans="2:17">
      <c r="B108" s="89" t="s">
        <v>209</v>
      </c>
      <c r="C108" s="93" t="s">
        <v>172</v>
      </c>
      <c r="E108" s="9">
        <f>E105/E106</f>
        <v>1385.1428571428571</v>
      </c>
      <c r="F108" s="377">
        <f t="shared" ref="F108:H108" si="96">F105/F106</f>
        <v>1159.5555555555557</v>
      </c>
      <c r="G108" s="377">
        <f t="shared" si="96"/>
        <v>1951</v>
      </c>
      <c r="H108" s="377">
        <f t="shared" si="96"/>
        <v>2295.1917291428572</v>
      </c>
      <c r="I108" s="378">
        <f>I105*4/3/I106</f>
        <v>2329.0157798095233</v>
      </c>
      <c r="J108" s="377">
        <f>I108</f>
        <v>2329.0157798095233</v>
      </c>
      <c r="K108" s="377">
        <f>J108</f>
        <v>2329.0157798095233</v>
      </c>
      <c r="L108" s="377">
        <f>K108*(1+L109)*(1+L110)</f>
        <v>2496.8213667447994</v>
      </c>
      <c r="M108" s="377">
        <f t="shared" ref="M108:P108" si="97">L108*(1+M109)*(1+M110)</f>
        <v>2637.3924096925321</v>
      </c>
      <c r="N108" s="377">
        <f t="shared" si="97"/>
        <v>2796.9546504789305</v>
      </c>
      <c r="O108" s="377">
        <f t="shared" si="97"/>
        <v>2972.0440115989118</v>
      </c>
      <c r="P108" s="377">
        <f t="shared" si="97"/>
        <v>3161.2146129371822</v>
      </c>
      <c r="Q108" s="377"/>
    </row>
    <row r="109" spans="2:17">
      <c r="B109" s="82" t="s">
        <v>178</v>
      </c>
      <c r="C109" s="93" t="s">
        <v>179</v>
      </c>
      <c r="F109" s="395">
        <f>F108/E108-1</f>
        <v>-0.16286211954528773</v>
      </c>
      <c r="G109" s="395">
        <f t="shared" ref="G109:I109" si="98">G108/F108-1</f>
        <v>0.68254120352625502</v>
      </c>
      <c r="H109" s="395">
        <f t="shared" si="98"/>
        <v>0.17641810822288928</v>
      </c>
      <c r="I109" s="146">
        <f t="shared" si="98"/>
        <v>1.4736917285466999E-2</v>
      </c>
      <c r="J109" s="377"/>
      <c r="K109" s="396"/>
      <c r="L109" s="396">
        <v>2.1000000000000001E-2</v>
      </c>
      <c r="M109" s="396">
        <v>6.0000000000000001E-3</v>
      </c>
      <c r="N109" s="396">
        <v>0.01</v>
      </c>
      <c r="O109" s="396">
        <v>1.2E-2</v>
      </c>
      <c r="P109" s="396">
        <v>1.3000000000000001E-2</v>
      </c>
      <c r="Q109" s="377"/>
    </row>
    <row r="110" spans="2:17">
      <c r="B110" s="110" t="s">
        <v>210</v>
      </c>
      <c r="C110" s="98" t="s">
        <v>179</v>
      </c>
      <c r="D110" s="85"/>
      <c r="E110" s="85"/>
      <c r="F110" s="383"/>
      <c r="G110" s="383"/>
      <c r="H110" s="383"/>
      <c r="I110" s="384"/>
      <c r="J110" s="383"/>
      <c r="K110" s="145"/>
      <c r="L110" s="145">
        <v>0.05</v>
      </c>
      <c r="M110" s="145">
        <v>0.05</v>
      </c>
      <c r="N110" s="145">
        <v>0.05</v>
      </c>
      <c r="O110" s="145">
        <v>0.05</v>
      </c>
      <c r="P110" s="145">
        <f>O110</f>
        <v>0.05</v>
      </c>
      <c r="Q110" s="383"/>
    </row>
    <row r="111" spans="2:17">
      <c r="B111" s="9" t="s">
        <v>211</v>
      </c>
      <c r="C111" s="93" t="s">
        <v>172</v>
      </c>
      <c r="E111" s="9">
        <v>65911.743982</v>
      </c>
      <c r="F111" s="377">
        <v>81889.225107999999</v>
      </c>
      <c r="G111" s="377">
        <v>85395.973101840005</v>
      </c>
      <c r="H111" s="377">
        <v>101509.41510330711</v>
      </c>
      <c r="I111" s="378">
        <v>75971.488307875305</v>
      </c>
      <c r="J111" s="377">
        <f t="shared" ref="J111:P111" si="99">J84*J112</f>
        <v>27872.656424642566</v>
      </c>
      <c r="K111" s="377">
        <f>SUM(I111:J111)</f>
        <v>103844.14473251787</v>
      </c>
      <c r="L111" s="377">
        <f t="shared" si="99"/>
        <v>124390.08412736355</v>
      </c>
      <c r="M111" s="377">
        <f t="shared" si="99"/>
        <v>136700.61558458893</v>
      </c>
      <c r="N111" s="377">
        <f t="shared" si="99"/>
        <v>150400.88488733981</v>
      </c>
      <c r="O111" s="377">
        <f t="shared" si="99"/>
        <v>165871.78268319176</v>
      </c>
      <c r="P111" s="377">
        <f t="shared" si="99"/>
        <v>183567.00536949726</v>
      </c>
      <c r="Q111" s="377">
        <f>P111*(1+DCF!$F$44)</f>
        <v>185402.67542319224</v>
      </c>
    </row>
    <row r="112" spans="2:17">
      <c r="B112" s="108" t="s">
        <v>212</v>
      </c>
      <c r="C112" s="98" t="s">
        <v>179</v>
      </c>
      <c r="D112" s="85"/>
      <c r="E112" s="133">
        <f>E111/E84</f>
        <v>3.1242588382983021</v>
      </c>
      <c r="F112" s="393">
        <f t="shared" ref="F112:I112" si="100">F111/F84</f>
        <v>3.8991127543869482</v>
      </c>
      <c r="G112" s="393">
        <f t="shared" si="100"/>
        <v>3.4641300685204333</v>
      </c>
      <c r="H112" s="393">
        <f t="shared" si="100"/>
        <v>3.7855245704958653</v>
      </c>
      <c r="I112" s="397">
        <f t="shared" si="100"/>
        <v>3.3087309724969378</v>
      </c>
      <c r="J112" s="393">
        <f>I112</f>
        <v>3.3087309724969378</v>
      </c>
      <c r="K112" s="393">
        <f>J112</f>
        <v>3.3087309724969378</v>
      </c>
      <c r="L112" s="393">
        <f>K112+($P$112-$K$112)/5</f>
        <v>3.4268073288749399</v>
      </c>
      <c r="M112" s="393">
        <f t="shared" ref="M112:O112" si="101">L112+($P$112-$K$112)/5</f>
        <v>3.544883685252942</v>
      </c>
      <c r="N112" s="393">
        <f t="shared" si="101"/>
        <v>3.662960041630944</v>
      </c>
      <c r="O112" s="393">
        <f t="shared" si="101"/>
        <v>3.7810363980089461</v>
      </c>
      <c r="P112" s="393">
        <f>F112</f>
        <v>3.8991127543869482</v>
      </c>
      <c r="Q112" s="383"/>
    </row>
    <row r="113" spans="2:22">
      <c r="F113" s="377"/>
      <c r="G113" s="377"/>
      <c r="H113" s="377"/>
      <c r="I113" s="144"/>
      <c r="J113" s="144"/>
      <c r="K113" s="377"/>
      <c r="L113" s="377"/>
      <c r="M113" s="377"/>
      <c r="N113" s="377"/>
      <c r="O113" s="377"/>
      <c r="P113" s="377"/>
      <c r="Q113" s="377"/>
    </row>
    <row r="114" spans="2:22">
      <c r="B114" s="16" t="s">
        <v>213</v>
      </c>
      <c r="F114" s="377"/>
      <c r="G114" s="377"/>
      <c r="H114" s="377"/>
      <c r="I114" s="377"/>
      <c r="J114" s="377"/>
      <c r="K114" s="377"/>
      <c r="L114" s="377"/>
      <c r="M114" s="377"/>
      <c r="N114" s="377"/>
      <c r="O114" s="377"/>
      <c r="P114" s="377"/>
      <c r="Q114" s="377"/>
    </row>
    <row r="115" spans="2:22">
      <c r="B115" s="85"/>
      <c r="C115" s="98"/>
      <c r="D115" s="85"/>
      <c r="E115" s="85"/>
      <c r="F115" s="383"/>
      <c r="G115" s="383"/>
      <c r="H115" s="383"/>
      <c r="I115" s="383"/>
      <c r="J115" s="383"/>
      <c r="K115" s="388"/>
      <c r="L115" s="388"/>
      <c r="M115" s="388"/>
      <c r="N115" s="388"/>
      <c r="O115" s="388"/>
      <c r="P115" s="388"/>
      <c r="Q115" s="388"/>
    </row>
    <row r="116" spans="2:22" s="16" customFormat="1">
      <c r="B116" s="16" t="s">
        <v>214</v>
      </c>
      <c r="C116" s="96" t="s">
        <v>172</v>
      </c>
      <c r="E116" s="16">
        <f>SUM(E117:E119)</f>
        <v>19557.248169999995</v>
      </c>
      <c r="F116" s="376">
        <f t="shared" ref="F116:Q116" si="102">SUM(F117:F119)</f>
        <v>23552.142036999998</v>
      </c>
      <c r="G116" s="376">
        <f t="shared" si="102"/>
        <v>26161.894528652796</v>
      </c>
      <c r="H116" s="376">
        <f t="shared" si="102"/>
        <v>30092.869121652802</v>
      </c>
      <c r="I116" s="382">
        <f>SUM(I117:I119)</f>
        <v>24497.611019531199</v>
      </c>
      <c r="J116" s="376">
        <f t="shared" si="102"/>
        <v>8165.8703398437337</v>
      </c>
      <c r="K116" s="376">
        <f t="shared" si="102"/>
        <v>32663.481359374935</v>
      </c>
      <c r="L116" s="376">
        <f t="shared" si="102"/>
        <v>47749.975236996834</v>
      </c>
      <c r="M116" s="376">
        <f t="shared" si="102"/>
        <v>65103.041621378616</v>
      </c>
      <c r="N116" s="376">
        <f t="shared" si="102"/>
        <v>88993.686414871539</v>
      </c>
      <c r="O116" s="376">
        <f t="shared" si="102"/>
        <v>122026.85208051438</v>
      </c>
      <c r="P116" s="376">
        <f t="shared" si="102"/>
        <v>168345.3183743399</v>
      </c>
      <c r="Q116" s="376">
        <f t="shared" si="102"/>
        <v>170028.7715580833</v>
      </c>
    </row>
    <row r="117" spans="2:22">
      <c r="B117" s="89" t="s">
        <v>215</v>
      </c>
      <c r="C117" s="93" t="s">
        <v>171</v>
      </c>
      <c r="E117" s="9">
        <f>E120</f>
        <v>1319.8909520000004</v>
      </c>
      <c r="F117" s="377">
        <f t="shared" ref="F117:Q117" si="103">F120</f>
        <v>1830</v>
      </c>
      <c r="G117" s="377">
        <f t="shared" si="103"/>
        <v>2450</v>
      </c>
      <c r="H117" s="377">
        <f t="shared" si="103"/>
        <v>3720</v>
      </c>
      <c r="I117" s="378">
        <f t="shared" si="103"/>
        <v>4374.1596879999997</v>
      </c>
      <c r="J117" s="377">
        <f t="shared" si="103"/>
        <v>1458.0532293333333</v>
      </c>
      <c r="K117" s="377">
        <f t="shared" si="103"/>
        <v>5832.2129173333333</v>
      </c>
      <c r="L117" s="377">
        <f t="shared" si="103"/>
        <v>9262.850160040296</v>
      </c>
      <c r="M117" s="377">
        <f t="shared" si="103"/>
        <v>12091.768707726887</v>
      </c>
      <c r="N117" s="377">
        <f t="shared" si="103"/>
        <v>15013.761255997772</v>
      </c>
      <c r="O117" s="377">
        <f t="shared" si="103"/>
        <v>18028.614150597681</v>
      </c>
      <c r="P117" s="377">
        <f t="shared" si="103"/>
        <v>21134.52483495725</v>
      </c>
      <c r="Q117" s="377">
        <f t="shared" si="103"/>
        <v>21345.870083306821</v>
      </c>
    </row>
    <row r="118" spans="2:22">
      <c r="B118" s="89" t="s">
        <v>216</v>
      </c>
      <c r="C118" s="93" t="s">
        <v>171</v>
      </c>
      <c r="E118" s="9">
        <f>E125</f>
        <v>259.18943999999999</v>
      </c>
      <c r="F118" s="377">
        <f t="shared" ref="F118:Q118" si="104">F125</f>
        <v>4640.9409979999982</v>
      </c>
      <c r="G118" s="377">
        <f t="shared" si="104"/>
        <v>5349.3593730000011</v>
      </c>
      <c r="H118" s="377">
        <f t="shared" si="104"/>
        <v>8105.6624499999989</v>
      </c>
      <c r="I118" s="378">
        <f t="shared" si="104"/>
        <v>6411.1459409999998</v>
      </c>
      <c r="J118" s="377">
        <f t="shared" si="104"/>
        <v>2137.0486470000001</v>
      </c>
      <c r="K118" s="377">
        <f t="shared" si="104"/>
        <v>8548.1945880000003</v>
      </c>
      <c r="L118" s="377">
        <f t="shared" si="104"/>
        <v>19289.897530212857</v>
      </c>
      <c r="M118" s="377">
        <f t="shared" si="104"/>
        <v>32854.183989570862</v>
      </c>
      <c r="N118" s="377">
        <f t="shared" si="104"/>
        <v>52814.981788588855</v>
      </c>
      <c r="O118" s="377">
        <f t="shared" si="104"/>
        <v>81775.047391117536</v>
      </c>
      <c r="P118" s="377">
        <f t="shared" si="104"/>
        <v>123876.44347364354</v>
      </c>
      <c r="Q118" s="377">
        <f t="shared" si="104"/>
        <v>125115.20790837998</v>
      </c>
    </row>
    <row r="119" spans="2:22">
      <c r="B119" s="108" t="s">
        <v>161</v>
      </c>
      <c r="C119" s="98" t="s">
        <v>171</v>
      </c>
      <c r="D119" s="85"/>
      <c r="E119" s="85">
        <f>E134</f>
        <v>17978.167777999995</v>
      </c>
      <c r="F119" s="383">
        <f t="shared" ref="F119:Q119" si="105">F134</f>
        <v>17081.201039</v>
      </c>
      <c r="G119" s="383">
        <f t="shared" si="105"/>
        <v>18362.535155652793</v>
      </c>
      <c r="H119" s="383">
        <f t="shared" si="105"/>
        <v>18267.206671652802</v>
      </c>
      <c r="I119" s="384">
        <f t="shared" si="105"/>
        <v>13712.305390531201</v>
      </c>
      <c r="J119" s="383">
        <f t="shared" si="105"/>
        <v>4570.7684635104006</v>
      </c>
      <c r="K119" s="383">
        <f t="shared" si="105"/>
        <v>18283.073854041602</v>
      </c>
      <c r="L119" s="383">
        <f t="shared" si="105"/>
        <v>19197.227546743685</v>
      </c>
      <c r="M119" s="383">
        <f t="shared" si="105"/>
        <v>20157.088924080868</v>
      </c>
      <c r="N119" s="383">
        <f t="shared" si="105"/>
        <v>21164.943370284913</v>
      </c>
      <c r="O119" s="383">
        <f t="shared" si="105"/>
        <v>22223.190538799161</v>
      </c>
      <c r="P119" s="383">
        <f t="shared" si="105"/>
        <v>23334.35006573912</v>
      </c>
      <c r="Q119" s="383">
        <f t="shared" si="105"/>
        <v>23567.693566396512</v>
      </c>
    </row>
    <row r="120" spans="2:22">
      <c r="B120" s="9" t="s">
        <v>217</v>
      </c>
      <c r="C120" s="93" t="s">
        <v>172</v>
      </c>
      <c r="E120" s="9">
        <v>1319.8909520000004</v>
      </c>
      <c r="F120" s="377">
        <v>1830</v>
      </c>
      <c r="G120" s="377">
        <v>2450</v>
      </c>
      <c r="H120" s="377">
        <v>3720</v>
      </c>
      <c r="I120" s="378">
        <v>4374.1596879999997</v>
      </c>
      <c r="J120" s="377">
        <f>J121*J123/4</f>
        <v>1458.0532293333333</v>
      </c>
      <c r="K120" s="377">
        <f>SUM(I120:J120)</f>
        <v>5832.2129173333333</v>
      </c>
      <c r="L120" s="377">
        <f>L121*L123</f>
        <v>9262.850160040296</v>
      </c>
      <c r="M120" s="377">
        <f>M121*M123</f>
        <v>12091.768707726887</v>
      </c>
      <c r="N120" s="377">
        <f>N121*N123</f>
        <v>15013.761255997772</v>
      </c>
      <c r="O120" s="377">
        <f>O121*O123</f>
        <v>18028.614150597681</v>
      </c>
      <c r="P120" s="377">
        <f>P121*P123</f>
        <v>21134.52483495725</v>
      </c>
      <c r="Q120" s="377">
        <f>P120*(1+DCF!$F$44)</f>
        <v>21345.870083306821</v>
      </c>
    </row>
    <row r="121" spans="2:22">
      <c r="B121" s="89" t="s">
        <v>218</v>
      </c>
      <c r="C121" s="93" t="s">
        <v>175</v>
      </c>
      <c r="E121" s="9">
        <v>74</v>
      </c>
      <c r="F121" s="377">
        <v>13</v>
      </c>
      <c r="G121" s="377">
        <v>15</v>
      </c>
      <c r="H121" s="377">
        <v>32</v>
      </c>
      <c r="I121" s="378">
        <v>27</v>
      </c>
      <c r="J121" s="377">
        <f>I121</f>
        <v>27</v>
      </c>
      <c r="K121" s="377">
        <f>J121</f>
        <v>27</v>
      </c>
      <c r="L121" s="377">
        <f>K121+L122</f>
        <v>42</v>
      </c>
      <c r="M121" s="377">
        <f t="shared" ref="M121:P121" si="106">L121+M122</f>
        <v>54.5</v>
      </c>
      <c r="N121" s="377">
        <f t="shared" si="106"/>
        <v>67</v>
      </c>
      <c r="O121" s="377">
        <f t="shared" si="106"/>
        <v>79.5</v>
      </c>
      <c r="P121" s="377">
        <f t="shared" si="106"/>
        <v>92</v>
      </c>
      <c r="Q121" s="377"/>
      <c r="V121" s="10"/>
    </row>
    <row r="122" spans="2:22">
      <c r="B122" s="82" t="s">
        <v>176</v>
      </c>
      <c r="C122" s="93" t="s">
        <v>175</v>
      </c>
      <c r="F122" s="377"/>
      <c r="G122" s="377">
        <f>G121-F121</f>
        <v>2</v>
      </c>
      <c r="H122" s="377">
        <f t="shared" ref="H122:I122" si="107">H121-G121</f>
        <v>17</v>
      </c>
      <c r="I122" s="378">
        <f t="shared" si="107"/>
        <v>-5</v>
      </c>
      <c r="J122" s="377"/>
      <c r="K122" s="385">
        <f>K121-H121</f>
        <v>-5</v>
      </c>
      <c r="L122" s="385">
        <v>15</v>
      </c>
      <c r="M122" s="385">
        <v>12.5</v>
      </c>
      <c r="N122" s="385">
        <v>12.5</v>
      </c>
      <c r="O122" s="385">
        <v>12.5</v>
      </c>
      <c r="P122" s="385">
        <f>O122</f>
        <v>12.5</v>
      </c>
      <c r="Q122" s="377"/>
      <c r="S122" s="134"/>
      <c r="T122" s="134"/>
      <c r="U122" s="134"/>
    </row>
    <row r="123" spans="2:22">
      <c r="B123" s="89" t="s">
        <v>219</v>
      </c>
      <c r="C123" s="93" t="s">
        <v>172</v>
      </c>
      <c r="E123" s="127">
        <f>E120/E121</f>
        <v>17.836364216216221</v>
      </c>
      <c r="F123" s="390">
        <f>F120/F121</f>
        <v>140.76923076923077</v>
      </c>
      <c r="G123" s="390">
        <f>G120/G121</f>
        <v>163.33333333333334</v>
      </c>
      <c r="H123" s="390">
        <f>H120/H121</f>
        <v>116.25</v>
      </c>
      <c r="I123" s="391">
        <f>I120*4/3/I121</f>
        <v>216.00788582716049</v>
      </c>
      <c r="J123" s="377">
        <f>I123</f>
        <v>216.00788582716049</v>
      </c>
      <c r="K123" s="390">
        <f>K120/K121</f>
        <v>216.00788582716049</v>
      </c>
      <c r="L123" s="390">
        <f>K123*(1+L124)</f>
        <v>220.54405142953084</v>
      </c>
      <c r="M123" s="390">
        <f t="shared" ref="M123:P123" si="108">L123*(1+M124)</f>
        <v>221.86731573810803</v>
      </c>
      <c r="N123" s="390">
        <f t="shared" si="108"/>
        <v>224.08598889548912</v>
      </c>
      <c r="O123" s="390">
        <f t="shared" si="108"/>
        <v>226.77502076223499</v>
      </c>
      <c r="P123" s="390">
        <f t="shared" si="108"/>
        <v>229.72309603214401</v>
      </c>
      <c r="Q123" s="377"/>
    </row>
    <row r="124" spans="2:22">
      <c r="B124" s="110" t="s">
        <v>178</v>
      </c>
      <c r="C124" s="98" t="s">
        <v>179</v>
      </c>
      <c r="D124" s="85"/>
      <c r="E124" s="85"/>
      <c r="F124" s="388">
        <f>F123/E123-1</f>
        <v>6.8922603879801994</v>
      </c>
      <c r="G124" s="388">
        <f>G123/F123-1</f>
        <v>0.16029143897996367</v>
      </c>
      <c r="H124" s="388">
        <f>H123/G123-1</f>
        <v>-0.28826530612244905</v>
      </c>
      <c r="I124" s="352">
        <f>I123/H123-1</f>
        <v>0.85813235120138054</v>
      </c>
      <c r="J124" s="383"/>
      <c r="K124" s="389"/>
      <c r="L124" s="389">
        <v>2.1000000000000001E-2</v>
      </c>
      <c r="M124" s="389">
        <v>6.0000000000000001E-3</v>
      </c>
      <c r="N124" s="389">
        <v>0.01</v>
      </c>
      <c r="O124" s="389">
        <v>1.2E-2</v>
      </c>
      <c r="P124" s="389">
        <v>1.3000000000000001E-2</v>
      </c>
      <c r="Q124" s="383"/>
    </row>
    <row r="125" spans="2:22">
      <c r="B125" s="9" t="s">
        <v>220</v>
      </c>
      <c r="C125" s="93" t="s">
        <v>172</v>
      </c>
      <c r="E125" s="9">
        <v>259.18943999999999</v>
      </c>
      <c r="F125" s="377">
        <v>4640.9409979999982</v>
      </c>
      <c r="G125" s="377">
        <v>5349.3593730000011</v>
      </c>
      <c r="H125" s="377">
        <v>8105.6624499999989</v>
      </c>
      <c r="I125" s="378">
        <v>6411.1459409999998</v>
      </c>
      <c r="J125" s="377">
        <f>J126*J132/4</f>
        <v>2137.0486470000001</v>
      </c>
      <c r="K125" s="377">
        <f>SUM(I125:J125)</f>
        <v>8548.1945880000003</v>
      </c>
      <c r="L125" s="377">
        <f>L126*L132</f>
        <v>19289.897530212857</v>
      </c>
      <c r="M125" s="377">
        <f>M126*M132</f>
        <v>32854.183989570862</v>
      </c>
      <c r="N125" s="377">
        <f>N126*N132</f>
        <v>52814.981788588855</v>
      </c>
      <c r="O125" s="377">
        <f>O126*O132</f>
        <v>81775.047391117536</v>
      </c>
      <c r="P125" s="377">
        <f>P126*P132</f>
        <v>123876.44347364354</v>
      </c>
      <c r="Q125" s="377">
        <f>P125*(1+DCF!$F$44)</f>
        <v>125115.20790837998</v>
      </c>
    </row>
    <row r="126" spans="2:22">
      <c r="B126" s="89" t="s">
        <v>221</v>
      </c>
      <c r="C126" s="93" t="s">
        <v>175</v>
      </c>
      <c r="E126" s="9">
        <v>3</v>
      </c>
      <c r="F126" s="377">
        <v>144</v>
      </c>
      <c r="G126" s="377">
        <v>191</v>
      </c>
      <c r="H126" s="377">
        <v>220</v>
      </c>
      <c r="I126" s="378">
        <v>190</v>
      </c>
      <c r="J126" s="377">
        <f>I126</f>
        <v>190</v>
      </c>
      <c r="K126" s="385">
        <f>J126</f>
        <v>190</v>
      </c>
      <c r="L126" s="385">
        <f>L128*L130</f>
        <v>419.93626361351573</v>
      </c>
      <c r="M126" s="385">
        <f>M128*M130</f>
        <v>710.96163082937721</v>
      </c>
      <c r="N126" s="385">
        <f t="shared" ref="N126:P126" si="109">N128*N130</f>
        <v>1131.5955710695337</v>
      </c>
      <c r="O126" s="385">
        <f t="shared" si="109"/>
        <v>1731.3082423903938</v>
      </c>
      <c r="P126" s="385">
        <f t="shared" si="109"/>
        <v>2589.0049151075118</v>
      </c>
      <c r="Q126" s="377"/>
    </row>
    <row r="127" spans="2:22">
      <c r="B127" s="82" t="s">
        <v>176</v>
      </c>
      <c r="C127" s="93" t="s">
        <v>175</v>
      </c>
      <c r="F127" s="377"/>
      <c r="G127" s="377">
        <f>G126-F126</f>
        <v>47</v>
      </c>
      <c r="H127" s="377">
        <f>H126-G126</f>
        <v>29</v>
      </c>
      <c r="I127" s="378">
        <f>I126-H126</f>
        <v>-30</v>
      </c>
      <c r="J127" s="377"/>
      <c r="K127" s="377">
        <f>K126-H126</f>
        <v>-30</v>
      </c>
      <c r="L127" s="377">
        <f>L126-H126</f>
        <v>199.93626361351573</v>
      </c>
      <c r="M127" s="377">
        <f>M126-L126</f>
        <v>291.02536721586148</v>
      </c>
      <c r="N127" s="377">
        <f t="shared" ref="N127:P127" si="110">N126-M126</f>
        <v>420.63394024015645</v>
      </c>
      <c r="O127" s="377">
        <f t="shared" si="110"/>
        <v>599.71267132086018</v>
      </c>
      <c r="P127" s="377">
        <f t="shared" si="110"/>
        <v>857.69667271711796</v>
      </c>
      <c r="Q127" s="377"/>
    </row>
    <row r="128" spans="2:22">
      <c r="B128" s="82" t="s">
        <v>222</v>
      </c>
      <c r="F128" s="377"/>
      <c r="G128" s="377"/>
      <c r="H128" s="377"/>
      <c r="I128" s="378"/>
      <c r="J128" s="377"/>
      <c r="K128" s="377">
        <v>3581</v>
      </c>
      <c r="L128" s="377">
        <v>5748</v>
      </c>
      <c r="M128" s="377">
        <v>7640</v>
      </c>
      <c r="N128" s="377">
        <v>10009</v>
      </c>
      <c r="O128" s="377">
        <v>13011.7</v>
      </c>
      <c r="P128" s="377">
        <f>O128*(1+P129)</f>
        <v>16915.210000000003</v>
      </c>
      <c r="Q128" s="377"/>
    </row>
    <row r="129" spans="2:17">
      <c r="B129" s="115" t="s">
        <v>178</v>
      </c>
      <c r="F129" s="377"/>
      <c r="G129" s="377"/>
      <c r="H129" s="377"/>
      <c r="I129" s="378"/>
      <c r="J129" s="377"/>
      <c r="K129" s="377"/>
      <c r="L129" s="398">
        <f>L128/K128-1</f>
        <v>0.60513822954481977</v>
      </c>
      <c r="M129" s="398">
        <f t="shared" ref="M129:O129" si="111">M128/L128-1</f>
        <v>0.32915796798886565</v>
      </c>
      <c r="N129" s="398">
        <f t="shared" si="111"/>
        <v>0.31007853403141361</v>
      </c>
      <c r="O129" s="398">
        <f t="shared" si="111"/>
        <v>0.30000000000000004</v>
      </c>
      <c r="P129" s="398">
        <f>O129</f>
        <v>0.30000000000000004</v>
      </c>
      <c r="Q129" s="377"/>
    </row>
    <row r="130" spans="2:17">
      <c r="B130" s="82" t="s">
        <v>223</v>
      </c>
      <c r="F130" s="377"/>
      <c r="G130" s="377"/>
      <c r="H130" s="377"/>
      <c r="I130" s="378"/>
      <c r="J130" s="377"/>
      <c r="K130" s="398">
        <f>K126/K128</f>
        <v>5.3057805082379221E-2</v>
      </c>
      <c r="L130" s="398">
        <f>K130+L131</f>
        <v>7.3057805082379218E-2</v>
      </c>
      <c r="M130" s="398">
        <f t="shared" ref="M130:P130" si="112">L130+M131</f>
        <v>9.3057805082379222E-2</v>
      </c>
      <c r="N130" s="398">
        <f t="shared" si="112"/>
        <v>0.11305780508237923</v>
      </c>
      <c r="O130" s="398">
        <f t="shared" si="112"/>
        <v>0.13305780508237922</v>
      </c>
      <c r="P130" s="398">
        <f t="shared" si="112"/>
        <v>0.15305780508237921</v>
      </c>
      <c r="Q130" s="377"/>
    </row>
    <row r="131" spans="2:17">
      <c r="B131" s="115" t="s">
        <v>176</v>
      </c>
      <c r="F131" s="377"/>
      <c r="G131" s="377"/>
      <c r="H131" s="377"/>
      <c r="I131" s="378"/>
      <c r="J131" s="377"/>
      <c r="K131" s="377"/>
      <c r="L131" s="398">
        <v>0.02</v>
      </c>
      <c r="M131" s="398">
        <v>0.02</v>
      </c>
      <c r="N131" s="398">
        <v>0.02</v>
      </c>
      <c r="O131" s="398">
        <v>0.02</v>
      </c>
      <c r="P131" s="398">
        <f>O131</f>
        <v>0.02</v>
      </c>
      <c r="Q131" s="377"/>
    </row>
    <row r="132" spans="2:17">
      <c r="B132" s="89" t="s">
        <v>224</v>
      </c>
      <c r="C132" s="93" t="s">
        <v>172</v>
      </c>
      <c r="E132" s="9">
        <f>E125/E126</f>
        <v>86.396479999999997</v>
      </c>
      <c r="F132" s="377">
        <f>F125/F126</f>
        <v>32.228756930555541</v>
      </c>
      <c r="G132" s="377">
        <f>G125/G126</f>
        <v>28.007117136125661</v>
      </c>
      <c r="H132" s="377">
        <f>H125/H126</f>
        <v>36.843920227272726</v>
      </c>
      <c r="I132" s="378">
        <f>I125*4/3/I126</f>
        <v>44.990497831578949</v>
      </c>
      <c r="J132" s="377">
        <f>I132</f>
        <v>44.990497831578949</v>
      </c>
      <c r="K132" s="390">
        <f>J132</f>
        <v>44.990497831578949</v>
      </c>
      <c r="L132" s="390">
        <f>K132*(1+L133)</f>
        <v>45.935298286042105</v>
      </c>
      <c r="M132" s="390">
        <f t="shared" ref="M132:P132" si="113">L132*(1+M133)</f>
        <v>46.210910075758356</v>
      </c>
      <c r="N132" s="390">
        <f t="shared" si="113"/>
        <v>46.673019176515943</v>
      </c>
      <c r="O132" s="390">
        <f t="shared" si="113"/>
        <v>47.233095406634135</v>
      </c>
      <c r="P132" s="390">
        <f t="shared" si="113"/>
        <v>47.847125646920375</v>
      </c>
      <c r="Q132" s="377"/>
    </row>
    <row r="133" spans="2:17">
      <c r="B133" s="110" t="s">
        <v>178</v>
      </c>
      <c r="C133" s="98" t="s">
        <v>179</v>
      </c>
      <c r="D133" s="85"/>
      <c r="E133" s="85"/>
      <c r="F133" s="388">
        <f>F132/E132-1</f>
        <v>-0.62696678232081282</v>
      </c>
      <c r="G133" s="388">
        <f>G132/F132-1</f>
        <v>-0.130989842503898</v>
      </c>
      <c r="H133" s="388">
        <f>H132/G132-1</f>
        <v>0.31551991046406913</v>
      </c>
      <c r="I133" s="352">
        <f>I132/H132-1</f>
        <v>0.22111049948142969</v>
      </c>
      <c r="J133" s="383"/>
      <c r="K133" s="389"/>
      <c r="L133" s="389">
        <v>2.1000000000000001E-2</v>
      </c>
      <c r="M133" s="389">
        <v>6.0000000000000001E-3</v>
      </c>
      <c r="N133" s="389">
        <v>0.01</v>
      </c>
      <c r="O133" s="389">
        <v>1.2E-2</v>
      </c>
      <c r="P133" s="389">
        <v>1.3000000000000001E-2</v>
      </c>
      <c r="Q133" s="383"/>
    </row>
    <row r="134" spans="2:17">
      <c r="B134" s="9" t="s">
        <v>225</v>
      </c>
      <c r="C134" s="93" t="s">
        <v>171</v>
      </c>
      <c r="E134" s="9">
        <v>17978.167777999995</v>
      </c>
      <c r="F134" s="377">
        <v>17081.201039</v>
      </c>
      <c r="G134" s="377">
        <v>18362.535155652793</v>
      </c>
      <c r="H134" s="377">
        <v>18267.206671652802</v>
      </c>
      <c r="I134" s="378">
        <v>13712.305390531201</v>
      </c>
      <c r="J134" s="377">
        <f>I134/3</f>
        <v>4570.7684635104006</v>
      </c>
      <c r="K134" s="377">
        <f>SUM(I134:J134)</f>
        <v>18283.073854041602</v>
      </c>
      <c r="L134" s="377">
        <f>K134*(1+L135)</f>
        <v>19197.227546743685</v>
      </c>
      <c r="M134" s="377">
        <f t="shared" ref="M134:P134" si="114">L134*(1+M135)</f>
        <v>20157.088924080868</v>
      </c>
      <c r="N134" s="377">
        <f t="shared" si="114"/>
        <v>21164.943370284913</v>
      </c>
      <c r="O134" s="377">
        <f t="shared" si="114"/>
        <v>22223.190538799161</v>
      </c>
      <c r="P134" s="377">
        <f t="shared" si="114"/>
        <v>23334.35006573912</v>
      </c>
      <c r="Q134" s="377">
        <f>P134*(1+DCF!$F$44)</f>
        <v>23567.693566396512</v>
      </c>
    </row>
    <row r="135" spans="2:17">
      <c r="B135" s="108" t="s">
        <v>178</v>
      </c>
      <c r="C135" s="98" t="s">
        <v>179</v>
      </c>
      <c r="D135" s="85"/>
      <c r="E135" s="85"/>
      <c r="F135" s="388">
        <f>F134/E134-1</f>
        <v>-4.9891999567253986E-2</v>
      </c>
      <c r="G135" s="388">
        <f t="shared" ref="G135:H135" si="115">G134/F134-1</f>
        <v>7.50142869770829E-2</v>
      </c>
      <c r="H135" s="388">
        <f t="shared" si="115"/>
        <v>-5.1914663847842935E-3</v>
      </c>
      <c r="I135" s="352">
        <f>I134*4/3/H134-1</f>
        <v>8.6861569335727751E-4</v>
      </c>
      <c r="J135" s="383"/>
      <c r="K135" s="389"/>
      <c r="L135" s="389">
        <v>0.05</v>
      </c>
      <c r="M135" s="389">
        <v>0.05</v>
      </c>
      <c r="N135" s="389">
        <v>0.05</v>
      </c>
      <c r="O135" s="389">
        <v>0.05</v>
      </c>
      <c r="P135" s="389">
        <f>O135</f>
        <v>0.05</v>
      </c>
      <c r="Q135" s="383"/>
    </row>
    <row r="136" spans="2:17">
      <c r="F136" s="377"/>
      <c r="G136" s="377"/>
      <c r="H136" s="377"/>
      <c r="I136" s="377"/>
      <c r="J136" s="377"/>
      <c r="K136" s="377"/>
      <c r="L136" s="377"/>
      <c r="M136" s="377"/>
      <c r="N136" s="377"/>
      <c r="O136" s="377"/>
      <c r="P136" s="377"/>
      <c r="Q136" s="377"/>
    </row>
    <row r="137" spans="2:17">
      <c r="B137" s="16" t="s">
        <v>226</v>
      </c>
      <c r="F137" s="377"/>
      <c r="G137" s="377"/>
      <c r="H137" s="377"/>
      <c r="I137" s="377"/>
      <c r="J137" s="377"/>
      <c r="K137" s="377"/>
      <c r="L137" s="377"/>
      <c r="M137" s="377"/>
      <c r="N137" s="377"/>
      <c r="O137" s="377"/>
      <c r="P137" s="377"/>
      <c r="Q137" s="377"/>
    </row>
    <row r="138" spans="2:17">
      <c r="B138" s="85"/>
      <c r="C138" s="98"/>
      <c r="D138" s="85"/>
      <c r="E138" s="85"/>
      <c r="F138" s="383"/>
      <c r="G138" s="383"/>
      <c r="H138" s="383"/>
      <c r="I138" s="383"/>
      <c r="J138" s="383"/>
      <c r="K138" s="383"/>
      <c r="L138" s="388"/>
      <c r="M138" s="388"/>
      <c r="N138" s="388"/>
      <c r="O138" s="388"/>
      <c r="P138" s="388"/>
      <c r="Q138" s="388"/>
    </row>
    <row r="139" spans="2:17">
      <c r="B139" s="91" t="s">
        <v>227</v>
      </c>
      <c r="C139" s="135"/>
      <c r="D139" s="91"/>
      <c r="E139" s="91">
        <v>0</v>
      </c>
      <c r="F139" s="399">
        <v>0</v>
      </c>
      <c r="G139" s="399">
        <v>0</v>
      </c>
      <c r="H139" s="399">
        <v>346.66666900000001</v>
      </c>
      <c r="I139" s="399">
        <v>103.333331</v>
      </c>
      <c r="J139" s="399">
        <f>I139/3</f>
        <v>34.444443666666665</v>
      </c>
      <c r="K139" s="400">
        <f>I139+J139</f>
        <v>137.77777466666666</v>
      </c>
      <c r="L139" s="399">
        <f>AVERAGE(K143:L143)*L150*12/10^3</f>
        <v>2083.6736761766397</v>
      </c>
      <c r="M139" s="399">
        <f t="shared" ref="M139:P139" si="116">AVERAGE(L143:M143)*M150*12/10^3</f>
        <v>6011.114658479999</v>
      </c>
      <c r="N139" s="399">
        <f t="shared" si="116"/>
        <v>10193.663080108799</v>
      </c>
      <c r="O139" s="399">
        <f t="shared" si="116"/>
        <v>14260.335021832203</v>
      </c>
      <c r="P139" s="399">
        <f t="shared" si="116"/>
        <v>19190.52348103578</v>
      </c>
      <c r="Q139" s="399">
        <f>P139*(1+DCF!$F$44)</f>
        <v>19382.428715846137</v>
      </c>
    </row>
    <row r="140" spans="2:17">
      <c r="B140" s="89" t="s">
        <v>228</v>
      </c>
      <c r="F140" s="377"/>
      <c r="G140" s="377"/>
      <c r="H140" s="377"/>
      <c r="I140" s="377"/>
      <c r="J140" s="377"/>
      <c r="K140" s="377"/>
      <c r="L140" s="377"/>
      <c r="M140" s="377"/>
      <c r="N140" s="377"/>
      <c r="O140" s="377"/>
      <c r="P140" s="377"/>
      <c r="Q140" s="377"/>
    </row>
    <row r="141" spans="2:17">
      <c r="B141" s="82" t="s">
        <v>229</v>
      </c>
      <c r="L141" s="9">
        <f>K143</f>
        <v>32.460479999999997</v>
      </c>
      <c r="M141" s="9">
        <f>L143</f>
        <v>250</v>
      </c>
      <c r="N141" s="9">
        <f t="shared" ref="N141:P141" si="117">M143</f>
        <v>559.99999999999989</v>
      </c>
      <c r="O141" s="9">
        <f t="shared" si="117"/>
        <v>800</v>
      </c>
      <c r="P141" s="9">
        <f t="shared" si="117"/>
        <v>1080</v>
      </c>
    </row>
    <row r="142" spans="2:17">
      <c r="B142" s="82" t="s">
        <v>230</v>
      </c>
      <c r="J142" s="377"/>
      <c r="K142" s="377"/>
      <c r="L142" s="377">
        <f>L143-L141</f>
        <v>217.53952000000001</v>
      </c>
      <c r="M142" s="377">
        <f>M143-M141</f>
        <v>309.99999999999989</v>
      </c>
      <c r="N142" s="377">
        <f>N143-N141</f>
        <v>240.00000000000011</v>
      </c>
      <c r="O142" s="377">
        <f>O143-O141</f>
        <v>280</v>
      </c>
      <c r="P142" s="377">
        <f>P143-P141</f>
        <v>337.49999999999977</v>
      </c>
      <c r="Q142" s="377"/>
    </row>
    <row r="143" spans="2:17">
      <c r="B143" s="110" t="s">
        <v>231</v>
      </c>
      <c r="C143" s="98"/>
      <c r="D143" s="85"/>
      <c r="E143" s="85"/>
      <c r="F143" s="85"/>
      <c r="G143" s="85"/>
      <c r="H143" s="85"/>
      <c r="I143" s="85"/>
      <c r="J143" s="383"/>
      <c r="K143" s="383">
        <v>32.460479999999997</v>
      </c>
      <c r="L143" s="383">
        <f>L144</f>
        <v>250</v>
      </c>
      <c r="M143" s="383">
        <f t="shared" ref="M143:P143" si="118">M144</f>
        <v>559.99999999999989</v>
      </c>
      <c r="N143" s="383">
        <f t="shared" si="118"/>
        <v>800</v>
      </c>
      <c r="O143" s="383">
        <f t="shared" si="118"/>
        <v>1080</v>
      </c>
      <c r="P143" s="383">
        <f t="shared" si="118"/>
        <v>1417.4999999999998</v>
      </c>
      <c r="Q143" s="383"/>
    </row>
    <row r="144" spans="2:17">
      <c r="B144" s="89" t="s">
        <v>232</v>
      </c>
      <c r="J144" s="377"/>
      <c r="K144" s="377"/>
      <c r="L144" s="377">
        <f>L145*L149</f>
        <v>250</v>
      </c>
      <c r="M144" s="377">
        <f t="shared" ref="M144:P144" si="119">M145*M149</f>
        <v>559.99999999999989</v>
      </c>
      <c r="N144" s="377">
        <f t="shared" si="119"/>
        <v>800</v>
      </c>
      <c r="O144" s="377">
        <f t="shared" si="119"/>
        <v>1080</v>
      </c>
      <c r="P144" s="377">
        <f t="shared" si="119"/>
        <v>1417.4999999999998</v>
      </c>
      <c r="Q144" s="377"/>
    </row>
    <row r="145" spans="2:17">
      <c r="B145" s="82" t="s">
        <v>233</v>
      </c>
      <c r="J145" s="377"/>
      <c r="K145" s="377"/>
      <c r="L145" s="377">
        <f>L147*L148</f>
        <v>5000</v>
      </c>
      <c r="M145" s="377">
        <f t="shared" ref="M145:P145" si="120">M147*M148</f>
        <v>6999.9999999999991</v>
      </c>
      <c r="N145" s="377">
        <f t="shared" si="120"/>
        <v>7999.9999999999991</v>
      </c>
      <c r="O145" s="377">
        <f t="shared" si="120"/>
        <v>9000</v>
      </c>
      <c r="P145" s="377">
        <f t="shared" si="120"/>
        <v>10125</v>
      </c>
      <c r="Q145" s="377"/>
    </row>
    <row r="146" spans="2:17">
      <c r="B146" s="115" t="s">
        <v>176</v>
      </c>
      <c r="J146" s="377"/>
      <c r="K146" s="377"/>
      <c r="L146" s="377"/>
      <c r="M146" s="377">
        <f>M145-L145</f>
        <v>1999.9999999999991</v>
      </c>
      <c r="N146" s="377">
        <f t="shared" ref="N146:P146" si="121">N145-M145</f>
        <v>1000</v>
      </c>
      <c r="O146" s="377">
        <f t="shared" si="121"/>
        <v>1000.0000000000009</v>
      </c>
      <c r="P146" s="377">
        <f t="shared" si="121"/>
        <v>1125</v>
      </c>
      <c r="Q146" s="377"/>
    </row>
    <row r="147" spans="2:17">
      <c r="B147" s="115" t="s">
        <v>234</v>
      </c>
      <c r="D147" s="136"/>
      <c r="J147" s="377"/>
      <c r="K147" s="377">
        <v>20808</v>
      </c>
      <c r="L147" s="385">
        <v>21224.16</v>
      </c>
      <c r="M147" s="385">
        <v>21648.643199999999</v>
      </c>
      <c r="N147" s="385">
        <v>22081.616063999998</v>
      </c>
      <c r="O147" s="385">
        <v>22523.24838528</v>
      </c>
      <c r="P147" s="385">
        <f>O147*(1+2%)</f>
        <v>22973.7133529856</v>
      </c>
      <c r="Q147" s="377"/>
    </row>
    <row r="148" spans="2:17">
      <c r="B148" s="115" t="s">
        <v>235</v>
      </c>
      <c r="J148" s="377"/>
      <c r="K148" s="377"/>
      <c r="L148" s="143">
        <v>0.23558058363676113</v>
      </c>
      <c r="M148" s="143">
        <v>0.32334589910927997</v>
      </c>
      <c r="N148" s="143">
        <v>0.36229232393196636</v>
      </c>
      <c r="O148" s="143">
        <v>0.39958712198378643</v>
      </c>
      <c r="P148" s="143">
        <f>O148*(1+(O148/N148-1))</f>
        <v>0.44072109042329388</v>
      </c>
      <c r="Q148" s="377"/>
    </row>
    <row r="149" spans="2:17">
      <c r="B149" s="110" t="s">
        <v>236</v>
      </c>
      <c r="C149" s="98"/>
      <c r="D149" s="85"/>
      <c r="E149" s="85"/>
      <c r="F149" s="85"/>
      <c r="G149" s="85"/>
      <c r="H149" s="85"/>
      <c r="I149" s="85"/>
      <c r="J149" s="383"/>
      <c r="K149" s="383"/>
      <c r="L149" s="145">
        <v>0.05</v>
      </c>
      <c r="M149" s="145">
        <v>0.08</v>
      </c>
      <c r="N149" s="145">
        <v>0.1</v>
      </c>
      <c r="O149" s="145">
        <v>0.12</v>
      </c>
      <c r="P149" s="145">
        <f>O149+2%</f>
        <v>0.13999999999999999</v>
      </c>
      <c r="Q149" s="383"/>
    </row>
    <row r="150" spans="2:17">
      <c r="B150" s="89" t="s">
        <v>237</v>
      </c>
      <c r="J150" s="377"/>
      <c r="K150" s="377">
        <v>1200</v>
      </c>
      <c r="L150" s="385">
        <v>1229.4779999999998</v>
      </c>
      <c r="M150" s="377">
        <f>L150*(1+M151)</f>
        <v>1236.8548679999999</v>
      </c>
      <c r="N150" s="377">
        <f t="shared" ref="N150:P150" si="122">M150*(1+N151)</f>
        <v>1249.2234166799999</v>
      </c>
      <c r="O150" s="377">
        <f t="shared" si="122"/>
        <v>1264.21409768016</v>
      </c>
      <c r="P150" s="377">
        <f t="shared" si="122"/>
        <v>1280.648880950002</v>
      </c>
      <c r="Q150" s="377"/>
    </row>
    <row r="151" spans="2:17">
      <c r="B151" s="110" t="s">
        <v>178</v>
      </c>
      <c r="C151" s="98"/>
      <c r="D151" s="85"/>
      <c r="E151" s="85"/>
      <c r="F151" s="85"/>
      <c r="G151" s="85"/>
      <c r="H151" s="85"/>
      <c r="I151" s="85"/>
      <c r="J151" s="85"/>
      <c r="K151" s="85"/>
      <c r="L151" s="112">
        <v>2.1000000000000001E-2</v>
      </c>
      <c r="M151" s="112">
        <v>6.0000000000000001E-3</v>
      </c>
      <c r="N151" s="112">
        <v>0.01</v>
      </c>
      <c r="O151" s="112">
        <v>1.2E-2</v>
      </c>
      <c r="P151" s="112">
        <v>1.3000000000000001E-2</v>
      </c>
      <c r="Q151" s="85"/>
    </row>
    <row r="153" spans="2:17">
      <c r="B153" s="11" t="s">
        <v>77</v>
      </c>
      <c r="C153" s="94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</row>
    <row r="154" spans="2:17">
      <c r="M154" s="134"/>
      <c r="N154" s="134"/>
      <c r="O154" s="134"/>
      <c r="P154" s="134"/>
    </row>
    <row r="155" spans="2:17">
      <c r="B155" s="85"/>
      <c r="C155" s="98"/>
      <c r="D155" s="85"/>
      <c r="E155" s="85"/>
      <c r="F155" s="85"/>
      <c r="G155" s="85"/>
      <c r="H155" s="85"/>
      <c r="I155" s="85"/>
      <c r="J155" s="85"/>
      <c r="K155" s="85"/>
      <c r="L155" s="85"/>
      <c r="M155" s="133"/>
      <c r="N155" s="133"/>
      <c r="O155" s="133"/>
      <c r="P155" s="133"/>
      <c r="Q155" s="85"/>
    </row>
    <row r="156" spans="2:17">
      <c r="B156" s="9" t="s">
        <v>86</v>
      </c>
      <c r="C156" s="93" t="s">
        <v>172</v>
      </c>
      <c r="E156" s="9">
        <f t="shared" ref="E156:P159" si="123">SUMIFS(E$165:E$276,$B$165:$B$276,$B156)</f>
        <v>76140.000784000003</v>
      </c>
      <c r="F156" s="9">
        <f t="shared" si="123"/>
        <v>84266.66563800002</v>
      </c>
      <c r="G156" s="9">
        <f t="shared" si="123"/>
        <v>104080.40082149599</v>
      </c>
      <c r="H156" s="9">
        <f t="shared" si="123"/>
        <v>131987.4930438115</v>
      </c>
      <c r="I156" s="9">
        <f t="shared" si="123"/>
        <v>105025.79468792801</v>
      </c>
      <c r="J156" s="9">
        <f t="shared" si="123"/>
        <v>37016.117864920809</v>
      </c>
      <c r="K156" s="9">
        <f t="shared" si="123"/>
        <v>142041.91255284884</v>
      </c>
      <c r="L156" s="9">
        <f t="shared" si="123"/>
        <v>177714.2839020887</v>
      </c>
      <c r="M156" s="9">
        <f t="shared" si="123"/>
        <v>205235.28586205249</v>
      </c>
      <c r="N156" s="9">
        <f t="shared" si="123"/>
        <v>237806.78758588328</v>
      </c>
      <c r="O156" s="9">
        <f t="shared" si="123"/>
        <v>276886.03196287545</v>
      </c>
      <c r="P156" s="9">
        <f t="shared" si="123"/>
        <v>324723.79770077148</v>
      </c>
      <c r="Q156" s="9">
        <f>P156*(1+DCF!$F$44)</f>
        <v>327971.03567777917</v>
      </c>
    </row>
    <row r="157" spans="2:17">
      <c r="B157" s="9" t="s">
        <v>79</v>
      </c>
      <c r="C157" s="93" t="s">
        <v>171</v>
      </c>
      <c r="E157" s="9">
        <f t="shared" si="123"/>
        <v>51753.752267999989</v>
      </c>
      <c r="F157" s="9">
        <f t="shared" si="123"/>
        <v>56812.06878227627</v>
      </c>
      <c r="G157" s="9">
        <f t="shared" si="123"/>
        <v>63335.626098917142</v>
      </c>
      <c r="H157" s="9">
        <f t="shared" si="123"/>
        <v>71791.740389236365</v>
      </c>
      <c r="I157" s="9">
        <f t="shared" si="123"/>
        <v>59511.002429187072</v>
      </c>
      <c r="J157" s="9">
        <f t="shared" si="123"/>
        <v>22122.901535728997</v>
      </c>
      <c r="K157" s="9">
        <f t="shared" si="123"/>
        <v>81633.90396491607</v>
      </c>
      <c r="L157" s="9">
        <f t="shared" si="123"/>
        <v>91582.311568356919</v>
      </c>
      <c r="M157" s="9">
        <f t="shared" si="123"/>
        <v>100869.87423152183</v>
      </c>
      <c r="N157" s="9">
        <f t="shared" si="123"/>
        <v>110718.15397064158</v>
      </c>
      <c r="O157" s="9">
        <f t="shared" si="123"/>
        <v>122991.10854602732</v>
      </c>
      <c r="P157" s="9">
        <f t="shared" si="123"/>
        <v>136305.54271234752</v>
      </c>
      <c r="Q157" s="9">
        <f>P157*(1+DCF!$F$44)</f>
        <v>137668.598139471</v>
      </c>
    </row>
    <row r="158" spans="2:17">
      <c r="B158" s="9" t="s">
        <v>87</v>
      </c>
      <c r="C158" s="93" t="s">
        <v>171</v>
      </c>
      <c r="E158" s="9">
        <f t="shared" si="123"/>
        <v>35445.294183999998</v>
      </c>
      <c r="F158" s="9">
        <f t="shared" si="123"/>
        <v>34639.20655499999</v>
      </c>
      <c r="G158" s="9">
        <f t="shared" si="123"/>
        <v>37535.7329955936</v>
      </c>
      <c r="H158" s="9">
        <f t="shared" si="123"/>
        <v>45040.699419749697</v>
      </c>
      <c r="I158" s="9">
        <f t="shared" si="123"/>
        <v>36972.644731529603</v>
      </c>
      <c r="J158" s="9">
        <f t="shared" si="123"/>
        <v>11321.552913425914</v>
      </c>
      <c r="K158" s="9">
        <f t="shared" si="123"/>
        <v>48294.197644955515</v>
      </c>
      <c r="L158" s="9">
        <f t="shared" si="123"/>
        <v>49502.967947747813</v>
      </c>
      <c r="M158" s="9">
        <f t="shared" si="123"/>
        <v>53776.330423224688</v>
      </c>
      <c r="N158" s="9">
        <f t="shared" si="123"/>
        <v>58284.047493299651</v>
      </c>
      <c r="O158" s="9">
        <f t="shared" si="123"/>
        <v>62973.198658252142</v>
      </c>
      <c r="P158" s="9">
        <f t="shared" si="123"/>
        <v>67935.190661477711</v>
      </c>
      <c r="Q158" s="9">
        <f>P158*(1+DCF!$F$44)</f>
        <v>68614.542568092482</v>
      </c>
    </row>
    <row r="159" spans="2:17">
      <c r="B159" s="9" t="s">
        <v>83</v>
      </c>
      <c r="C159" s="93" t="s">
        <v>171</v>
      </c>
      <c r="E159" s="9">
        <f t="shared" si="123"/>
        <v>9259.4762140000021</v>
      </c>
      <c r="F159" s="9">
        <f t="shared" si="123"/>
        <v>10330.601041529892</v>
      </c>
      <c r="G159" s="9">
        <f t="shared" si="123"/>
        <v>9775.8510675556226</v>
      </c>
      <c r="H159" s="9">
        <f t="shared" si="123"/>
        <v>8680.8964585793856</v>
      </c>
      <c r="I159" s="9">
        <f t="shared" si="123"/>
        <v>7024.5719186555907</v>
      </c>
      <c r="J159" s="9">
        <f t="shared" si="123"/>
        <v>2341.5239728851971</v>
      </c>
      <c r="K159" s="9">
        <f t="shared" si="123"/>
        <v>9366.0958915407882</v>
      </c>
      <c r="L159" s="9">
        <f t="shared" si="123"/>
        <v>9691.7539387444649</v>
      </c>
      <c r="M159" s="9">
        <f t="shared" si="123"/>
        <v>9917.1633190988541</v>
      </c>
      <c r="N159" s="9">
        <f t="shared" si="123"/>
        <v>10247.748082506912</v>
      </c>
      <c r="O159" s="9">
        <f t="shared" si="123"/>
        <v>10611.893960158437</v>
      </c>
      <c r="P159" s="9">
        <f t="shared" si="123"/>
        <v>11018.805131684941</v>
      </c>
      <c r="Q159" s="9">
        <f>P159*(1+DCF!$F$44)</f>
        <v>11128.99318300179</v>
      </c>
    </row>
    <row r="160" spans="2:17">
      <c r="B160" s="85" t="s">
        <v>16</v>
      </c>
      <c r="C160" s="98" t="s">
        <v>171</v>
      </c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</row>
    <row r="162" spans="2:17">
      <c r="B162" s="106" t="s">
        <v>169</v>
      </c>
    </row>
    <row r="163" spans="2:17">
      <c r="B163" s="85"/>
      <c r="C163" s="98"/>
      <c r="D163" s="85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85"/>
    </row>
    <row r="164" spans="2:17">
      <c r="B164" s="9" t="s">
        <v>238</v>
      </c>
      <c r="E164" s="9">
        <f>SUM(E165,E167,E172,E174)</f>
        <v>38218.276450999998</v>
      </c>
      <c r="F164" s="9">
        <f t="shared" ref="F164:P164" si="124">SUM(F165,F167,F172,F174)</f>
        <v>29155.309211006399</v>
      </c>
      <c r="G164" s="9">
        <f t="shared" si="124"/>
        <v>37108.603377122694</v>
      </c>
      <c r="H164" s="9">
        <f t="shared" si="124"/>
        <v>43400.258918489424</v>
      </c>
      <c r="I164" s="137">
        <f t="shared" si="124"/>
        <v>35084.09271769967</v>
      </c>
      <c r="J164" s="9">
        <f t="shared" si="124"/>
        <v>11694.697572566556</v>
      </c>
      <c r="K164" s="9">
        <f t="shared" si="124"/>
        <v>46778.790290266224</v>
      </c>
      <c r="L164" s="9">
        <f t="shared" si="124"/>
        <v>51170.594798885693</v>
      </c>
      <c r="M164" s="9">
        <f t="shared" si="124"/>
        <v>56248.112011758109</v>
      </c>
      <c r="N164" s="9">
        <f t="shared" si="124"/>
        <v>61539.317351568308</v>
      </c>
      <c r="O164" s="9">
        <f t="shared" si="124"/>
        <v>66254.056105287586</v>
      </c>
      <c r="P164" s="9">
        <f t="shared" si="124"/>
        <v>70239.251712330064</v>
      </c>
    </row>
    <row r="165" spans="2:17">
      <c r="B165" s="9" t="s">
        <v>86</v>
      </c>
      <c r="C165" s="93" t="s">
        <v>172</v>
      </c>
      <c r="E165" s="9">
        <v>16559.766553999998</v>
      </c>
      <c r="F165" s="9">
        <v>6804.8473719999993</v>
      </c>
      <c r="G165" s="9">
        <v>12713.091096846401</v>
      </c>
      <c r="H165" s="9">
        <v>17564.0358696652</v>
      </c>
      <c r="I165" s="83">
        <v>15400.485417473599</v>
      </c>
      <c r="J165" s="9">
        <f>J52*J166</f>
        <v>5133.495139157867</v>
      </c>
      <c r="K165" s="9">
        <f>SUM(I165:J165)</f>
        <v>20533.980556631468</v>
      </c>
      <c r="L165" s="9">
        <f>L52*L166</f>
        <v>22587.305596842263</v>
      </c>
      <c r="M165" s="9">
        <f>M52*M166</f>
        <v>24461.749666896612</v>
      </c>
      <c r="N165" s="9">
        <f>N52*N166</f>
        <v>26397.907603409119</v>
      </c>
      <c r="O165" s="9">
        <f>O52*O166</f>
        <v>28346.886558684204</v>
      </c>
      <c r="P165" s="9">
        <f>P52*P166</f>
        <v>30302.672853304095</v>
      </c>
    </row>
    <row r="166" spans="2:17">
      <c r="B166" s="89" t="s">
        <v>212</v>
      </c>
      <c r="C166" s="93" t="s">
        <v>179</v>
      </c>
      <c r="D166" s="37">
        <v>5.0000000000000001E-3</v>
      </c>
      <c r="E166" s="10">
        <f>E165/E52</f>
        <v>0.30894047162007271</v>
      </c>
      <c r="F166" s="10">
        <f>F165/F52</f>
        <v>0.15186599559707739</v>
      </c>
      <c r="G166" s="10">
        <f>G165/G52</f>
        <v>0.24237813199384228</v>
      </c>
      <c r="H166" s="10">
        <f>H165/H52</f>
        <v>0.29507797284358767</v>
      </c>
      <c r="I166" s="119">
        <f>I165/I52</f>
        <v>0.32757453494520644</v>
      </c>
      <c r="J166" s="10">
        <f>I166</f>
        <v>0.32757453494520644</v>
      </c>
      <c r="K166" s="120">
        <f>J166</f>
        <v>0.32757453494520644</v>
      </c>
      <c r="L166" s="120">
        <f>K166-$D166</f>
        <v>0.32257453494520644</v>
      </c>
      <c r="M166" s="120">
        <f t="shared" ref="M166:P166" si="125">L166-$D166</f>
        <v>0.31757453494520643</v>
      </c>
      <c r="N166" s="120">
        <f t="shared" si="125"/>
        <v>0.31257453494520643</v>
      </c>
      <c r="O166" s="120">
        <f t="shared" si="125"/>
        <v>0.30757453494520642</v>
      </c>
      <c r="P166" s="120">
        <f t="shared" si="125"/>
        <v>0.30257453494520642</v>
      </c>
    </row>
    <row r="167" spans="2:17">
      <c r="B167" s="9" t="s">
        <v>79</v>
      </c>
      <c r="C167" s="93" t="s">
        <v>172</v>
      </c>
      <c r="E167" s="9">
        <v>5318.3868219999995</v>
      </c>
      <c r="F167" s="9">
        <v>5418.4054307002334</v>
      </c>
      <c r="G167" s="9">
        <v>6167.9816994639987</v>
      </c>
      <c r="H167" s="9">
        <v>8007.4017393061786</v>
      </c>
      <c r="I167" s="83">
        <v>6718.6990125999992</v>
      </c>
      <c r="J167" s="9">
        <f>J168*J170/4</f>
        <v>2239.5663375333329</v>
      </c>
      <c r="K167" s="9">
        <f>SUM(I167:J167)</f>
        <v>8958.2653501333316</v>
      </c>
      <c r="L167" s="9">
        <f t="shared" ref="L167:P167" si="126">L168*L170</f>
        <v>9623.5215048578502</v>
      </c>
      <c r="M167" s="9">
        <f t="shared" si="126"/>
        <v>11315.040477057864</v>
      </c>
      <c r="N167" s="9">
        <f t="shared" si="126"/>
        <v>13118.657929100887</v>
      </c>
      <c r="O167" s="9">
        <f t="shared" si="126"/>
        <v>14334.834687704593</v>
      </c>
      <c r="P167" s="9">
        <f t="shared" si="126"/>
        <v>14822.219067086551</v>
      </c>
    </row>
    <row r="168" spans="2:17">
      <c r="B168" s="89" t="s">
        <v>239</v>
      </c>
      <c r="C168" s="93" t="s">
        <v>175</v>
      </c>
      <c r="D168" s="136"/>
      <c r="F168" s="9">
        <v>0</v>
      </c>
      <c r="G168" s="9">
        <v>9</v>
      </c>
      <c r="H168" s="9">
        <v>12</v>
      </c>
      <c r="I168" s="83">
        <v>12.536982192505407</v>
      </c>
      <c r="J168" s="9">
        <f>I168</f>
        <v>12.536982192505407</v>
      </c>
      <c r="K168" s="9">
        <f>J168</f>
        <v>12.536982192505407</v>
      </c>
      <c r="L168" s="9">
        <v>13</v>
      </c>
      <c r="M168" s="9">
        <v>15</v>
      </c>
      <c r="N168" s="9">
        <v>17</v>
      </c>
      <c r="O168" s="9">
        <v>18</v>
      </c>
      <c r="P168" s="9">
        <f>O168</f>
        <v>18</v>
      </c>
    </row>
    <row r="169" spans="2:17">
      <c r="B169" s="82" t="s">
        <v>176</v>
      </c>
      <c r="C169" s="93" t="s">
        <v>175</v>
      </c>
      <c r="H169" s="9">
        <f>H168-G168</f>
        <v>3</v>
      </c>
      <c r="I169" s="83">
        <f>I168-H168</f>
        <v>0.53698219250540724</v>
      </c>
      <c r="K169" s="9">
        <f>K168-H168</f>
        <v>0.53698219250540724</v>
      </c>
      <c r="L169" s="9">
        <f>L168-K168</f>
        <v>0.46301780749459276</v>
      </c>
      <c r="M169" s="9">
        <f>M168-L168</f>
        <v>2</v>
      </c>
      <c r="N169" s="9">
        <f>N168-M168</f>
        <v>2</v>
      </c>
      <c r="O169" s="9">
        <f>O168-N168</f>
        <v>1</v>
      </c>
      <c r="P169" s="9">
        <f>P168-O168</f>
        <v>0</v>
      </c>
    </row>
    <row r="170" spans="2:17">
      <c r="B170" s="89" t="s">
        <v>240</v>
      </c>
      <c r="C170" s="93" t="s">
        <v>172</v>
      </c>
      <c r="G170" s="9">
        <f>G167/G168</f>
        <v>685.3312999404443</v>
      </c>
      <c r="H170" s="9">
        <f>H167/H168</f>
        <v>667.28347827551488</v>
      </c>
      <c r="I170" s="83">
        <f>I167*4/3/I168</f>
        <v>714.54718628288163</v>
      </c>
      <c r="J170" s="9">
        <f>I170</f>
        <v>714.54718628288163</v>
      </c>
      <c r="K170" s="9">
        <f>J170</f>
        <v>714.54718628288163</v>
      </c>
      <c r="L170" s="9">
        <f>K170*(1+L171)</f>
        <v>740.27088498906539</v>
      </c>
      <c r="M170" s="9">
        <f t="shared" ref="M170:P170" si="127">L170*(1+M171)</f>
        <v>754.33603180385762</v>
      </c>
      <c r="N170" s="9">
        <f t="shared" si="127"/>
        <v>771.68576053534628</v>
      </c>
      <c r="O170" s="9">
        <f t="shared" si="127"/>
        <v>796.37970487247742</v>
      </c>
      <c r="P170" s="9">
        <f t="shared" si="127"/>
        <v>823.45661483814172</v>
      </c>
    </row>
    <row r="171" spans="2:17">
      <c r="B171" s="82" t="s">
        <v>178</v>
      </c>
      <c r="C171" s="93" t="s">
        <v>179</v>
      </c>
      <c r="H171" s="37">
        <f>H170/G170-1</f>
        <v>-2.6334448268301447E-2</v>
      </c>
      <c r="I171" s="126">
        <f>I170/H170-1</f>
        <v>7.0830028834989456E-2</v>
      </c>
      <c r="K171" s="130">
        <f>K170/H170-1</f>
        <v>7.0830028834989456E-2</v>
      </c>
      <c r="L171" s="130">
        <v>3.6000000000000004E-2</v>
      </c>
      <c r="M171" s="130">
        <v>1.9E-2</v>
      </c>
      <c r="N171" s="130">
        <v>2.3E-2</v>
      </c>
      <c r="O171" s="130">
        <v>3.2000000000000001E-2</v>
      </c>
      <c r="P171" s="130">
        <v>3.4000000000000002E-2</v>
      </c>
    </row>
    <row r="172" spans="2:17">
      <c r="B172" s="9" t="s">
        <v>87</v>
      </c>
      <c r="C172" s="93" t="s">
        <v>172</v>
      </c>
      <c r="E172" s="9">
        <v>14819.001597999999</v>
      </c>
      <c r="F172" s="377">
        <v>15233.659006999997</v>
      </c>
      <c r="G172" s="377">
        <v>16258.753680913596</v>
      </c>
      <c r="H172" s="377">
        <v>16176.7740675648</v>
      </c>
      <c r="I172" s="378">
        <v>11660.062419</v>
      </c>
      <c r="J172" s="377">
        <f>J52*J173</f>
        <v>3886.687473</v>
      </c>
      <c r="K172" s="9">
        <f>SUM(I172:J172)</f>
        <v>15546.749892</v>
      </c>
      <c r="L172" s="9">
        <f>L52*L173</f>
        <v>17016.335980881107</v>
      </c>
      <c r="M172" s="9">
        <f>M52*M173</f>
        <v>18333.474060034521</v>
      </c>
      <c r="N172" s="9">
        <f>N52*N173</f>
        <v>19678.788296062408</v>
      </c>
      <c r="O172" s="9">
        <f>O52*O173</f>
        <v>21014.39736488209</v>
      </c>
      <c r="P172" s="9">
        <f>P52*P173</f>
        <v>22334.752125117469</v>
      </c>
    </row>
    <row r="173" spans="2:17">
      <c r="B173" s="89" t="s">
        <v>212</v>
      </c>
      <c r="C173" s="93" t="s">
        <v>179</v>
      </c>
      <c r="D173" s="37">
        <v>5.0000000000000001E-3</v>
      </c>
      <c r="E173" s="10">
        <f>E172/E52</f>
        <v>0.27646460641191062</v>
      </c>
      <c r="F173" s="144">
        <f>F172/F52</f>
        <v>0.33997453068583533</v>
      </c>
      <c r="G173" s="144">
        <f>G172/G52</f>
        <v>0.30997703986447384</v>
      </c>
      <c r="H173" s="144">
        <f>H172/H52</f>
        <v>0.27177180315657878</v>
      </c>
      <c r="I173" s="149">
        <f>I172/I52</f>
        <v>0.24801422947372181</v>
      </c>
      <c r="J173" s="144">
        <f>I173</f>
        <v>0.24801422947372181</v>
      </c>
      <c r="K173" s="120">
        <f>J173</f>
        <v>0.24801422947372181</v>
      </c>
      <c r="L173" s="120">
        <f>K173-$D173</f>
        <v>0.24301422947372181</v>
      </c>
      <c r="M173" s="120">
        <f t="shared" ref="M173:P173" si="128">L173-$D173</f>
        <v>0.23801422947372181</v>
      </c>
      <c r="N173" s="120">
        <f t="shared" si="128"/>
        <v>0.2330142294737218</v>
      </c>
      <c r="O173" s="120">
        <f t="shared" si="128"/>
        <v>0.2280142294737218</v>
      </c>
      <c r="P173" s="120">
        <f t="shared" si="128"/>
        <v>0.22301422947372179</v>
      </c>
    </row>
    <row r="174" spans="2:17">
      <c r="B174" s="9" t="s">
        <v>83</v>
      </c>
      <c r="C174" s="93" t="s">
        <v>172</v>
      </c>
      <c r="E174" s="9">
        <v>1521.1214769999999</v>
      </c>
      <c r="F174" s="377">
        <v>1698.3974013061693</v>
      </c>
      <c r="G174" s="377">
        <v>1968.7768998987001</v>
      </c>
      <c r="H174" s="377">
        <v>1652.0472419532459</v>
      </c>
      <c r="I174" s="378">
        <f>I52*I175</f>
        <v>1304.8458686260697</v>
      </c>
      <c r="J174" s="377">
        <f>J52*J175</f>
        <v>434.94862287535653</v>
      </c>
      <c r="K174" s="9">
        <f>SUM(I174:J174)</f>
        <v>1739.7944915014261</v>
      </c>
      <c r="L174" s="9">
        <f>L52*L175</f>
        <v>1943.4317163044741</v>
      </c>
      <c r="M174" s="9">
        <f>M52*M175</f>
        <v>2137.8478077691034</v>
      </c>
      <c r="N174" s="9">
        <f>N52*N175</f>
        <v>2343.9635229958867</v>
      </c>
      <c r="O174" s="9">
        <f>O52*O175</f>
        <v>2557.9374940166995</v>
      </c>
      <c r="P174" s="9">
        <f>P52*P175</f>
        <v>2779.6076668219439</v>
      </c>
    </row>
    <row r="175" spans="2:17">
      <c r="B175" s="108" t="s">
        <v>212</v>
      </c>
      <c r="C175" s="98" t="s">
        <v>179</v>
      </c>
      <c r="D175" s="132">
        <f>H175</f>
        <v>2.7754597793741356E-2</v>
      </c>
      <c r="E175" s="107">
        <f>E174/E52</f>
        <v>2.8378177008919783E-2</v>
      </c>
      <c r="F175" s="388">
        <f>F174/F52</f>
        <v>3.7903688087135311E-2</v>
      </c>
      <c r="G175" s="388">
        <f>G174/G52</f>
        <v>3.7535203962193404E-2</v>
      </c>
      <c r="H175" s="388">
        <f>H174/H52</f>
        <v>2.7754597793741356E-2</v>
      </c>
      <c r="I175" s="401">
        <f>H175</f>
        <v>2.7754597793741356E-2</v>
      </c>
      <c r="J175" s="388">
        <f>I175</f>
        <v>2.7754597793741356E-2</v>
      </c>
      <c r="K175" s="129">
        <f>$D175</f>
        <v>2.7754597793741356E-2</v>
      </c>
      <c r="L175" s="129">
        <f>K175</f>
        <v>2.7754597793741356E-2</v>
      </c>
      <c r="M175" s="129">
        <f t="shared" ref="M175:P175" si="129">L175</f>
        <v>2.7754597793741356E-2</v>
      </c>
      <c r="N175" s="129">
        <f t="shared" si="129"/>
        <v>2.7754597793741356E-2</v>
      </c>
      <c r="O175" s="129">
        <f t="shared" si="129"/>
        <v>2.7754597793741356E-2</v>
      </c>
      <c r="P175" s="129">
        <f t="shared" si="129"/>
        <v>2.7754597793741356E-2</v>
      </c>
      <c r="Q175" s="85"/>
    </row>
    <row r="176" spans="2:17">
      <c r="F176" s="377"/>
      <c r="G176" s="377"/>
      <c r="H176" s="377"/>
      <c r="I176" s="377"/>
      <c r="J176" s="377"/>
    </row>
    <row r="177" spans="2:17">
      <c r="B177" s="16" t="s">
        <v>182</v>
      </c>
      <c r="F177" s="377"/>
      <c r="G177" s="377"/>
      <c r="H177" s="377"/>
      <c r="I177" s="377"/>
      <c r="J177" s="377"/>
    </row>
    <row r="178" spans="2:17">
      <c r="B178" s="85"/>
      <c r="C178" s="98"/>
      <c r="D178" s="85"/>
      <c r="E178" s="133"/>
      <c r="F178" s="393"/>
      <c r="G178" s="393"/>
      <c r="H178" s="393"/>
      <c r="I178" s="393"/>
      <c r="J178" s="393"/>
      <c r="K178" s="133"/>
      <c r="L178" s="133"/>
      <c r="M178" s="133"/>
      <c r="N178" s="133"/>
      <c r="O178" s="133"/>
      <c r="P178" s="133"/>
      <c r="Q178" s="85"/>
    </row>
    <row r="179" spans="2:17">
      <c r="B179" s="9" t="s">
        <v>241</v>
      </c>
      <c r="E179" s="9">
        <f>SUM(E180,E182,E187,E192)</f>
        <v>44380.110013999991</v>
      </c>
      <c r="F179" s="377">
        <f t="shared" ref="F179:P179" si="130">SUM(F180,F182,F187,F192)</f>
        <v>47730.015304000008</v>
      </c>
      <c r="G179" s="377">
        <f t="shared" si="130"/>
        <v>52779.342102950184</v>
      </c>
      <c r="H179" s="377">
        <f t="shared" si="130"/>
        <v>59426.098082255412</v>
      </c>
      <c r="I179" s="402">
        <f t="shared" si="130"/>
        <v>51072.87175921569</v>
      </c>
      <c r="J179" s="377">
        <f t="shared" si="130"/>
        <v>17432.329273045176</v>
      </c>
      <c r="K179" s="9">
        <f t="shared" si="130"/>
        <v>68505.201032260869</v>
      </c>
      <c r="L179" s="9">
        <f t="shared" si="130"/>
        <v>72777.992182556525</v>
      </c>
      <c r="M179" s="9">
        <f t="shared" si="130"/>
        <v>76033.103705619636</v>
      </c>
      <c r="N179" s="9">
        <f t="shared" si="130"/>
        <v>79732.858915792822</v>
      </c>
      <c r="O179" s="9">
        <f t="shared" si="130"/>
        <v>84249.742671075044</v>
      </c>
      <c r="P179" s="9">
        <f t="shared" si="130"/>
        <v>89156.278277205929</v>
      </c>
    </row>
    <row r="180" spans="2:17">
      <c r="B180" s="9" t="s">
        <v>86</v>
      </c>
      <c r="C180" s="93" t="s">
        <v>172</v>
      </c>
      <c r="E180" s="9">
        <v>815.14630099999988</v>
      </c>
      <c r="F180" s="377">
        <v>698.42143399999986</v>
      </c>
      <c r="G180" s="377">
        <v>817.89802300000008</v>
      </c>
      <c r="H180" s="377">
        <v>274.22861010000003</v>
      </c>
      <c r="I180" s="378">
        <v>123.38571599999997</v>
      </c>
      <c r="J180" s="377">
        <f>J65*J181</f>
        <v>42.671219570913678</v>
      </c>
      <c r="K180" s="9">
        <f>SUM(I180:J180)</f>
        <v>166.05693557091365</v>
      </c>
      <c r="L180" s="9">
        <f>L65*L181</f>
        <v>750.14396122409653</v>
      </c>
      <c r="M180" s="9">
        <f>M65*M181</f>
        <v>787.61408015799839</v>
      </c>
      <c r="N180" s="9">
        <f>N65*N181</f>
        <v>829.52767182774915</v>
      </c>
      <c r="O180" s="9">
        <f>O65*O181</f>
        <v>880.68116715243139</v>
      </c>
      <c r="P180" s="9">
        <f>P65*P181</f>
        <v>936.11987252054826</v>
      </c>
    </row>
    <row r="181" spans="2:17">
      <c r="B181" s="89" t="s">
        <v>212</v>
      </c>
      <c r="C181" s="93" t="s">
        <v>179</v>
      </c>
      <c r="E181" s="10">
        <f>E180/E65</f>
        <v>1.302671258949554E-2</v>
      </c>
      <c r="F181" s="144">
        <f>F180/F65</f>
        <v>1.0128920184583974E-2</v>
      </c>
      <c r="G181" s="144">
        <f>G180/G65</f>
        <v>1.0626195382890844E-2</v>
      </c>
      <c r="H181" s="144">
        <f t="shared" ref="H181:I181" si="131">H180/H65</f>
        <v>3.1715178978768375E-3</v>
      </c>
      <c r="I181" s="149">
        <f t="shared" si="131"/>
        <v>1.6316154977163732E-3</v>
      </c>
      <c r="J181" s="144">
        <f>I181</f>
        <v>1.6316154977163732E-3</v>
      </c>
      <c r="K181" s="120">
        <f>J181</f>
        <v>1.6316154977163732E-3</v>
      </c>
      <c r="L181" s="120">
        <v>6.8988566403838398E-3</v>
      </c>
      <c r="M181" s="120">
        <v>6.8988566403838398E-3</v>
      </c>
      <c r="N181" s="120">
        <v>6.8988566403838398E-3</v>
      </c>
      <c r="O181" s="120">
        <v>6.8988566403838398E-3</v>
      </c>
      <c r="P181" s="120">
        <f>O181</f>
        <v>6.8988566403838398E-3</v>
      </c>
    </row>
    <row r="182" spans="2:17">
      <c r="B182" s="9" t="s">
        <v>79</v>
      </c>
      <c r="C182" s="93" t="s">
        <v>172</v>
      </c>
      <c r="E182" s="9">
        <v>30481.937349999993</v>
      </c>
      <c r="F182" s="377">
        <v>32716.115836000008</v>
      </c>
      <c r="G182" s="377">
        <v>37331.122600730982</v>
      </c>
      <c r="H182" s="377">
        <v>42987.16048321491</v>
      </c>
      <c r="I182" s="378">
        <f>I183*I185*3/4</f>
        <v>36819.794573587067</v>
      </c>
      <c r="J182" s="377">
        <f>J183*J185/4</f>
        <v>13315.286502092848</v>
      </c>
      <c r="K182" s="9">
        <f>SUM(I182:J182)</f>
        <v>50135.081075679918</v>
      </c>
      <c r="L182" s="9">
        <f t="shared" ref="L182:P182" si="132">L183*L185</f>
        <v>55621.494318402933</v>
      </c>
      <c r="M182" s="9">
        <f t="shared" si="132"/>
        <v>58677.196207635789</v>
      </c>
      <c r="N182" s="9">
        <f t="shared" si="132"/>
        <v>62071.639768029811</v>
      </c>
      <c r="O182" s="9">
        <f t="shared" si="132"/>
        <v>66236.310382689044</v>
      </c>
      <c r="P182" s="9">
        <f t="shared" si="132"/>
        <v>70740.787934613545</v>
      </c>
    </row>
    <row r="183" spans="2:17">
      <c r="B183" s="89" t="s">
        <v>239</v>
      </c>
      <c r="C183" s="93" t="s">
        <v>175</v>
      </c>
      <c r="E183" s="9">
        <f t="shared" ref="E183:P183" si="133">E71</f>
        <v>589.91666666666663</v>
      </c>
      <c r="F183" s="377">
        <f t="shared" si="133"/>
        <v>618.5</v>
      </c>
      <c r="G183" s="377">
        <f t="shared" si="133"/>
        <v>698</v>
      </c>
      <c r="H183" s="377">
        <f t="shared" si="133"/>
        <v>749.53918924833749</v>
      </c>
      <c r="I183" s="378">
        <f t="shared" si="133"/>
        <v>803.75941999999986</v>
      </c>
      <c r="J183" s="377">
        <f t="shared" si="133"/>
        <v>872</v>
      </c>
      <c r="K183" s="9">
        <f t="shared" si="133"/>
        <v>848</v>
      </c>
      <c r="L183" s="9">
        <f t="shared" si="133"/>
        <v>879</v>
      </c>
      <c r="M183" s="9">
        <f t="shared" si="133"/>
        <v>910</v>
      </c>
      <c r="N183" s="9">
        <f t="shared" si="133"/>
        <v>941</v>
      </c>
      <c r="O183" s="9">
        <f t="shared" si="133"/>
        <v>973</v>
      </c>
      <c r="P183" s="9">
        <f t="shared" si="133"/>
        <v>1005</v>
      </c>
    </row>
    <row r="184" spans="2:17">
      <c r="B184" s="82" t="s">
        <v>176</v>
      </c>
      <c r="C184" s="93" t="s">
        <v>175</v>
      </c>
      <c r="F184" s="377">
        <f>F183-E183</f>
        <v>28.583333333333371</v>
      </c>
      <c r="G184" s="377">
        <f>G183-F183</f>
        <v>79.5</v>
      </c>
      <c r="H184" s="377">
        <f t="shared" ref="H184:I184" si="134">H183-G183</f>
        <v>51.539189248337493</v>
      </c>
      <c r="I184" s="378">
        <f t="shared" si="134"/>
        <v>54.22023075166237</v>
      </c>
      <c r="J184" s="377"/>
      <c r="K184" s="9">
        <f>K183-H183</f>
        <v>98.460810751662507</v>
      </c>
      <c r="L184" s="9">
        <f>L183-K183</f>
        <v>31</v>
      </c>
      <c r="M184" s="9">
        <f t="shared" ref="M184:P184" si="135">M183-L183</f>
        <v>31</v>
      </c>
      <c r="N184" s="9">
        <f t="shared" si="135"/>
        <v>31</v>
      </c>
      <c r="O184" s="9">
        <f t="shared" si="135"/>
        <v>32</v>
      </c>
      <c r="P184" s="9">
        <f t="shared" si="135"/>
        <v>32</v>
      </c>
    </row>
    <row r="185" spans="2:17">
      <c r="B185" s="89" t="s">
        <v>240</v>
      </c>
      <c r="C185" s="93" t="s">
        <v>172</v>
      </c>
      <c r="E185" s="127">
        <f>E182/E183</f>
        <v>51.67159884164429</v>
      </c>
      <c r="F185" s="390">
        <f t="shared" ref="F185:H185" si="136">F182/F183</f>
        <v>52.895902725949895</v>
      </c>
      <c r="G185" s="390">
        <f t="shared" si="136"/>
        <v>53.482983668669029</v>
      </c>
      <c r="H185" s="390">
        <f t="shared" si="136"/>
        <v>57.351451531605498</v>
      </c>
      <c r="I185" s="391">
        <f>K185</f>
        <v>61.079295881159851</v>
      </c>
      <c r="J185" s="390">
        <f>K185</f>
        <v>61.079295881159851</v>
      </c>
      <c r="K185" s="127">
        <f>H185*(1+K186)</f>
        <v>61.079295881159851</v>
      </c>
      <c r="L185" s="127">
        <f>K185*(1+L186)</f>
        <v>63.278150532881611</v>
      </c>
      <c r="M185" s="127">
        <f t="shared" ref="M185:P185" si="137">L185*(1+M186)</f>
        <v>64.48043539300636</v>
      </c>
      <c r="N185" s="127">
        <f t="shared" si="137"/>
        <v>65.963485407045496</v>
      </c>
      <c r="O185" s="127">
        <f t="shared" si="137"/>
        <v>68.074316940070958</v>
      </c>
      <c r="P185" s="127">
        <f t="shared" si="137"/>
        <v>70.388843716033378</v>
      </c>
    </row>
    <row r="186" spans="2:17">
      <c r="B186" s="82" t="s">
        <v>178</v>
      </c>
      <c r="C186" s="93" t="s">
        <v>179</v>
      </c>
      <c r="F186" s="144">
        <f>F185/E185-1</f>
        <v>2.3693942354245268E-2</v>
      </c>
      <c r="G186" s="144">
        <f>G185/F185-1</f>
        <v>1.1098798063070348E-2</v>
      </c>
      <c r="H186" s="144">
        <f>H185/G185-1</f>
        <v>7.233081622562243E-2</v>
      </c>
      <c r="I186" s="378"/>
      <c r="J186" s="377"/>
      <c r="K186" s="130">
        <v>6.5000000000000002E-2</v>
      </c>
      <c r="L186" s="130">
        <v>3.6000000000000004E-2</v>
      </c>
      <c r="M186" s="130">
        <v>1.9E-2</v>
      </c>
      <c r="N186" s="130">
        <v>2.3E-2</v>
      </c>
      <c r="O186" s="130">
        <v>3.2000000000000001E-2</v>
      </c>
      <c r="P186" s="130">
        <v>3.4000000000000002E-2</v>
      </c>
    </row>
    <row r="187" spans="2:17">
      <c r="B187" s="9" t="s">
        <v>87</v>
      </c>
      <c r="C187" s="93" t="s">
        <v>172</v>
      </c>
      <c r="E187" s="9">
        <v>9805.5840779999999</v>
      </c>
      <c r="F187" s="377">
        <v>11025.136491999998</v>
      </c>
      <c r="G187" s="377">
        <v>10752.559686019202</v>
      </c>
      <c r="H187" s="377">
        <v>12286.849677366399</v>
      </c>
      <c r="I187" s="378">
        <v>10974.083454835201</v>
      </c>
      <c r="J187" s="377">
        <f>J188*J190/4</f>
        <v>3022.5022131169403</v>
      </c>
      <c r="K187" s="9">
        <f>SUM(I187:J187)</f>
        <v>13996.585667952142</v>
      </c>
      <c r="L187" s="9">
        <f t="shared" ref="L187:P187" si="138">L188*L190</f>
        <v>12131.556912222686</v>
      </c>
      <c r="M187" s="9">
        <f t="shared" si="138"/>
        <v>12276.3972391562</v>
      </c>
      <c r="N187" s="9">
        <f t="shared" si="138"/>
        <v>12471.124958406906</v>
      </c>
      <c r="O187" s="9">
        <f t="shared" si="138"/>
        <v>12689.333839872164</v>
      </c>
      <c r="P187" s="9">
        <f t="shared" si="138"/>
        <v>12933.754591239125</v>
      </c>
    </row>
    <row r="188" spans="2:17">
      <c r="B188" s="89" t="s">
        <v>190</v>
      </c>
      <c r="C188" s="93" t="s">
        <v>175</v>
      </c>
      <c r="E188" s="9">
        <f>E73</f>
        <v>160.69333333333327</v>
      </c>
      <c r="F188" s="377">
        <f>F73</f>
        <v>159.46074999999996</v>
      </c>
      <c r="G188" s="377">
        <f>G73</f>
        <v>137.77183333333335</v>
      </c>
      <c r="H188" s="377">
        <f t="shared" ref="H188:P188" si="139">H73</f>
        <v>153.58562096707999</v>
      </c>
      <c r="I188" s="378">
        <f t="shared" si="139"/>
        <v>180.32944444444445</v>
      </c>
      <c r="J188" s="377">
        <f t="shared" si="139"/>
        <v>149</v>
      </c>
      <c r="K188" s="9">
        <f t="shared" si="139"/>
        <v>145.31664833333321</v>
      </c>
      <c r="L188" s="9">
        <f t="shared" si="139"/>
        <v>144.31664833333321</v>
      </c>
      <c r="M188" s="9">
        <f t="shared" si="139"/>
        <v>143.31664833333321</v>
      </c>
      <c r="N188" s="9">
        <f t="shared" si="139"/>
        <v>142.31664833333321</v>
      </c>
      <c r="O188" s="9">
        <f t="shared" si="139"/>
        <v>140.31664833333321</v>
      </c>
      <c r="P188" s="9">
        <f t="shared" si="139"/>
        <v>138.31664833333321</v>
      </c>
    </row>
    <row r="189" spans="2:17">
      <c r="B189" s="82" t="s">
        <v>176</v>
      </c>
      <c r="C189" s="93" t="s">
        <v>175</v>
      </c>
      <c r="F189" s="377">
        <f>F188-E188</f>
        <v>-1.2325833333333094</v>
      </c>
      <c r="G189" s="377">
        <f>G188-F188</f>
        <v>-21.688916666666614</v>
      </c>
      <c r="H189" s="377">
        <f t="shared" ref="H189:I189" si="140">H188-G188</f>
        <v>15.813787633746642</v>
      </c>
      <c r="I189" s="378">
        <f t="shared" si="140"/>
        <v>26.743823477364458</v>
      </c>
      <c r="J189" s="377"/>
      <c r="K189" s="9">
        <f>K188-H188</f>
        <v>-8.2689726337467846</v>
      </c>
      <c r="L189" s="9">
        <f>L188-K188</f>
        <v>-1</v>
      </c>
      <c r="M189" s="9">
        <f t="shared" ref="M189:P189" si="141">M188-L188</f>
        <v>-1</v>
      </c>
      <c r="N189" s="9">
        <f t="shared" si="141"/>
        <v>-1</v>
      </c>
      <c r="O189" s="9">
        <f t="shared" si="141"/>
        <v>-2</v>
      </c>
      <c r="P189" s="9">
        <f t="shared" si="141"/>
        <v>-2</v>
      </c>
    </row>
    <row r="190" spans="2:17">
      <c r="B190" s="89" t="s">
        <v>242</v>
      </c>
      <c r="C190" s="93" t="s">
        <v>172</v>
      </c>
      <c r="E190" s="127">
        <f>E187/E188</f>
        <v>61.020478414371084</v>
      </c>
      <c r="F190" s="390">
        <f t="shared" ref="F190:H190" si="142">F187/F188</f>
        <v>69.140126908972903</v>
      </c>
      <c r="G190" s="390">
        <f t="shared" si="142"/>
        <v>78.046139227920563</v>
      </c>
      <c r="H190" s="390">
        <f t="shared" si="142"/>
        <v>80</v>
      </c>
      <c r="I190" s="391">
        <f>I187*4/3/I188</f>
        <v>81.140999009850745</v>
      </c>
      <c r="J190" s="377">
        <f>I190</f>
        <v>81.140999009850745</v>
      </c>
      <c r="K190" s="127">
        <f>J190</f>
        <v>81.140999009850745</v>
      </c>
      <c r="L190" s="127">
        <f>K190*(1+L191)</f>
        <v>84.062074974205373</v>
      </c>
      <c r="M190" s="127">
        <f t="shared" ref="M190:P190" si="143">L190*(1+M191)</f>
        <v>85.659254398715262</v>
      </c>
      <c r="N190" s="127">
        <f t="shared" si="143"/>
        <v>87.629417249885705</v>
      </c>
      <c r="O190" s="127">
        <f t="shared" si="143"/>
        <v>90.433558601882055</v>
      </c>
      <c r="P190" s="127">
        <f t="shared" si="143"/>
        <v>93.508299594346042</v>
      </c>
    </row>
    <row r="191" spans="2:17">
      <c r="B191" s="82" t="s">
        <v>178</v>
      </c>
      <c r="C191" s="93" t="s">
        <v>179</v>
      </c>
      <c r="F191" s="144">
        <f>F190/E190-1</f>
        <v>0.13306432046408778</v>
      </c>
      <c r="G191" s="144">
        <f>G190/F190-1</f>
        <v>0.12881104963363676</v>
      </c>
      <c r="H191" s="144"/>
      <c r="I191" s="378"/>
      <c r="J191" s="377"/>
      <c r="K191" s="130">
        <f>K190/H190-1</f>
        <v>1.4262487623134312E-2</v>
      </c>
      <c r="L191" s="130">
        <v>3.6000000000000004E-2</v>
      </c>
      <c r="M191" s="130">
        <v>1.9E-2</v>
      </c>
      <c r="N191" s="130">
        <v>2.3E-2</v>
      </c>
      <c r="O191" s="130">
        <v>3.2000000000000001E-2</v>
      </c>
      <c r="P191" s="130">
        <v>3.4000000000000002E-2</v>
      </c>
    </row>
    <row r="192" spans="2:17">
      <c r="B192" s="9" t="s">
        <v>83</v>
      </c>
      <c r="C192" s="93" t="s">
        <v>172</v>
      </c>
      <c r="E192" s="9">
        <v>3277.4422850000001</v>
      </c>
      <c r="F192" s="377">
        <v>3290.3415419999992</v>
      </c>
      <c r="G192" s="377">
        <v>3877.7617931999998</v>
      </c>
      <c r="H192" s="377">
        <v>3877.8593115740996</v>
      </c>
      <c r="I192" s="378">
        <f>K192-J192</f>
        <v>3155.6080147934235</v>
      </c>
      <c r="J192" s="377">
        <f>K192/4</f>
        <v>1051.8693382644744</v>
      </c>
      <c r="K192" s="9">
        <f>H192*(1+K193)</f>
        <v>4207.4773530578977</v>
      </c>
      <c r="L192" s="9">
        <f>K192*(1+L193)</f>
        <v>4274.7969907068245</v>
      </c>
      <c r="M192" s="9">
        <f t="shared" ref="M192:P192" si="144">L192*(1+M193)</f>
        <v>4291.8961786696518</v>
      </c>
      <c r="N192" s="9">
        <f t="shared" si="144"/>
        <v>4360.5665175283666</v>
      </c>
      <c r="O192" s="9">
        <f t="shared" si="144"/>
        <v>4443.417281361405</v>
      </c>
      <c r="P192" s="9">
        <f t="shared" si="144"/>
        <v>4545.6158788327166</v>
      </c>
    </row>
    <row r="193" spans="2:17">
      <c r="B193" s="108" t="s">
        <v>178</v>
      </c>
      <c r="C193" s="98" t="s">
        <v>179</v>
      </c>
      <c r="D193" s="85"/>
      <c r="E193" s="107"/>
      <c r="F193" s="388">
        <f>F192/E192-1</f>
        <v>3.9357693830446294E-3</v>
      </c>
      <c r="G193" s="388">
        <f>G192/F192-1</f>
        <v>0.17852865536960127</v>
      </c>
      <c r="H193" s="388">
        <f>H192/G192-1</f>
        <v>2.5148108445227635E-5</v>
      </c>
      <c r="I193" s="401"/>
      <c r="J193" s="383"/>
      <c r="K193" s="112">
        <v>8.5000000000000006E-2</v>
      </c>
      <c r="L193" s="112">
        <v>1.6E-2</v>
      </c>
      <c r="M193" s="112">
        <v>4.0000000000000001E-3</v>
      </c>
      <c r="N193" s="112">
        <v>1.6E-2</v>
      </c>
      <c r="O193" s="112">
        <v>1.9E-2</v>
      </c>
      <c r="P193" s="112">
        <v>2.3E-2</v>
      </c>
      <c r="Q193" s="85"/>
    </row>
    <row r="194" spans="2:17">
      <c r="F194" s="377"/>
      <c r="G194" s="377"/>
      <c r="H194" s="377"/>
      <c r="I194" s="377"/>
      <c r="J194" s="377"/>
    </row>
    <row r="195" spans="2:17">
      <c r="B195" s="106" t="s">
        <v>196</v>
      </c>
    </row>
    <row r="196" spans="2:17">
      <c r="B196" s="85"/>
      <c r="C196" s="98"/>
      <c r="D196" s="85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85"/>
    </row>
    <row r="197" spans="2:17">
      <c r="B197" s="9" t="s">
        <v>243</v>
      </c>
      <c r="E197" s="9">
        <f>SUM(E198,E200,E205,E210)</f>
        <v>13499.667568000001</v>
      </c>
      <c r="F197" s="9">
        <f t="shared" ref="F197:P197" si="145">SUM(F198,F200,F205,F210)</f>
        <v>12310.907705999998</v>
      </c>
      <c r="G197" s="9">
        <f t="shared" si="145"/>
        <v>14346.631382399995</v>
      </c>
      <c r="H197" s="9">
        <f t="shared" si="145"/>
        <v>16211.375076</v>
      </c>
      <c r="I197" s="137">
        <f t="shared" si="145"/>
        <v>14625.42483419</v>
      </c>
      <c r="J197" s="9">
        <f t="shared" si="145"/>
        <v>4588.8111818644002</v>
      </c>
      <c r="K197" s="9">
        <f t="shared" si="145"/>
        <v>19214.236016054401</v>
      </c>
      <c r="L197" s="9">
        <f t="shared" si="145"/>
        <v>19691.974512582354</v>
      </c>
      <c r="M197" s="9">
        <f t="shared" si="145"/>
        <v>20585.145589471253</v>
      </c>
      <c r="N197" s="9">
        <f t="shared" si="145"/>
        <v>21597.746605447392</v>
      </c>
      <c r="O197" s="9">
        <f t="shared" si="145"/>
        <v>22900.579800423893</v>
      </c>
      <c r="P197" s="9">
        <f t="shared" si="145"/>
        <v>24250.641849994994</v>
      </c>
    </row>
    <row r="198" spans="2:17">
      <c r="B198" s="9" t="s">
        <v>86</v>
      </c>
      <c r="C198" s="93" t="s">
        <v>172</v>
      </c>
      <c r="E198" s="9">
        <v>111.63900200000002</v>
      </c>
      <c r="F198" s="9">
        <v>233.57683400000002</v>
      </c>
      <c r="G198" s="9">
        <v>294.322</v>
      </c>
      <c r="H198" s="9">
        <v>42.71200000000001</v>
      </c>
      <c r="I198" s="83">
        <v>79.997</v>
      </c>
      <c r="J198" s="9">
        <f>J84*J199</f>
        <v>29.349548701298705</v>
      </c>
      <c r="K198" s="9">
        <f>SUM(I198:J198)</f>
        <v>109.3465487012987</v>
      </c>
      <c r="L198" s="9">
        <f>L84*L199</f>
        <v>245.60253694799889</v>
      </c>
      <c r="M198" s="9">
        <f>M84*M199</f>
        <v>260.91872919894746</v>
      </c>
      <c r="N198" s="9">
        <f>N84*N199</f>
        <v>277.81454813258546</v>
      </c>
      <c r="O198" s="9">
        <f>O84*O199</f>
        <v>296.82360003775153</v>
      </c>
      <c r="P198" s="9">
        <f>P84*P199</f>
        <v>318.54119344051372</v>
      </c>
    </row>
    <row r="199" spans="2:17">
      <c r="B199" s="89" t="s">
        <v>212</v>
      </c>
      <c r="C199" s="93" t="s">
        <v>179</v>
      </c>
      <c r="E199" s="10">
        <f>E198/E84</f>
        <v>5.2917601268835128E-3</v>
      </c>
      <c r="F199" s="10">
        <f>F198/F84</f>
        <v>1.1121639157991617E-2</v>
      </c>
      <c r="G199" s="10">
        <f>G198/G84</f>
        <v>1.1939318131677833E-2</v>
      </c>
      <c r="H199" s="10">
        <f t="shared" ref="H199:I199" si="146">H198/H84</f>
        <v>1.5928308254999667E-3</v>
      </c>
      <c r="I199" s="119">
        <f t="shared" si="146"/>
        <v>3.484051155272676E-3</v>
      </c>
      <c r="J199" s="10">
        <f>I199</f>
        <v>3.484051155272676E-3</v>
      </c>
      <c r="K199" s="120">
        <f>J199</f>
        <v>3.484051155272676E-3</v>
      </c>
      <c r="L199" s="120">
        <v>6.7660744785889007E-3</v>
      </c>
      <c r="M199" s="120">
        <v>6.7660744785889007E-3</v>
      </c>
      <c r="N199" s="120">
        <v>6.7660744785889015E-3</v>
      </c>
      <c r="O199" s="120">
        <v>6.7660744785889007E-3</v>
      </c>
      <c r="P199" s="120">
        <f>O199</f>
        <v>6.7660744785889007E-3</v>
      </c>
    </row>
    <row r="200" spans="2:17">
      <c r="B200" s="9" t="s">
        <v>79</v>
      </c>
      <c r="C200" s="93" t="s">
        <v>172</v>
      </c>
      <c r="E200" s="9">
        <v>8236.1577670000006</v>
      </c>
      <c r="F200" s="9">
        <v>8739.2622809999993</v>
      </c>
      <c r="G200" s="9">
        <v>9441.7234759999974</v>
      </c>
      <c r="H200" s="9">
        <v>9865.5976890000002</v>
      </c>
      <c r="I200" s="83">
        <v>7631.2562610000004</v>
      </c>
      <c r="J200" s="9">
        <f>J201*J203/4</f>
        <v>2799.7790827694812</v>
      </c>
      <c r="K200" s="9">
        <f>SUM(I200:J200)</f>
        <v>10431.035343769481</v>
      </c>
      <c r="L200" s="9">
        <f t="shared" ref="L200:P200" si="147">L201*L203</f>
        <v>12064.322398071821</v>
      </c>
      <c r="M200" s="9">
        <f t="shared" si="147"/>
        <v>12816.674077832427</v>
      </c>
      <c r="N200" s="9">
        <f t="shared" si="147"/>
        <v>13646.619115566351</v>
      </c>
      <c r="O200" s="9">
        <f t="shared" si="147"/>
        <v>14580.368959991456</v>
      </c>
      <c r="P200" s="9">
        <f t="shared" si="147"/>
        <v>15647.165955564165</v>
      </c>
    </row>
    <row r="201" spans="2:17">
      <c r="B201" s="89" t="s">
        <v>239</v>
      </c>
      <c r="C201" s="93" t="s">
        <v>175</v>
      </c>
      <c r="E201" s="9">
        <f t="shared" ref="E201:P201" si="148">E90</f>
        <v>192</v>
      </c>
      <c r="F201" s="9">
        <f t="shared" si="148"/>
        <v>201</v>
      </c>
      <c r="G201" s="9">
        <f t="shared" si="148"/>
        <v>202</v>
      </c>
      <c r="H201" s="9">
        <f t="shared" si="148"/>
        <v>212.17305318031444</v>
      </c>
      <c r="I201" s="83">
        <f t="shared" si="148"/>
        <v>205.33333333333331</v>
      </c>
      <c r="J201" s="9">
        <f t="shared" si="148"/>
        <v>226</v>
      </c>
      <c r="K201" s="9">
        <f t="shared" si="148"/>
        <v>226</v>
      </c>
      <c r="L201" s="9">
        <f t="shared" si="148"/>
        <v>235</v>
      </c>
      <c r="M201" s="9">
        <f t="shared" si="148"/>
        <v>245</v>
      </c>
      <c r="N201" s="9">
        <f t="shared" si="148"/>
        <v>255</v>
      </c>
      <c r="O201" s="9">
        <f t="shared" si="148"/>
        <v>264</v>
      </c>
      <c r="P201" s="9">
        <f t="shared" si="148"/>
        <v>274</v>
      </c>
    </row>
    <row r="202" spans="2:17">
      <c r="B202" s="82" t="s">
        <v>176</v>
      </c>
      <c r="C202" s="93" t="s">
        <v>175</v>
      </c>
      <c r="F202" s="9">
        <f>F201-E201</f>
        <v>9</v>
      </c>
      <c r="G202" s="9">
        <f>G201-F201</f>
        <v>1</v>
      </c>
      <c r="H202" s="9">
        <f>H201-G201</f>
        <v>10.17305318031444</v>
      </c>
      <c r="I202" s="83">
        <f>I201-H201</f>
        <v>-6.8397198469811258</v>
      </c>
      <c r="K202" s="9">
        <f>K201-H201</f>
        <v>13.82694681968556</v>
      </c>
      <c r="L202" s="9">
        <f>L201-K201</f>
        <v>9</v>
      </c>
      <c r="M202" s="9">
        <f t="shared" ref="M202:P202" si="149">M201-L201</f>
        <v>10</v>
      </c>
      <c r="N202" s="9">
        <f t="shared" si="149"/>
        <v>10</v>
      </c>
      <c r="O202" s="9">
        <f t="shared" si="149"/>
        <v>9</v>
      </c>
      <c r="P202" s="9">
        <f t="shared" si="149"/>
        <v>10</v>
      </c>
    </row>
    <row r="203" spans="2:17">
      <c r="B203" s="89" t="s">
        <v>240</v>
      </c>
      <c r="C203" s="93" t="s">
        <v>172</v>
      </c>
      <c r="E203" s="127">
        <f>E200/E201</f>
        <v>42.896655036458334</v>
      </c>
      <c r="F203" s="127">
        <f t="shared" ref="F203:H203" si="150">F200/F201</f>
        <v>43.47891682089552</v>
      </c>
      <c r="G203" s="127">
        <f t="shared" si="150"/>
        <v>46.741205326732661</v>
      </c>
      <c r="H203" s="127">
        <f t="shared" si="150"/>
        <v>46.497882464913019</v>
      </c>
      <c r="I203" s="128">
        <f>I200*4/3/I201</f>
        <v>49.553612084415597</v>
      </c>
      <c r="J203" s="127">
        <f>I203</f>
        <v>49.553612084415597</v>
      </c>
      <c r="K203" s="138">
        <f>J203</f>
        <v>49.553612084415597</v>
      </c>
      <c r="L203" s="138">
        <f>K203*(1+L204)</f>
        <v>51.337542119454561</v>
      </c>
      <c r="M203" s="138">
        <f t="shared" ref="M203:P203" si="151">L203*(1+M204)</f>
        <v>52.31295541972419</v>
      </c>
      <c r="N203" s="138">
        <f t="shared" si="151"/>
        <v>53.516153394377845</v>
      </c>
      <c r="O203" s="138">
        <f t="shared" si="151"/>
        <v>55.228670302997941</v>
      </c>
      <c r="P203" s="138">
        <f t="shared" si="151"/>
        <v>57.106445093299875</v>
      </c>
    </row>
    <row r="204" spans="2:17">
      <c r="B204" s="82" t="s">
        <v>178</v>
      </c>
      <c r="C204" s="93" t="s">
        <v>179</v>
      </c>
      <c r="F204" s="10">
        <f>F203/E203-1</f>
        <v>1.3573594116891297E-2</v>
      </c>
      <c r="G204" s="10">
        <f>G203/F203-1</f>
        <v>7.5031503642917663E-2</v>
      </c>
      <c r="H204" s="10">
        <f>H203/G203-1</f>
        <v>-5.205746409805978E-3</v>
      </c>
      <c r="I204" s="83"/>
      <c r="K204" s="130">
        <f>K203/H203-1</f>
        <v>6.5717608147175532E-2</v>
      </c>
      <c r="L204" s="130">
        <v>3.6000000000000004E-2</v>
      </c>
      <c r="M204" s="130">
        <v>1.9E-2</v>
      </c>
      <c r="N204" s="130">
        <v>2.3E-2</v>
      </c>
      <c r="O204" s="130">
        <v>3.2000000000000001E-2</v>
      </c>
      <c r="P204" s="130">
        <v>3.4000000000000002E-2</v>
      </c>
    </row>
    <row r="205" spans="2:17">
      <c r="B205" s="9" t="s">
        <v>87</v>
      </c>
      <c r="C205" s="93" t="s">
        <v>172</v>
      </c>
      <c r="E205" s="9">
        <v>4026.3235159999999</v>
      </c>
      <c r="F205" s="9">
        <v>2277.9950509999999</v>
      </c>
      <c r="G205" s="9">
        <v>3540.5798239999995</v>
      </c>
      <c r="H205" s="9">
        <v>5410.6928349999998</v>
      </c>
      <c r="I205" s="83">
        <v>6188.0034089999999</v>
      </c>
      <c r="J205" s="9">
        <f>J206*J208/4</f>
        <v>1517.6264956636196</v>
      </c>
      <c r="K205" s="9">
        <f>SUM(I205:J205)</f>
        <v>7705.6299046636195</v>
      </c>
      <c r="L205" s="9">
        <f t="shared" ref="L205:P205" si="152">L206*L208</f>
        <v>6398.3337711398126</v>
      </c>
      <c r="M205" s="9">
        <f t="shared" si="152"/>
        <v>6519.9021127914684</v>
      </c>
      <c r="N205" s="9">
        <f t="shared" si="152"/>
        <v>6669.8598613856711</v>
      </c>
      <c r="O205" s="9">
        <f t="shared" si="152"/>
        <v>7000.8685515050065</v>
      </c>
      <c r="P205" s="9">
        <f t="shared" si="152"/>
        <v>7238.8980822561771</v>
      </c>
    </row>
    <row r="206" spans="2:17">
      <c r="B206" s="89" t="s">
        <v>190</v>
      </c>
      <c r="C206" s="93" t="s">
        <v>175</v>
      </c>
      <c r="E206" s="9">
        <f t="shared" ref="E206:P206" si="153">E92</f>
        <v>34.22091666666666</v>
      </c>
      <c r="F206" s="377">
        <f t="shared" si="153"/>
        <v>22.577083333333331</v>
      </c>
      <c r="G206" s="377">
        <f t="shared" si="153"/>
        <v>36.569083333333317</v>
      </c>
      <c r="H206" s="377">
        <f t="shared" si="153"/>
        <v>54</v>
      </c>
      <c r="I206" s="378">
        <f t="shared" si="153"/>
        <v>78.211444444444439</v>
      </c>
      <c r="J206" s="377">
        <f t="shared" si="153"/>
        <v>57.544777777777767</v>
      </c>
      <c r="K206" s="377">
        <f t="shared" si="153"/>
        <v>57.544777777777767</v>
      </c>
      <c r="L206" s="377">
        <f t="shared" si="153"/>
        <v>58.544777777777767</v>
      </c>
      <c r="M206" s="377">
        <f t="shared" si="153"/>
        <v>58.544777777777767</v>
      </c>
      <c r="N206" s="9">
        <f t="shared" si="153"/>
        <v>58.544777777777767</v>
      </c>
      <c r="O206" s="9">
        <f t="shared" si="153"/>
        <v>59.544777777777767</v>
      </c>
      <c r="P206" s="9">
        <f t="shared" si="153"/>
        <v>59.544777777777767</v>
      </c>
    </row>
    <row r="207" spans="2:17">
      <c r="B207" s="82" t="s">
        <v>176</v>
      </c>
      <c r="C207" s="93" t="s">
        <v>175</v>
      </c>
      <c r="F207" s="377">
        <f>F206-E206</f>
        <v>-11.64383333333333</v>
      </c>
      <c r="G207" s="377">
        <f>G206-F206</f>
        <v>13.991999999999987</v>
      </c>
      <c r="H207" s="377">
        <f>H206-G206</f>
        <v>17.430916666666683</v>
      </c>
      <c r="I207" s="378">
        <f>I206-H206</f>
        <v>24.211444444444439</v>
      </c>
      <c r="J207" s="377"/>
      <c r="K207" s="377">
        <f>K206-H206</f>
        <v>3.5447777777777674</v>
      </c>
      <c r="L207" s="377">
        <f>L206-K206</f>
        <v>1</v>
      </c>
      <c r="M207" s="377">
        <f t="shared" ref="M207:P207" si="154">M206-L206</f>
        <v>0</v>
      </c>
      <c r="N207" s="9">
        <f t="shared" si="154"/>
        <v>0</v>
      </c>
      <c r="O207" s="9">
        <f t="shared" si="154"/>
        <v>1</v>
      </c>
      <c r="P207" s="9">
        <f t="shared" si="154"/>
        <v>0</v>
      </c>
    </row>
    <row r="208" spans="2:17">
      <c r="B208" s="89" t="s">
        <v>242</v>
      </c>
      <c r="C208" s="93" t="s">
        <v>172</v>
      </c>
      <c r="E208" s="127">
        <f>E205/E206</f>
        <v>117.65679906295128</v>
      </c>
      <c r="F208" s="390">
        <f t="shared" ref="F208:H208" si="155">F205/F206</f>
        <v>100.89855351850143</v>
      </c>
      <c r="G208" s="390">
        <f t="shared" si="155"/>
        <v>96.818938329053026</v>
      </c>
      <c r="H208" s="390">
        <f t="shared" si="155"/>
        <v>100.19801546296296</v>
      </c>
      <c r="I208" s="391">
        <f>I205*4/3/I206</f>
        <v>105.49186593607358</v>
      </c>
      <c r="J208" s="377">
        <f>I208</f>
        <v>105.49186593607358</v>
      </c>
      <c r="K208" s="403">
        <f>J208</f>
        <v>105.49186593607358</v>
      </c>
      <c r="L208" s="403">
        <f>K208*(1+L209)</f>
        <v>109.28957310977223</v>
      </c>
      <c r="M208" s="403">
        <f t="shared" ref="M208:P208" si="156">L208*(1+M209)</f>
        <v>111.3660749988579</v>
      </c>
      <c r="N208" s="138">
        <f t="shared" si="156"/>
        <v>113.92749472383161</v>
      </c>
      <c r="O208" s="138">
        <f t="shared" si="156"/>
        <v>117.57317455499422</v>
      </c>
      <c r="P208" s="138">
        <f t="shared" si="156"/>
        <v>121.57066248986403</v>
      </c>
    </row>
    <row r="209" spans="2:17">
      <c r="B209" s="82" t="s">
        <v>178</v>
      </c>
      <c r="C209" s="93" t="s">
        <v>179</v>
      </c>
      <c r="F209" s="144">
        <f>F208/E208-1</f>
        <v>-0.14243329478548439</v>
      </c>
      <c r="G209" s="144">
        <f>G208/F208-1</f>
        <v>-4.0432841177453938E-2</v>
      </c>
      <c r="H209" s="144"/>
      <c r="I209" s="378"/>
      <c r="J209" s="377"/>
      <c r="K209" s="148">
        <f>K208/H208-1</f>
        <v>5.2833885468195119E-2</v>
      </c>
      <c r="L209" s="148">
        <v>3.6000000000000004E-2</v>
      </c>
      <c r="M209" s="148">
        <v>1.9E-2</v>
      </c>
      <c r="N209" s="130">
        <v>2.3E-2</v>
      </c>
      <c r="O209" s="130">
        <v>3.2000000000000001E-2</v>
      </c>
      <c r="P209" s="130">
        <v>3.4000000000000002E-2</v>
      </c>
    </row>
    <row r="210" spans="2:17">
      <c r="B210" s="9" t="s">
        <v>83</v>
      </c>
      <c r="C210" s="93" t="s">
        <v>172</v>
      </c>
      <c r="E210" s="9">
        <v>1125.5472829999999</v>
      </c>
      <c r="F210" s="377">
        <v>1060.0735399999999</v>
      </c>
      <c r="G210" s="377">
        <v>1070.0060824</v>
      </c>
      <c r="H210" s="377">
        <v>892.37255200000004</v>
      </c>
      <c r="I210" s="378">
        <f>K210*3/4</f>
        <v>726.16816418999997</v>
      </c>
      <c r="J210" s="377">
        <f>K210-I210</f>
        <v>242.05605473000003</v>
      </c>
      <c r="K210" s="377">
        <f>H210*(1+K211)</f>
        <v>968.22421892</v>
      </c>
      <c r="L210" s="377">
        <f>K210*(1+L211)</f>
        <v>983.71580642271999</v>
      </c>
      <c r="M210" s="377">
        <f t="shared" ref="M210:P210" si="157">L210*(1+M211)</f>
        <v>987.65066964841083</v>
      </c>
      <c r="N210" s="9">
        <f t="shared" si="157"/>
        <v>1003.4530803627854</v>
      </c>
      <c r="O210" s="9">
        <f t="shared" si="157"/>
        <v>1022.5186888896782</v>
      </c>
      <c r="P210" s="9">
        <f t="shared" si="157"/>
        <v>1046.0366187341406</v>
      </c>
    </row>
    <row r="211" spans="2:17">
      <c r="B211" s="108" t="s">
        <v>178</v>
      </c>
      <c r="C211" s="98" t="s">
        <v>179</v>
      </c>
      <c r="D211" s="85"/>
      <c r="E211" s="85"/>
      <c r="F211" s="388">
        <f>F210/E210-1</f>
        <v>-5.8170584202813957E-2</v>
      </c>
      <c r="G211" s="388">
        <f>G210/F210-1</f>
        <v>9.3696729757071218E-3</v>
      </c>
      <c r="H211" s="388">
        <f>H210/G210-1</f>
        <v>-0.16601170154245459</v>
      </c>
      <c r="I211" s="401"/>
      <c r="J211" s="383"/>
      <c r="K211" s="389">
        <v>8.5000000000000006E-2</v>
      </c>
      <c r="L211" s="389">
        <v>1.6E-2</v>
      </c>
      <c r="M211" s="389">
        <v>4.0000000000000001E-3</v>
      </c>
      <c r="N211" s="112">
        <v>1.6E-2</v>
      </c>
      <c r="O211" s="112">
        <v>1.9E-2</v>
      </c>
      <c r="P211" s="112">
        <v>2.3E-2</v>
      </c>
      <c r="Q211" s="85"/>
    </row>
    <row r="212" spans="2:17">
      <c r="F212" s="377"/>
      <c r="G212" s="377"/>
      <c r="H212" s="377"/>
      <c r="I212" s="377"/>
      <c r="J212" s="377"/>
      <c r="K212" s="377"/>
      <c r="L212" s="377"/>
      <c r="M212" s="377"/>
    </row>
    <row r="213" spans="2:17">
      <c r="B213" s="16" t="s">
        <v>204</v>
      </c>
      <c r="F213" s="377"/>
      <c r="G213" s="377"/>
      <c r="H213" s="377"/>
      <c r="I213" s="377"/>
      <c r="J213" s="377"/>
      <c r="K213" s="377"/>
      <c r="L213" s="377"/>
      <c r="M213" s="377"/>
    </row>
    <row r="214" spans="2:17">
      <c r="B214" s="85"/>
      <c r="C214" s="98"/>
      <c r="D214" s="85"/>
      <c r="E214" s="133"/>
      <c r="F214" s="393"/>
      <c r="G214" s="393"/>
      <c r="H214" s="393"/>
      <c r="I214" s="393"/>
      <c r="J214" s="393"/>
      <c r="K214" s="393"/>
      <c r="L214" s="393"/>
      <c r="M214" s="393"/>
      <c r="N214" s="133"/>
      <c r="O214" s="133"/>
      <c r="P214" s="133"/>
      <c r="Q214" s="85"/>
    </row>
    <row r="215" spans="2:17">
      <c r="B215" s="9" t="s">
        <v>244</v>
      </c>
      <c r="E215" s="9">
        <f>SUM(E216,E221,E226,E228)</f>
        <v>63546.208602000006</v>
      </c>
      <c r="F215" s="377">
        <f t="shared" ref="F215:P215" si="158">SUM(F216,F221,F226,F228)</f>
        <v>78564.932503757591</v>
      </c>
      <c r="G215" s="377">
        <f t="shared" si="158"/>
        <v>91595.182718009804</v>
      </c>
      <c r="H215" s="377">
        <f t="shared" si="158"/>
        <v>116233.43213762679</v>
      </c>
      <c r="I215" s="402">
        <f t="shared" si="158"/>
        <v>90117.846817283324</v>
      </c>
      <c r="J215" s="377">
        <f t="shared" si="158"/>
        <v>32220.480293847599</v>
      </c>
      <c r="K215" s="377">
        <f>SUM(K216,K221,K226,K228)</f>
        <v>122338.32711113096</v>
      </c>
      <c r="L215" s="377">
        <f t="shared" si="158"/>
        <v>149922.99816584957</v>
      </c>
      <c r="M215" s="377">
        <f t="shared" si="158"/>
        <v>168466.09660703497</v>
      </c>
      <c r="N215" s="9">
        <f t="shared" si="158"/>
        <v>188254.55585053292</v>
      </c>
      <c r="O215" s="9">
        <f t="shared" si="158"/>
        <v>210875.53294810152</v>
      </c>
      <c r="P215" s="9">
        <f t="shared" si="158"/>
        <v>235357.38339774721</v>
      </c>
    </row>
    <row r="216" spans="2:17">
      <c r="B216" s="9" t="s">
        <v>86</v>
      </c>
      <c r="C216" s="93" t="s">
        <v>172</v>
      </c>
      <c r="E216" s="9">
        <v>54775.034585000001</v>
      </c>
      <c r="F216" s="377">
        <v>69457.887401000015</v>
      </c>
      <c r="G216" s="377">
        <v>81720.108701649588</v>
      </c>
      <c r="H216" s="377">
        <v>103099.53509004629</v>
      </c>
      <c r="I216" s="378">
        <v>80154.344906454397</v>
      </c>
      <c r="J216" s="377">
        <f t="shared" ref="J216" si="159">J217+J219</f>
        <v>28721.408074824063</v>
      </c>
      <c r="K216" s="377">
        <f>K217+K219</f>
        <v>108875.75298127848</v>
      </c>
      <c r="L216" s="377">
        <f t="shared" ref="L216:P216" si="160">L217+L219</f>
        <v>134490.46885250573</v>
      </c>
      <c r="M216" s="377">
        <f t="shared" si="160"/>
        <v>151821.48762478121</v>
      </c>
      <c r="N216" s="9">
        <f t="shared" si="160"/>
        <v>171063.03034613264</v>
      </c>
      <c r="O216" s="9">
        <f t="shared" si="160"/>
        <v>192529.66049479676</v>
      </c>
      <c r="P216" s="9">
        <f t="shared" si="160"/>
        <v>216597.56838060747</v>
      </c>
    </row>
    <row r="217" spans="2:17">
      <c r="B217" s="89" t="s">
        <v>245</v>
      </c>
      <c r="C217" s="93" t="s">
        <v>172</v>
      </c>
      <c r="E217" s="9">
        <v>484.8</v>
      </c>
      <c r="F217" s="377">
        <v>521.80000000000007</v>
      </c>
      <c r="G217" s="377">
        <v>1073.05</v>
      </c>
      <c r="H217" s="377">
        <v>1606.6342104000003</v>
      </c>
      <c r="I217" s="378">
        <v>1222.7332844</v>
      </c>
      <c r="J217" s="377">
        <f>J103*J218</f>
        <v>407.57776146666657</v>
      </c>
      <c r="K217" s="377">
        <f>SUM(I217:J217)</f>
        <v>1630.3110458666665</v>
      </c>
      <c r="L217" s="377">
        <f>L103*L218</f>
        <v>2247.1392300703196</v>
      </c>
      <c r="M217" s="377">
        <f>M103*M218</f>
        <v>2769.2620301771585</v>
      </c>
      <c r="N217" s="9">
        <f>N103*N218</f>
        <v>3356.3455805747167</v>
      </c>
      <c r="O217" s="9">
        <f>O103*O218</f>
        <v>4012.259415658531</v>
      </c>
      <c r="P217" s="9">
        <f>P103*P218</f>
        <v>4741.8219194057738</v>
      </c>
    </row>
    <row r="218" spans="2:17">
      <c r="B218" s="82" t="s">
        <v>246</v>
      </c>
      <c r="C218" s="93" t="s">
        <v>179</v>
      </c>
      <c r="E218" s="10">
        <f>E217/E103</f>
        <v>0.05</v>
      </c>
      <c r="F218" s="144">
        <f>F217/F103</f>
        <v>5.000000000000001E-2</v>
      </c>
      <c r="G218" s="144">
        <f>G217/G103</f>
        <v>4.9999999999999996E-2</v>
      </c>
      <c r="H218" s="144">
        <f>H217/H103</f>
        <v>5.000000000000001E-2</v>
      </c>
      <c r="I218" s="149">
        <f>I217/I103</f>
        <v>0.05</v>
      </c>
      <c r="J218" s="144">
        <f>I218</f>
        <v>0.05</v>
      </c>
      <c r="K218" s="143">
        <f>J218</f>
        <v>0.05</v>
      </c>
      <c r="L218" s="143">
        <f>K218</f>
        <v>0.05</v>
      </c>
      <c r="M218" s="143">
        <f t="shared" ref="M218:P218" si="161">L218</f>
        <v>0.05</v>
      </c>
      <c r="N218" s="120">
        <f t="shared" si="161"/>
        <v>0.05</v>
      </c>
      <c r="O218" s="120">
        <f t="shared" si="161"/>
        <v>0.05</v>
      </c>
      <c r="P218" s="120">
        <f t="shared" si="161"/>
        <v>0.05</v>
      </c>
    </row>
    <row r="219" spans="2:17">
      <c r="B219" s="89" t="s">
        <v>247</v>
      </c>
      <c r="C219" s="93" t="s">
        <v>172</v>
      </c>
      <c r="E219" s="9">
        <f>E216-E217</f>
        <v>54290.234584999998</v>
      </c>
      <c r="F219" s="377">
        <v>68936.087401000012</v>
      </c>
      <c r="G219" s="377">
        <v>80647.058701649599</v>
      </c>
      <c r="H219" s="377">
        <v>101492.90087964629</v>
      </c>
      <c r="I219" s="378">
        <v>78931.611622054406</v>
      </c>
      <c r="J219" s="377">
        <f t="shared" ref="J219:P219" si="162">J102*J220</f>
        <v>28313.830313357397</v>
      </c>
      <c r="K219" s="377">
        <f t="shared" si="162"/>
        <v>107245.44193541181</v>
      </c>
      <c r="L219" s="377">
        <f t="shared" si="162"/>
        <v>132243.32962243541</v>
      </c>
      <c r="M219" s="377">
        <f t="shared" si="162"/>
        <v>149052.22559460404</v>
      </c>
      <c r="N219" s="9">
        <f t="shared" si="162"/>
        <v>167706.68476555793</v>
      </c>
      <c r="O219" s="9">
        <f t="shared" si="162"/>
        <v>188517.40107913822</v>
      </c>
      <c r="P219" s="9">
        <f t="shared" si="162"/>
        <v>211855.74646120169</v>
      </c>
    </row>
    <row r="220" spans="2:17">
      <c r="B220" s="82" t="s">
        <v>248</v>
      </c>
      <c r="C220" s="93" t="s">
        <v>179</v>
      </c>
      <c r="D220" s="37">
        <v>5.0000000000000001E-3</v>
      </c>
      <c r="E220" s="10">
        <f>E219/E102</f>
        <v>0.71805124350655036</v>
      </c>
      <c r="F220" s="144">
        <f>F219/F102</f>
        <v>0.74666579280321388</v>
      </c>
      <c r="G220" s="144">
        <f>G219/G102</f>
        <v>0.75471966274759572</v>
      </c>
      <c r="H220" s="144">
        <f t="shared" ref="H220:I220" si="163">H219/H102</f>
        <v>0.75943809175900345</v>
      </c>
      <c r="I220" s="149">
        <f t="shared" si="163"/>
        <v>0.78596668777434497</v>
      </c>
      <c r="J220" s="144">
        <f>I220</f>
        <v>0.78596668777434497</v>
      </c>
      <c r="K220" s="143">
        <f>J220</f>
        <v>0.78596668777434497</v>
      </c>
      <c r="L220" s="143">
        <f>K220-$D220</f>
        <v>0.78096668777434497</v>
      </c>
      <c r="M220" s="143">
        <f t="shared" ref="M220:P220" si="164">L220-$D220</f>
        <v>0.77596668777434497</v>
      </c>
      <c r="N220" s="120">
        <f t="shared" si="164"/>
        <v>0.77096668777434496</v>
      </c>
      <c r="O220" s="120">
        <f t="shared" si="164"/>
        <v>0.76596668777434496</v>
      </c>
      <c r="P220" s="120">
        <f t="shared" si="164"/>
        <v>0.76096668777434495</v>
      </c>
    </row>
    <row r="221" spans="2:17">
      <c r="B221" s="9" t="s">
        <v>79</v>
      </c>
      <c r="C221" s="93" t="s">
        <v>172</v>
      </c>
      <c r="E221" s="9">
        <v>2375.9195790000003</v>
      </c>
      <c r="F221" s="377">
        <v>2569.7182096969714</v>
      </c>
      <c r="G221" s="377">
        <v>3027.9131521926161</v>
      </c>
      <c r="H221" s="377">
        <v>2879.4606535700004</v>
      </c>
      <c r="I221" s="378">
        <v>2378.5846799999995</v>
      </c>
      <c r="J221" s="377">
        <f>J222*J224/4</f>
        <v>792.86155999999994</v>
      </c>
      <c r="K221" s="377">
        <f>K222*K224</f>
        <v>3171.4462399999998</v>
      </c>
      <c r="L221" s="377">
        <f t="shared" ref="L221:P221" si="165">L222*L224</f>
        <v>3680.635417813387</v>
      </c>
      <c r="M221" s="377">
        <f t="shared" si="165"/>
        <v>4375.6620725438142</v>
      </c>
      <c r="N221" s="9">
        <f t="shared" si="165"/>
        <v>4476.3023002123218</v>
      </c>
      <c r="O221" s="9">
        <f t="shared" si="165"/>
        <v>5279.4788272218475</v>
      </c>
      <c r="P221" s="9">
        <f t="shared" si="165"/>
        <v>5458.9811073473902</v>
      </c>
    </row>
    <row r="222" spans="2:17">
      <c r="B222" s="89" t="s">
        <v>239</v>
      </c>
      <c r="C222" s="93" t="s">
        <v>175</v>
      </c>
      <c r="D222" s="136">
        <f>G222/G102</f>
        <v>5.614982182100275E-5</v>
      </c>
      <c r="F222" s="377"/>
      <c r="G222" s="377">
        <v>6</v>
      </c>
      <c r="H222" s="377">
        <v>6</v>
      </c>
      <c r="I222" s="378">
        <v>5.3560615464466821</v>
      </c>
      <c r="J222" s="377">
        <f>I222</f>
        <v>5.3560615464466821</v>
      </c>
      <c r="K222" s="377">
        <f>J222</f>
        <v>5.3560615464466821</v>
      </c>
      <c r="L222" s="377">
        <v>6</v>
      </c>
      <c r="M222" s="377">
        <v>7</v>
      </c>
      <c r="N222" s="9">
        <v>7</v>
      </c>
      <c r="O222" s="9">
        <v>8</v>
      </c>
      <c r="P222" s="9">
        <f>O222</f>
        <v>8</v>
      </c>
    </row>
    <row r="223" spans="2:17">
      <c r="B223" s="82" t="s">
        <v>176</v>
      </c>
      <c r="C223" s="93" t="s">
        <v>175</v>
      </c>
      <c r="F223" s="377"/>
      <c r="G223" s="377"/>
      <c r="H223" s="377">
        <f>H222-G222</f>
        <v>0</v>
      </c>
      <c r="I223" s="378">
        <f>I222-H222</f>
        <v>-0.64393845355331791</v>
      </c>
      <c r="J223" s="377"/>
      <c r="K223" s="377">
        <f>K222-H222</f>
        <v>-0.64393845355331791</v>
      </c>
      <c r="L223" s="377">
        <f>L222-K222</f>
        <v>0.64393845355331791</v>
      </c>
      <c r="M223" s="377">
        <f t="shared" ref="M223:P223" si="166">M222-L222</f>
        <v>1</v>
      </c>
      <c r="N223" s="9">
        <f t="shared" si="166"/>
        <v>0</v>
      </c>
      <c r="O223" s="9">
        <f t="shared" si="166"/>
        <v>1</v>
      </c>
      <c r="P223" s="9">
        <f t="shared" si="166"/>
        <v>0</v>
      </c>
    </row>
    <row r="224" spans="2:17">
      <c r="B224" s="89" t="s">
        <v>240</v>
      </c>
      <c r="C224" s="93" t="s">
        <v>172</v>
      </c>
      <c r="F224" s="377"/>
      <c r="G224" s="390">
        <f>G221/G222</f>
        <v>504.65219203210268</v>
      </c>
      <c r="H224" s="390">
        <f>H221/H222</f>
        <v>479.91010892833339</v>
      </c>
      <c r="I224" s="378">
        <f>I221*4/3/I222</f>
        <v>592.12281496354353</v>
      </c>
      <c r="J224" s="377">
        <f>I224</f>
        <v>592.12281496354353</v>
      </c>
      <c r="K224" s="403">
        <f>J224</f>
        <v>592.12281496354353</v>
      </c>
      <c r="L224" s="403">
        <f>K224*(1+L225)</f>
        <v>613.43923630223117</v>
      </c>
      <c r="M224" s="403">
        <f t="shared" ref="M224:P224" si="167">L224*(1+M225)</f>
        <v>625.0945817919735</v>
      </c>
      <c r="N224" s="138">
        <f t="shared" si="167"/>
        <v>639.47175717318885</v>
      </c>
      <c r="O224" s="138">
        <f t="shared" si="167"/>
        <v>659.93485340273094</v>
      </c>
      <c r="P224" s="138">
        <f t="shared" si="167"/>
        <v>682.37263841842378</v>
      </c>
    </row>
    <row r="225" spans="2:17">
      <c r="B225" s="82" t="s">
        <v>178</v>
      </c>
      <c r="C225" s="93" t="s">
        <v>179</v>
      </c>
      <c r="F225" s="377"/>
      <c r="G225" s="377"/>
      <c r="H225" s="377"/>
      <c r="I225" s="378"/>
      <c r="J225" s="377"/>
      <c r="K225" s="148">
        <f>K224/H224-1</f>
        <v>0.23382025914350391</v>
      </c>
      <c r="L225" s="148">
        <v>3.6000000000000004E-2</v>
      </c>
      <c r="M225" s="148">
        <v>1.9E-2</v>
      </c>
      <c r="N225" s="130">
        <v>2.3E-2</v>
      </c>
      <c r="O225" s="130">
        <v>3.2000000000000001E-2</v>
      </c>
      <c r="P225" s="130">
        <v>3.4000000000000002E-2</v>
      </c>
    </row>
    <row r="226" spans="2:17">
      <c r="B226" s="9" t="s">
        <v>87</v>
      </c>
      <c r="C226" s="93" t="s">
        <v>249</v>
      </c>
      <c r="E226" s="9">
        <v>5544.7820089999996</v>
      </c>
      <c r="F226" s="377">
        <v>5272.0158449999999</v>
      </c>
      <c r="G226" s="377">
        <v>5966.0550516607991</v>
      </c>
      <c r="H226" s="377">
        <v>9547.464847818499</v>
      </c>
      <c r="I226" s="378">
        <v>7009.6191351152002</v>
      </c>
      <c r="J226" s="377">
        <f t="shared" ref="J226:P226" si="168">J102*J227</f>
        <v>2514.4446271189554</v>
      </c>
      <c r="K226" s="377">
        <f t="shared" si="168"/>
        <v>9524.0637622341565</v>
      </c>
      <c r="L226" s="377">
        <f t="shared" si="168"/>
        <v>10972.556741870256</v>
      </c>
      <c r="M226" s="377">
        <f t="shared" si="168"/>
        <v>11486.492407435084</v>
      </c>
      <c r="N226" s="9">
        <f t="shared" si="168"/>
        <v>11920.249429876709</v>
      </c>
      <c r="O226" s="9">
        <f t="shared" si="168"/>
        <v>12256.315350059776</v>
      </c>
      <c r="P226" s="9">
        <f t="shared" si="168"/>
        <v>12472.123833420665</v>
      </c>
    </row>
    <row r="227" spans="2:17">
      <c r="B227" s="89" t="s">
        <v>212</v>
      </c>
      <c r="C227" s="93" t="s">
        <v>179</v>
      </c>
      <c r="D227" s="37">
        <v>5.0000000000000001E-3</v>
      </c>
      <c r="E227" s="10">
        <f>E226/E102</f>
        <v>7.3336165278520285E-2</v>
      </c>
      <c r="F227" s="144">
        <f>F226/F102</f>
        <v>5.7102658984399042E-2</v>
      </c>
      <c r="G227" s="144">
        <f>G226/G102</f>
        <v>5.5832154687507872E-2</v>
      </c>
      <c r="H227" s="144">
        <f t="shared" ref="H227:I227" si="169">H226/H102</f>
        <v>7.144054827796853E-2</v>
      </c>
      <c r="I227" s="149">
        <f t="shared" si="169"/>
        <v>6.9798741226345273E-2</v>
      </c>
      <c r="J227" s="144">
        <f>I227</f>
        <v>6.9798741226345273E-2</v>
      </c>
      <c r="K227" s="143">
        <f>J227</f>
        <v>6.9798741226345273E-2</v>
      </c>
      <c r="L227" s="143">
        <f>K227-$D227</f>
        <v>6.4798741226345269E-2</v>
      </c>
      <c r="M227" s="143">
        <f t="shared" ref="M227:P227" si="170">L227-$D227</f>
        <v>5.9798741226345271E-2</v>
      </c>
      <c r="N227" s="120">
        <f t="shared" si="170"/>
        <v>5.4798741226345274E-2</v>
      </c>
      <c r="O227" s="120">
        <f t="shared" si="170"/>
        <v>4.9798741226345276E-2</v>
      </c>
      <c r="P227" s="120">
        <f t="shared" si="170"/>
        <v>4.4798741226345279E-2</v>
      </c>
    </row>
    <row r="228" spans="2:17">
      <c r="B228" s="9" t="s">
        <v>83</v>
      </c>
      <c r="C228" s="93" t="s">
        <v>249</v>
      </c>
      <c r="E228" s="9">
        <v>850.47242899999992</v>
      </c>
      <c r="F228" s="377">
        <v>1265.3110480606031</v>
      </c>
      <c r="G228" s="377">
        <v>881.10581250680013</v>
      </c>
      <c r="H228" s="377">
        <v>706.97154619200012</v>
      </c>
      <c r="I228" s="378">
        <f>K228*3/4</f>
        <v>575.29809571374005</v>
      </c>
      <c r="J228" s="377">
        <f>K228-I228</f>
        <v>191.76603190458002</v>
      </c>
      <c r="K228" s="377">
        <f>H228*(1+K229)</f>
        <v>767.06412761832007</v>
      </c>
      <c r="L228" s="377">
        <f>K228*(1+L229)</f>
        <v>779.33715366021318</v>
      </c>
      <c r="M228" s="377">
        <f t="shared" ref="M228:P228" si="171">L228*(1+M229)</f>
        <v>782.45450227485401</v>
      </c>
      <c r="N228" s="9">
        <f t="shared" si="171"/>
        <v>794.97377431125165</v>
      </c>
      <c r="O228" s="9">
        <f t="shared" si="171"/>
        <v>810.07827602316536</v>
      </c>
      <c r="P228" s="9">
        <f t="shared" si="171"/>
        <v>828.71007637169805</v>
      </c>
    </row>
    <row r="229" spans="2:17">
      <c r="B229" s="108" t="s">
        <v>178</v>
      </c>
      <c r="C229" s="98" t="s">
        <v>179</v>
      </c>
      <c r="D229" s="85"/>
      <c r="E229" s="85"/>
      <c r="F229" s="388">
        <f>F228/E228-1</f>
        <v>0.48777432979029967</v>
      </c>
      <c r="G229" s="388">
        <f>G228/F228-1</f>
        <v>-0.30364489122472371</v>
      </c>
      <c r="H229" s="388"/>
      <c r="I229" s="384"/>
      <c r="J229" s="383"/>
      <c r="K229" s="389">
        <v>8.5000000000000006E-2</v>
      </c>
      <c r="L229" s="389">
        <v>1.6E-2</v>
      </c>
      <c r="M229" s="389">
        <v>4.0000000000000001E-3</v>
      </c>
      <c r="N229" s="112">
        <v>1.6E-2</v>
      </c>
      <c r="O229" s="112">
        <v>1.9E-2</v>
      </c>
      <c r="P229" s="112">
        <v>2.3E-2</v>
      </c>
      <c r="Q229" s="85"/>
    </row>
    <row r="230" spans="2:17">
      <c r="F230" s="377"/>
      <c r="G230" s="377"/>
      <c r="H230" s="377"/>
      <c r="I230" s="377"/>
      <c r="J230" s="377"/>
      <c r="K230" s="377"/>
      <c r="L230" s="377"/>
      <c r="M230" s="377"/>
    </row>
    <row r="231" spans="2:17">
      <c r="B231" s="16" t="s">
        <v>250</v>
      </c>
      <c r="F231" s="377"/>
      <c r="G231" s="377"/>
      <c r="H231" s="377"/>
      <c r="I231" s="377"/>
      <c r="J231" s="377"/>
      <c r="K231" s="377"/>
      <c r="L231" s="377"/>
      <c r="M231" s="377"/>
    </row>
    <row r="232" spans="2:17">
      <c r="B232" s="85"/>
      <c r="C232" s="98"/>
      <c r="D232" s="85"/>
      <c r="E232" s="133"/>
      <c r="F232" s="393"/>
      <c r="G232" s="393"/>
      <c r="H232" s="393"/>
      <c r="I232" s="393"/>
      <c r="J232" s="393"/>
      <c r="K232" s="393"/>
      <c r="L232" s="393"/>
      <c r="M232" s="393"/>
      <c r="N232" s="133"/>
      <c r="O232" s="133"/>
      <c r="P232" s="133"/>
      <c r="Q232" s="85"/>
    </row>
    <row r="233" spans="2:17">
      <c r="B233" s="9" t="s">
        <v>251</v>
      </c>
      <c r="E233" s="9">
        <f t="shared" ref="E233:P233" si="172">SUM(E234,E236,E244,E246)</f>
        <v>1315.187402</v>
      </c>
      <c r="F233" s="377">
        <f t="shared" si="172"/>
        <v>4169.5660838188132</v>
      </c>
      <c r="G233" s="377">
        <f t="shared" si="172"/>
        <v>5069.2694305943623</v>
      </c>
      <c r="H233" s="377">
        <f t="shared" si="172"/>
        <v>8114.1928657198878</v>
      </c>
      <c r="I233" s="402">
        <f t="shared" si="172"/>
        <v>7314.9519914212087</v>
      </c>
      <c r="J233" s="377">
        <f t="shared" si="172"/>
        <v>3426.1694164737369</v>
      </c>
      <c r="K233" s="377">
        <f t="shared" si="172"/>
        <v>10741.121407894945</v>
      </c>
      <c r="L233" s="377">
        <f t="shared" si="172"/>
        <v>19207.577802746142</v>
      </c>
      <c r="M233" s="377">
        <f t="shared" si="172"/>
        <v>29929.032357174216</v>
      </c>
      <c r="N233" s="9">
        <f t="shared" si="172"/>
        <v>44658.208515612932</v>
      </c>
      <c r="O233" s="9">
        <f t="shared" si="172"/>
        <v>64987.545947218816</v>
      </c>
      <c r="P233" s="9">
        <f t="shared" si="172"/>
        <v>93306.631895912753</v>
      </c>
    </row>
    <row r="234" spans="2:17">
      <c r="B234" s="9" t="s">
        <v>86</v>
      </c>
      <c r="C234" s="93" t="s">
        <v>172</v>
      </c>
      <c r="E234" s="9">
        <v>740.39192599999978</v>
      </c>
      <c r="F234" s="9">
        <v>2545.1908890000004</v>
      </c>
      <c r="G234" s="9">
        <v>3786.341985</v>
      </c>
      <c r="H234" s="9">
        <v>5672.9703229999996</v>
      </c>
      <c r="I234" s="83">
        <v>5535.5437889999994</v>
      </c>
      <c r="J234" s="9">
        <f>SUM(J117:J118)*J235</f>
        <v>1845.1812630000002</v>
      </c>
      <c r="K234" s="9">
        <f>SUM(I234:J234)</f>
        <v>7380.7250519999998</v>
      </c>
      <c r="L234" s="9">
        <f>SUM(L117:L118)*L235</f>
        <v>14511.896089702312</v>
      </c>
      <c r="M234" s="9">
        <f>SUM(M117:M118)*M235</f>
        <v>22618.990997528552</v>
      </c>
      <c r="N234" s="9">
        <f>SUM(N117:N118)*N235</f>
        <v>33795.58113156895</v>
      </c>
      <c r="O234" s="9">
        <f>SUM(O117:O118)*O235</f>
        <v>49228.023495845475</v>
      </c>
      <c r="P234" s="9">
        <f>SUM(P117:P118)*P235</f>
        <v>70801.412672550752</v>
      </c>
    </row>
    <row r="235" spans="2:17">
      <c r="B235" s="89" t="s">
        <v>212</v>
      </c>
      <c r="C235" s="93" t="s">
        <v>179</v>
      </c>
      <c r="D235" s="37">
        <v>5.0000000000000001E-3</v>
      </c>
      <c r="E235" s="10">
        <f>E234/SUM(E117:E118)</f>
        <v>0.46887538452823729</v>
      </c>
      <c r="F235" s="10">
        <f>F234/SUM(F117:F118)</f>
        <v>0.39332623953558743</v>
      </c>
      <c r="G235" s="10">
        <f>G234/SUM(G117:G118)</f>
        <v>0.48546833193860056</v>
      </c>
      <c r="H235" s="10">
        <f>H234/SUM(H117:H118)</f>
        <v>0.47971691623922513</v>
      </c>
      <c r="I235" s="119">
        <f>I234/SUM(I117:I118)</f>
        <v>0.51324867179616951</v>
      </c>
      <c r="J235" s="10">
        <f>I235</f>
        <v>0.51324867179616951</v>
      </c>
      <c r="K235" s="120">
        <f>J235</f>
        <v>0.51324867179616951</v>
      </c>
      <c r="L235" s="120">
        <f>K235-$D235</f>
        <v>0.5082486717961695</v>
      </c>
      <c r="M235" s="120">
        <f t="shared" ref="M235:P235" si="173">L235-$D235</f>
        <v>0.5032486717961695</v>
      </c>
      <c r="N235" s="120">
        <f t="shared" si="173"/>
        <v>0.4982486717961695</v>
      </c>
      <c r="O235" s="120">
        <f t="shared" si="173"/>
        <v>0.49324867179616949</v>
      </c>
      <c r="P235" s="120">
        <f t="shared" si="173"/>
        <v>0.48824867179616949</v>
      </c>
    </row>
    <row r="236" spans="2:17">
      <c r="B236" s="9" t="s">
        <v>79</v>
      </c>
      <c r="C236" s="93" t="s">
        <v>172</v>
      </c>
      <c r="E236" s="9">
        <v>301.61535300000003</v>
      </c>
      <c r="F236" s="9">
        <v>959.14423535426431</v>
      </c>
      <c r="G236" s="9">
        <v>922.49985503874075</v>
      </c>
      <c r="H236" s="9">
        <v>1537.1499569104135</v>
      </c>
      <c r="I236" s="83">
        <v>987.85208600000021</v>
      </c>
      <c r="J236" s="9">
        <f>J237*J242</f>
        <v>1317.136114666667</v>
      </c>
      <c r="K236" s="9">
        <f>SUM(I236:J236)</f>
        <v>2304.9882006666671</v>
      </c>
      <c r="L236" s="9">
        <f>L237*L242</f>
        <v>2861.848862258777</v>
      </c>
      <c r="M236" s="9">
        <f>M237*M242</f>
        <v>4719.1337996502298</v>
      </c>
      <c r="N236" s="9">
        <f>N237*N242</f>
        <v>7353.4992456708706</v>
      </c>
      <c r="O236" s="9">
        <f>O237*O242</f>
        <v>11152.710496489577</v>
      </c>
      <c r="P236" s="9">
        <f>P237*P242</f>
        <v>16592.458512407993</v>
      </c>
    </row>
    <row r="237" spans="2:17">
      <c r="B237" s="89" t="s">
        <v>239</v>
      </c>
      <c r="C237" s="93" t="s">
        <v>175</v>
      </c>
      <c r="D237" s="136"/>
      <c r="E237" s="9">
        <v>0</v>
      </c>
      <c r="F237" s="9">
        <v>0</v>
      </c>
      <c r="G237" s="9">
        <v>20</v>
      </c>
      <c r="H237" s="9">
        <v>20</v>
      </c>
      <c r="I237" s="83">
        <v>18.335019569299998</v>
      </c>
      <c r="J237" s="9">
        <f>I237</f>
        <v>18.335019569299998</v>
      </c>
      <c r="K237" s="9">
        <f>J237</f>
        <v>18.335019569299998</v>
      </c>
      <c r="L237" s="9">
        <f>L239/L240</f>
        <v>38.453657956110568</v>
      </c>
      <c r="M237" s="9">
        <f t="shared" ref="M237:P237" si="174">M239/M240</f>
        <v>62.22702973544213</v>
      </c>
      <c r="N237" s="9">
        <f t="shared" si="174"/>
        <v>94.784036344283095</v>
      </c>
      <c r="O237" s="9">
        <f t="shared" si="174"/>
        <v>139.2970369373723</v>
      </c>
      <c r="P237" s="9">
        <f t="shared" si="174"/>
        <v>200.42488874194902</v>
      </c>
    </row>
    <row r="238" spans="2:17">
      <c r="B238" s="82" t="s">
        <v>176</v>
      </c>
      <c r="C238" s="93" t="s">
        <v>175</v>
      </c>
      <c r="H238" s="9">
        <f>H237-G237</f>
        <v>0</v>
      </c>
      <c r="I238" s="83">
        <f>I237-H237</f>
        <v>-1.6649804307000018</v>
      </c>
      <c r="K238" s="9">
        <f>K237-H237</f>
        <v>-1.6649804307000018</v>
      </c>
      <c r="L238" s="9">
        <f>L237-K237</f>
        <v>20.11863838681057</v>
      </c>
      <c r="M238" s="9">
        <f t="shared" ref="M238:P238" si="175">M237-L237</f>
        <v>23.773371779331562</v>
      </c>
      <c r="N238" s="9">
        <f t="shared" si="175"/>
        <v>32.557006608840965</v>
      </c>
      <c r="O238" s="9">
        <f t="shared" si="175"/>
        <v>44.513000593089203</v>
      </c>
      <c r="P238" s="9">
        <f t="shared" si="175"/>
        <v>61.127851804576721</v>
      </c>
    </row>
    <row r="239" spans="2:17">
      <c r="B239" s="82" t="s">
        <v>252</v>
      </c>
      <c r="C239" s="93" t="s">
        <v>175</v>
      </c>
      <c r="G239" s="377">
        <f t="shared" ref="G239:K239" si="176">SUM(G121,G126)</f>
        <v>206</v>
      </c>
      <c r="H239" s="377">
        <f t="shared" si="176"/>
        <v>252</v>
      </c>
      <c r="I239" s="378">
        <f t="shared" si="176"/>
        <v>217</v>
      </c>
      <c r="J239" s="377">
        <f t="shared" si="176"/>
        <v>217</v>
      </c>
      <c r="K239" s="377">
        <f t="shared" si="176"/>
        <v>217</v>
      </c>
      <c r="L239" s="377">
        <f>SUM(L121,L126)</f>
        <v>461.93626361351573</v>
      </c>
      <c r="M239" s="377">
        <f t="shared" ref="M239:P239" si="177">SUM(M121,M126)</f>
        <v>765.46163082937721</v>
      </c>
      <c r="N239" s="377">
        <f t="shared" si="177"/>
        <v>1198.5955710695337</v>
      </c>
      <c r="O239" s="9">
        <f t="shared" si="177"/>
        <v>1810.8082423903938</v>
      </c>
      <c r="P239" s="9">
        <f t="shared" si="177"/>
        <v>2681.0049151075118</v>
      </c>
    </row>
    <row r="240" spans="2:17">
      <c r="B240" s="115" t="s">
        <v>253</v>
      </c>
      <c r="C240" s="93" t="s">
        <v>175</v>
      </c>
      <c r="G240" s="390">
        <f>G239/G237</f>
        <v>10.3</v>
      </c>
      <c r="H240" s="390">
        <f t="shared" ref="H240:K240" si="178">H239/H237</f>
        <v>12.6</v>
      </c>
      <c r="I240" s="391">
        <f t="shared" si="178"/>
        <v>11.83527506910017</v>
      </c>
      <c r="J240" s="390">
        <f t="shared" si="178"/>
        <v>11.83527506910017</v>
      </c>
      <c r="K240" s="390">
        <f t="shared" si="178"/>
        <v>11.83527506910017</v>
      </c>
      <c r="L240" s="390">
        <f>K240*(1+L241)</f>
        <v>12.012804195136672</v>
      </c>
      <c r="M240" s="390">
        <f t="shared" ref="M240:P240" si="179">L240*(1+M241)</f>
        <v>12.301111495819953</v>
      </c>
      <c r="N240" s="390">
        <f t="shared" si="179"/>
        <v>12.645542617702912</v>
      </c>
      <c r="O240" s="127">
        <f t="shared" si="179"/>
        <v>12.999617810998593</v>
      </c>
      <c r="P240" s="127">
        <f t="shared" si="179"/>
        <v>13.376606727517551</v>
      </c>
    </row>
    <row r="241" spans="2:17">
      <c r="B241" s="116" t="s">
        <v>178</v>
      </c>
      <c r="C241" s="93" t="s">
        <v>179</v>
      </c>
      <c r="G241" s="377"/>
      <c r="H241" s="377"/>
      <c r="I241" s="378"/>
      <c r="J241" s="377"/>
      <c r="K241" s="148">
        <f>K240/H240-1</f>
        <v>-6.0692454833319753E-2</v>
      </c>
      <c r="L241" s="148">
        <v>1.4999999999999999E-2</v>
      </c>
      <c r="M241" s="148">
        <v>2.4E-2</v>
      </c>
      <c r="N241" s="148">
        <v>2.7999999999999997E-2</v>
      </c>
      <c r="O241" s="130">
        <v>2.7999999999999997E-2</v>
      </c>
      <c r="P241" s="130">
        <v>2.8999999999999998E-2</v>
      </c>
    </row>
    <row r="242" spans="2:17">
      <c r="B242" s="89" t="s">
        <v>240</v>
      </c>
      <c r="C242" s="93" t="s">
        <v>172</v>
      </c>
      <c r="G242" s="390">
        <f>G236/G237</f>
        <v>46.124992751937036</v>
      </c>
      <c r="H242" s="390">
        <f>H236/H237</f>
        <v>76.857497845520669</v>
      </c>
      <c r="I242" s="378">
        <f>I236*4/3/I237</f>
        <v>71.837180739750536</v>
      </c>
      <c r="J242" s="377">
        <f>I242</f>
        <v>71.837180739750536</v>
      </c>
      <c r="K242" s="403">
        <f>J242</f>
        <v>71.837180739750536</v>
      </c>
      <c r="L242" s="403">
        <f>K242*(1+L243)</f>
        <v>74.423319246381553</v>
      </c>
      <c r="M242" s="403">
        <f t="shared" ref="M242:P242" si="180">L242*(1+M243)</f>
        <v>75.837362312062794</v>
      </c>
      <c r="N242" s="403">
        <f t="shared" si="180"/>
        <v>77.581621645240233</v>
      </c>
      <c r="O242" s="138">
        <f t="shared" si="180"/>
        <v>80.06423353788793</v>
      </c>
      <c r="P242" s="138">
        <f t="shared" si="180"/>
        <v>82.786417478176119</v>
      </c>
    </row>
    <row r="243" spans="2:17">
      <c r="B243" s="82" t="s">
        <v>178</v>
      </c>
      <c r="C243" s="93" t="s">
        <v>179</v>
      </c>
      <c r="G243" s="377"/>
      <c r="H243" s="377"/>
      <c r="I243" s="378"/>
      <c r="J243" s="377"/>
      <c r="K243" s="148">
        <f>K242/H242-1</f>
        <v>-6.5319809341968127E-2</v>
      </c>
      <c r="L243" s="148">
        <v>3.6000000000000004E-2</v>
      </c>
      <c r="M243" s="148">
        <v>1.9E-2</v>
      </c>
      <c r="N243" s="148">
        <v>2.3E-2</v>
      </c>
      <c r="O243" s="130">
        <v>3.2000000000000001E-2</v>
      </c>
      <c r="P243" s="130">
        <v>3.4000000000000002E-2</v>
      </c>
    </row>
    <row r="244" spans="2:17">
      <c r="B244" s="9" t="s">
        <v>87</v>
      </c>
      <c r="C244" s="93" t="s">
        <v>172</v>
      </c>
      <c r="E244" s="9">
        <v>0</v>
      </c>
      <c r="F244" s="9">
        <v>393.62856499999998</v>
      </c>
      <c r="G244" s="377">
        <v>280.99869900000004</v>
      </c>
      <c r="H244" s="377">
        <v>790.99667499999998</v>
      </c>
      <c r="I244" s="378">
        <v>699.54059400000006</v>
      </c>
      <c r="J244" s="377">
        <f>SUM(J117:J118)*J245</f>
        <v>233.18019800000005</v>
      </c>
      <c r="K244" s="377">
        <f>SUM(I244:J244)</f>
        <v>932.72079200000007</v>
      </c>
      <c r="L244" s="377">
        <f>SUM(L117:L118)*L245</f>
        <v>1709.1824897451224</v>
      </c>
      <c r="M244" s="377">
        <f>SUM(M117:M118)*M245</f>
        <v>2465.7585975113443</v>
      </c>
      <c r="N244" s="377">
        <f>SUM(N117:N118)*N245</f>
        <v>3381.9767924892699</v>
      </c>
      <c r="O244" s="9">
        <f>SUM(O117:O118)*O245</f>
        <v>4477.2447334281287</v>
      </c>
      <c r="P244" s="9">
        <f>SUM(P117:P118)*P245</f>
        <v>5780.2134434049131</v>
      </c>
    </row>
    <row r="245" spans="2:17">
      <c r="B245" s="89" t="s">
        <v>212</v>
      </c>
      <c r="C245" s="93" t="s">
        <v>179</v>
      </c>
      <c r="D245" s="37">
        <v>5.0000000000000001E-3</v>
      </c>
      <c r="F245" s="10">
        <f>F244/SUM(F117:F118)</f>
        <v>6.0830189167489002E-2</v>
      </c>
      <c r="G245" s="144">
        <f>G244/SUM(G117:G118)</f>
        <v>3.6028433306044043E-2</v>
      </c>
      <c r="H245" s="144">
        <f t="shared" ref="H245:I245" si="181">H244/SUM(H117:H118)</f>
        <v>6.6888149255435583E-2</v>
      </c>
      <c r="I245" s="149">
        <f t="shared" si="181"/>
        <v>6.486052579901351E-2</v>
      </c>
      <c r="J245" s="144">
        <f>I245</f>
        <v>6.486052579901351E-2</v>
      </c>
      <c r="K245" s="143">
        <f>J245</f>
        <v>6.486052579901351E-2</v>
      </c>
      <c r="L245" s="143">
        <f>K245-$D245</f>
        <v>5.9860525799013513E-2</v>
      </c>
      <c r="M245" s="143">
        <f t="shared" ref="M245:P245" si="182">L245-$D245</f>
        <v>5.4860525799013515E-2</v>
      </c>
      <c r="N245" s="143">
        <f t="shared" si="182"/>
        <v>4.9860525799013518E-2</v>
      </c>
      <c r="O245" s="120">
        <f t="shared" si="182"/>
        <v>4.486052579901352E-2</v>
      </c>
      <c r="P245" s="120">
        <f t="shared" si="182"/>
        <v>3.9860525799013523E-2</v>
      </c>
    </row>
    <row r="246" spans="2:17">
      <c r="B246" s="9" t="s">
        <v>83</v>
      </c>
      <c r="C246" s="93" t="s">
        <v>171</v>
      </c>
      <c r="E246" s="9">
        <v>273.18012299999998</v>
      </c>
      <c r="F246" s="9">
        <v>271.60239446454835</v>
      </c>
      <c r="G246" s="377">
        <v>79.428891555621703</v>
      </c>
      <c r="H246" s="377">
        <v>113.075910809474</v>
      </c>
      <c r="I246" s="378">
        <f>K246*3/4</f>
        <v>92.015522421209454</v>
      </c>
      <c r="J246" s="377">
        <f>K246-I246</f>
        <v>30.671840807069827</v>
      </c>
      <c r="K246" s="377">
        <f>H246*(1+K247)</f>
        <v>122.68736322827928</v>
      </c>
      <c r="L246" s="377">
        <f>K246*(1+L247)</f>
        <v>124.65036103993175</v>
      </c>
      <c r="M246" s="377">
        <f t="shared" ref="M246:P246" si="183">L246*(1+M247)</f>
        <v>125.14896248409148</v>
      </c>
      <c r="N246" s="377">
        <f t="shared" si="183"/>
        <v>127.15134588383695</v>
      </c>
      <c r="O246" s="9">
        <f t="shared" si="183"/>
        <v>129.56722145562983</v>
      </c>
      <c r="P246" s="9">
        <f t="shared" si="183"/>
        <v>132.54726754910931</v>
      </c>
    </row>
    <row r="247" spans="2:17">
      <c r="B247" s="108" t="s">
        <v>178</v>
      </c>
      <c r="C247" s="98" t="s">
        <v>181</v>
      </c>
      <c r="D247" s="85"/>
      <c r="E247" s="85"/>
      <c r="F247" s="107">
        <f>F246/E246-1</f>
        <v>-5.7754148366483404E-3</v>
      </c>
      <c r="G247" s="388">
        <f>G246/F246-1</f>
        <v>-0.70755452391275075</v>
      </c>
      <c r="H247" s="388">
        <f>H246/G246-1</f>
        <v>0.42361184444189659</v>
      </c>
      <c r="I247" s="384"/>
      <c r="J247" s="383"/>
      <c r="K247" s="389">
        <v>8.5000000000000006E-2</v>
      </c>
      <c r="L247" s="389">
        <v>1.6E-2</v>
      </c>
      <c r="M247" s="389">
        <v>4.0000000000000001E-3</v>
      </c>
      <c r="N247" s="389">
        <v>1.6E-2</v>
      </c>
      <c r="O247" s="112">
        <v>1.9E-2</v>
      </c>
      <c r="P247" s="112">
        <v>2.3E-2</v>
      </c>
      <c r="Q247" s="85"/>
    </row>
    <row r="248" spans="2:17">
      <c r="G248" s="377"/>
      <c r="H248" s="377"/>
      <c r="I248" s="377"/>
      <c r="J248" s="377"/>
      <c r="K248" s="377"/>
      <c r="L248" s="377"/>
      <c r="M248" s="377"/>
      <c r="N248" s="377"/>
    </row>
    <row r="249" spans="2:17">
      <c r="B249" s="16" t="s">
        <v>254</v>
      </c>
      <c r="G249" s="377"/>
      <c r="H249" s="377"/>
      <c r="I249" s="377"/>
      <c r="J249" s="377"/>
      <c r="K249" s="377"/>
      <c r="L249" s="377"/>
      <c r="M249" s="377"/>
      <c r="N249" s="377"/>
    </row>
    <row r="250" spans="2:17">
      <c r="B250" s="85"/>
      <c r="C250" s="98"/>
      <c r="D250" s="85"/>
      <c r="E250" s="133"/>
      <c r="F250" s="133"/>
      <c r="G250" s="393"/>
      <c r="H250" s="393"/>
      <c r="I250" s="393"/>
      <c r="J250" s="393"/>
      <c r="K250" s="393"/>
      <c r="L250" s="393"/>
      <c r="M250" s="393"/>
      <c r="N250" s="393"/>
      <c r="O250" s="133"/>
      <c r="P250" s="133"/>
      <c r="Q250" s="85"/>
    </row>
    <row r="251" spans="2:17">
      <c r="B251" s="9" t="s">
        <v>255</v>
      </c>
      <c r="E251" s="9">
        <f t="shared" ref="E251:P251" si="184">SUM(E252,E254,E260,E262)</f>
        <v>11639.073413000002</v>
      </c>
      <c r="F251" s="9">
        <f t="shared" si="184"/>
        <v>14117.811208223367</v>
      </c>
      <c r="G251" s="377">
        <f t="shared" si="184"/>
        <v>13828.581972485305</v>
      </c>
      <c r="H251" s="377">
        <f t="shared" si="184"/>
        <v>13805.493753285422</v>
      </c>
      <c r="I251" s="402">
        <f t="shared" si="184"/>
        <v>10036.268307197846</v>
      </c>
      <c r="J251" s="377">
        <f t="shared" si="184"/>
        <v>3345.4227690659491</v>
      </c>
      <c r="K251" s="377">
        <f t="shared" si="184"/>
        <v>13381.691076263798</v>
      </c>
      <c r="L251" s="377">
        <f t="shared" si="184"/>
        <v>13955.782091226751</v>
      </c>
      <c r="M251" s="377">
        <f t="shared" si="184"/>
        <v>14353.965953098588</v>
      </c>
      <c r="N251" s="377">
        <f t="shared" si="184"/>
        <v>14776.525154265335</v>
      </c>
      <c r="O251" s="9">
        <f t="shared" si="184"/>
        <v>15281.721393796941</v>
      </c>
      <c r="P251" s="9">
        <f t="shared" si="184"/>
        <v>15815.760850865458</v>
      </c>
    </row>
    <row r="252" spans="2:17">
      <c r="B252" s="9" t="s">
        <v>86</v>
      </c>
      <c r="C252" s="93" t="s">
        <v>172</v>
      </c>
      <c r="E252" s="9">
        <v>3138.0224159999998</v>
      </c>
      <c r="F252" s="9">
        <v>4526.7417080000005</v>
      </c>
      <c r="G252" s="377">
        <v>4748.6390149999997</v>
      </c>
      <c r="H252" s="377">
        <v>5334.0111509999997</v>
      </c>
      <c r="I252" s="378">
        <v>3732.037859</v>
      </c>
      <c r="J252" s="377">
        <f>J119*J253</f>
        <v>1244.0126196666668</v>
      </c>
      <c r="K252" s="377">
        <f>SUM(I252:J252)</f>
        <v>4976.050478666667</v>
      </c>
      <c r="L252" s="377">
        <f>L119*L253</f>
        <v>5128.8668648662824</v>
      </c>
      <c r="M252" s="377">
        <f>M119*M253</f>
        <v>5284.5247634891921</v>
      </c>
      <c r="N252" s="377">
        <f>N119*N253</f>
        <v>5442.9262848122271</v>
      </c>
      <c r="O252" s="9">
        <f>O119*O253</f>
        <v>5603.9566463588435</v>
      </c>
      <c r="P252" s="9">
        <f>P119*P253</f>
        <v>5767.4827283480899</v>
      </c>
    </row>
    <row r="253" spans="2:17">
      <c r="B253" s="89" t="s">
        <v>212</v>
      </c>
      <c r="C253" s="93" t="s">
        <v>179</v>
      </c>
      <c r="D253" s="37">
        <v>5.0000000000000001E-3</v>
      </c>
      <c r="E253" s="10">
        <f>E252/E119</f>
        <v>0.17454628607037581</v>
      </c>
      <c r="F253" s="10">
        <f>F252/F134</f>
        <v>0.26501308061795481</v>
      </c>
      <c r="G253" s="144">
        <f>G252/G134</f>
        <v>0.25860476098465962</v>
      </c>
      <c r="H253" s="144">
        <f>H252/H134</f>
        <v>0.29199927755114091</v>
      </c>
      <c r="I253" s="149">
        <f>I252/I134</f>
        <v>0.27216706109660416</v>
      </c>
      <c r="J253" s="144">
        <f>I253</f>
        <v>0.27216706109660416</v>
      </c>
      <c r="K253" s="143">
        <f>J253</f>
        <v>0.27216706109660416</v>
      </c>
      <c r="L253" s="143">
        <f>K253-$D253</f>
        <v>0.26716706109660415</v>
      </c>
      <c r="M253" s="143">
        <f t="shared" ref="M253:P253" si="185">L253-$D253</f>
        <v>0.26216706109660415</v>
      </c>
      <c r="N253" s="143">
        <f t="shared" si="185"/>
        <v>0.25716706109660414</v>
      </c>
      <c r="O253" s="120">
        <f t="shared" si="185"/>
        <v>0.25216706109660414</v>
      </c>
      <c r="P253" s="120">
        <f t="shared" si="185"/>
        <v>0.24716706109660413</v>
      </c>
    </row>
    <row r="254" spans="2:17">
      <c r="B254" s="9" t="s">
        <v>79</v>
      </c>
      <c r="C254" s="93" t="s">
        <v>172</v>
      </c>
      <c r="E254" s="9">
        <v>5039.7353969999995</v>
      </c>
      <c r="F254" s="9">
        <v>6409.422789524795</v>
      </c>
      <c r="G254" s="377">
        <v>6444.3853154908047</v>
      </c>
      <c r="H254" s="377">
        <v>6478.4570242348573</v>
      </c>
      <c r="I254" s="378">
        <v>4907.3158159999994</v>
      </c>
      <c r="J254" s="377">
        <f>J255*J258/4</f>
        <v>1635.7719386666665</v>
      </c>
      <c r="K254" s="377">
        <f>SUM(I254:J254)</f>
        <v>6543.0877546666661</v>
      </c>
      <c r="L254" s="377">
        <f>L255*L258</f>
        <v>7012.3850832772441</v>
      </c>
      <c r="M254" s="377">
        <f>M255*M258</f>
        <v>7327.0521678246942</v>
      </c>
      <c r="N254" s="377">
        <f>N255*N258</f>
        <v>7655.9854922849163</v>
      </c>
      <c r="O254" s="9">
        <f>O255*O258</f>
        <v>8070.0640850583022</v>
      </c>
      <c r="P254" s="9">
        <f>P255*P258</f>
        <v>8514.7410856635597</v>
      </c>
    </row>
    <row r="255" spans="2:17">
      <c r="B255" s="89" t="s">
        <v>239</v>
      </c>
      <c r="C255" s="93" t="s">
        <v>175</v>
      </c>
      <c r="D255" s="139"/>
      <c r="E255" s="9">
        <v>0</v>
      </c>
      <c r="F255" s="9">
        <v>0</v>
      </c>
      <c r="G255" s="9">
        <v>12</v>
      </c>
      <c r="H255" s="9">
        <v>11.412307802842095</v>
      </c>
      <c r="I255" s="83">
        <v>10.421352096803712</v>
      </c>
      <c r="J255" s="9">
        <f>I255</f>
        <v>10.421352096803712</v>
      </c>
      <c r="K255" s="9">
        <f>J255</f>
        <v>10.421352096803712</v>
      </c>
      <c r="L255" s="9">
        <f>L119/L256</f>
        <v>10.780709065659016</v>
      </c>
      <c r="M255" s="9">
        <f t="shared" ref="M255:P255" si="186">M119/M256</f>
        <v>11.054438006779264</v>
      </c>
      <c r="N255" s="9">
        <f t="shared" si="186"/>
        <v>11.291011582799833</v>
      </c>
      <c r="O255" s="9">
        <f t="shared" si="186"/>
        <v>11.532648017451191</v>
      </c>
      <c r="P255" s="9">
        <f t="shared" si="186"/>
        <v>11.768008181072647</v>
      </c>
    </row>
    <row r="256" spans="2:17">
      <c r="B256" s="82" t="s">
        <v>256</v>
      </c>
      <c r="C256" s="93" t="s">
        <v>172</v>
      </c>
      <c r="G256" s="9">
        <f>G119/G255</f>
        <v>1530.2112629710662</v>
      </c>
      <c r="H256" s="9">
        <f>H119/H255</f>
        <v>1600.6584283595628</v>
      </c>
      <c r="I256" s="83">
        <f>I119*4/3/I255</f>
        <v>1754.3859649122808</v>
      </c>
      <c r="J256" s="9">
        <f>I256</f>
        <v>1754.3859649122808</v>
      </c>
      <c r="K256" s="9">
        <f>J256</f>
        <v>1754.3859649122808</v>
      </c>
      <c r="L256" s="9">
        <f>K256*(1+L257)</f>
        <v>1780.7017543859647</v>
      </c>
      <c r="M256" s="9">
        <f t="shared" ref="M256:P256" si="187">L256*(1+M257)</f>
        <v>1823.4385964912278</v>
      </c>
      <c r="N256" s="9">
        <f t="shared" si="187"/>
        <v>1874.4948771929824</v>
      </c>
      <c r="O256" s="9">
        <f t="shared" si="187"/>
        <v>1926.9807337543859</v>
      </c>
      <c r="P256" s="9">
        <f t="shared" si="187"/>
        <v>1982.8631750332629</v>
      </c>
    </row>
    <row r="257" spans="2:17">
      <c r="B257" s="115" t="s">
        <v>178</v>
      </c>
      <c r="C257" s="93" t="s">
        <v>179</v>
      </c>
      <c r="H257" s="37">
        <f>H256/G256-1</f>
        <v>4.6037542065737957E-2</v>
      </c>
      <c r="I257" s="126">
        <f>I256/H256-1</f>
        <v>9.6040188105757096E-2</v>
      </c>
      <c r="K257" s="130">
        <f>K256/H256-1</f>
        <v>9.6040188105757096E-2</v>
      </c>
      <c r="L257" s="130">
        <v>1.4999999999999999E-2</v>
      </c>
      <c r="M257" s="130">
        <v>2.4E-2</v>
      </c>
      <c r="N257" s="130">
        <v>2.7999999999999997E-2</v>
      </c>
      <c r="O257" s="130">
        <v>2.7999999999999997E-2</v>
      </c>
      <c r="P257" s="130">
        <v>2.8999999999999998E-2</v>
      </c>
    </row>
    <row r="258" spans="2:17">
      <c r="B258" s="89" t="s">
        <v>240</v>
      </c>
      <c r="C258" s="93" t="s">
        <v>172</v>
      </c>
      <c r="G258" s="9">
        <f>G254/G255</f>
        <v>537.03210962423373</v>
      </c>
      <c r="H258" s="9">
        <f>H254/H255</f>
        <v>567.67282622901894</v>
      </c>
      <c r="I258" s="83">
        <f>I254*4/3/I255</f>
        <v>627.85401490018444</v>
      </c>
      <c r="J258" s="9">
        <f>I258</f>
        <v>627.85401490018444</v>
      </c>
      <c r="K258" s="138">
        <f>J258</f>
        <v>627.85401490018444</v>
      </c>
      <c r="L258" s="138">
        <f>K258*(1+L259)</f>
        <v>650.45675943659114</v>
      </c>
      <c r="M258" s="138">
        <f t="shared" ref="M258:P258" si="188">L258*(1+M259)</f>
        <v>662.81543786588634</v>
      </c>
      <c r="N258" s="138">
        <f t="shared" si="188"/>
        <v>678.06019293680163</v>
      </c>
      <c r="O258" s="138">
        <f t="shared" si="188"/>
        <v>699.75811911077926</v>
      </c>
      <c r="P258" s="138">
        <f t="shared" si="188"/>
        <v>723.54989516054582</v>
      </c>
    </row>
    <row r="259" spans="2:17">
      <c r="B259" s="82" t="s">
        <v>178</v>
      </c>
      <c r="C259" s="93" t="s">
        <v>179</v>
      </c>
      <c r="I259" s="83"/>
      <c r="K259" s="130">
        <f>K258/H258-1</f>
        <v>0.1060138620179194</v>
      </c>
      <c r="L259" s="130">
        <v>3.6000000000000004E-2</v>
      </c>
      <c r="M259" s="130">
        <v>1.9E-2</v>
      </c>
      <c r="N259" s="130">
        <v>2.3E-2</v>
      </c>
      <c r="O259" s="130">
        <v>3.2000000000000001E-2</v>
      </c>
      <c r="P259" s="130">
        <v>3.4000000000000002E-2</v>
      </c>
    </row>
    <row r="260" spans="2:17">
      <c r="B260" s="9" t="s">
        <v>87</v>
      </c>
      <c r="C260" s="93" t="s">
        <v>172</v>
      </c>
      <c r="E260" s="9">
        <v>1249.602983</v>
      </c>
      <c r="F260" s="9">
        <v>436.77159499999993</v>
      </c>
      <c r="G260" s="377">
        <v>736.78605399999992</v>
      </c>
      <c r="H260" s="377">
        <v>768.73161599999992</v>
      </c>
      <c r="I260" s="378">
        <v>400.64542057920005</v>
      </c>
      <c r="J260" s="377">
        <f>J119*J261</f>
        <v>133.54847352640002</v>
      </c>
      <c r="K260" s="377">
        <f>SUM(I260:J260)</f>
        <v>534.19389410560007</v>
      </c>
      <c r="L260" s="377">
        <f>L119*L261</f>
        <v>464.91745107716173</v>
      </c>
      <c r="M260" s="377">
        <f>M119*M261</f>
        <v>387.3778790106154</v>
      </c>
      <c r="N260" s="9">
        <f>N119*N261</f>
        <v>300.92205610972161</v>
      </c>
      <c r="O260" s="9">
        <f>O119*O261</f>
        <v>204.8522062212119</v>
      </c>
      <c r="P260" s="9">
        <f>P119*P261</f>
        <v>98.423066203576909</v>
      </c>
    </row>
    <row r="261" spans="2:17">
      <c r="B261" s="89" t="s">
        <v>212</v>
      </c>
      <c r="C261" s="93" t="s">
        <v>179</v>
      </c>
      <c r="D261" s="37">
        <v>5.0000000000000001E-3</v>
      </c>
      <c r="E261" s="10">
        <f>E260/E119</f>
        <v>6.9506692696969241E-2</v>
      </c>
      <c r="F261" s="10">
        <f>F260/F119</f>
        <v>2.5570309371264813E-2</v>
      </c>
      <c r="G261" s="144">
        <f>G260/G119</f>
        <v>4.0124418973443592E-2</v>
      </c>
      <c r="H261" s="144">
        <f>H260/H119</f>
        <v>4.2082603531985202E-2</v>
      </c>
      <c r="I261" s="149">
        <f>I260/I119</f>
        <v>2.9217947614837904E-2</v>
      </c>
      <c r="J261" s="144">
        <f>I261</f>
        <v>2.9217947614837904E-2</v>
      </c>
      <c r="K261" s="143">
        <f>J261</f>
        <v>2.9217947614837904E-2</v>
      </c>
      <c r="L261" s="143">
        <f>K261-$D261</f>
        <v>2.4217947614837903E-2</v>
      </c>
      <c r="M261" s="143">
        <f t="shared" ref="M261:P261" si="189">L261-$D261</f>
        <v>1.9217947614837902E-2</v>
      </c>
      <c r="N261" s="120">
        <f t="shared" si="189"/>
        <v>1.4217947614837901E-2</v>
      </c>
      <c r="O261" s="120">
        <f t="shared" si="189"/>
        <v>9.2179476148379E-3</v>
      </c>
      <c r="P261" s="120">
        <f t="shared" si="189"/>
        <v>4.2179476148378999E-3</v>
      </c>
    </row>
    <row r="262" spans="2:17">
      <c r="B262" s="9" t="s">
        <v>83</v>
      </c>
      <c r="C262" s="93" t="s">
        <v>171</v>
      </c>
      <c r="E262" s="9">
        <v>2211.7126170000024</v>
      </c>
      <c r="F262" s="9">
        <v>2744.8751156985722</v>
      </c>
      <c r="G262" s="377">
        <v>1898.7715879945008</v>
      </c>
      <c r="H262" s="377">
        <v>1224.2939620505665</v>
      </c>
      <c r="I262" s="378">
        <f>K262*3/4</f>
        <v>996.26921161864857</v>
      </c>
      <c r="J262" s="377">
        <f>K262-I262</f>
        <v>332.08973720621611</v>
      </c>
      <c r="K262" s="377">
        <f>H262*(1+K263)</f>
        <v>1328.3589488248647</v>
      </c>
      <c r="L262" s="377">
        <f>K262*(1+L263)</f>
        <v>1349.6126920060626</v>
      </c>
      <c r="M262" s="377">
        <f t="shared" ref="M262:P262" si="190">L262*(1+M263)</f>
        <v>1355.0111427740869</v>
      </c>
      <c r="N262" s="9">
        <f t="shared" si="190"/>
        <v>1376.6913210584723</v>
      </c>
      <c r="O262" s="9">
        <f t="shared" si="190"/>
        <v>1402.8484561585831</v>
      </c>
      <c r="P262" s="9">
        <f t="shared" si="190"/>
        <v>1435.1139706502304</v>
      </c>
    </row>
    <row r="263" spans="2:17">
      <c r="B263" s="108" t="s">
        <v>178</v>
      </c>
      <c r="C263" s="98" t="s">
        <v>181</v>
      </c>
      <c r="D263" s="85"/>
      <c r="E263" s="85"/>
      <c r="F263" s="107">
        <f>F262/E262-1</f>
        <v>0.24106318994633158</v>
      </c>
      <c r="G263" s="388">
        <f>G262/F262-1</f>
        <v>-0.30824846014487539</v>
      </c>
      <c r="H263" s="388"/>
      <c r="I263" s="384"/>
      <c r="J263" s="383"/>
      <c r="K263" s="389">
        <v>8.5000000000000006E-2</v>
      </c>
      <c r="L263" s="389">
        <v>1.6E-2</v>
      </c>
      <c r="M263" s="389">
        <v>4.0000000000000001E-3</v>
      </c>
      <c r="N263" s="112">
        <v>1.6E-2</v>
      </c>
      <c r="O263" s="112">
        <v>1.9E-2</v>
      </c>
      <c r="P263" s="112">
        <v>2.3E-2</v>
      </c>
      <c r="Q263" s="85"/>
    </row>
    <row r="264" spans="2:17">
      <c r="G264" s="377"/>
      <c r="H264" s="377"/>
      <c r="I264" s="377"/>
      <c r="J264" s="377"/>
      <c r="K264" s="377"/>
      <c r="L264" s="377"/>
      <c r="M264" s="377"/>
    </row>
    <row r="265" spans="2:17">
      <c r="B265" s="16" t="s">
        <v>226</v>
      </c>
      <c r="G265" s="377"/>
      <c r="H265" s="377"/>
      <c r="I265" s="377"/>
      <c r="J265" s="377"/>
      <c r="K265" s="377"/>
      <c r="L265" s="377"/>
      <c r="M265" s="377"/>
    </row>
    <row r="266" spans="2:17">
      <c r="B266" s="85"/>
      <c r="C266" s="98"/>
      <c r="D266" s="85"/>
      <c r="E266" s="85"/>
      <c r="F266" s="85"/>
      <c r="G266" s="383"/>
      <c r="H266" s="383"/>
      <c r="I266" s="393"/>
      <c r="J266" s="393"/>
      <c r="K266" s="393"/>
      <c r="L266" s="393"/>
      <c r="M266" s="393"/>
      <c r="N266" s="133"/>
      <c r="O266" s="133"/>
      <c r="P266" s="133"/>
      <c r="Q266" s="85"/>
    </row>
    <row r="267" spans="2:17">
      <c r="B267" s="9" t="s">
        <v>257</v>
      </c>
      <c r="E267" s="9">
        <f>SUM(E268,E270,E275)</f>
        <v>0</v>
      </c>
      <c r="F267" s="9">
        <f t="shared" ref="F267:P267" si="191">SUM(F268,F270,F275)</f>
        <v>0</v>
      </c>
      <c r="G267" s="377">
        <f t="shared" si="191"/>
        <v>0</v>
      </c>
      <c r="H267" s="377">
        <f t="shared" si="191"/>
        <v>309.978478</v>
      </c>
      <c r="I267" s="402">
        <f t="shared" si="191"/>
        <v>282.55734029250004</v>
      </c>
      <c r="J267" s="377">
        <f t="shared" si="191"/>
        <v>94.185780097499986</v>
      </c>
      <c r="K267" s="377">
        <f t="shared" si="191"/>
        <v>376.74312039</v>
      </c>
      <c r="L267" s="377">
        <f t="shared" si="191"/>
        <v>1764.3978030908256</v>
      </c>
      <c r="M267" s="377">
        <f t="shared" si="191"/>
        <v>4183.1976117411259</v>
      </c>
      <c r="N267" s="9">
        <f t="shared" si="191"/>
        <v>6497.5247391116845</v>
      </c>
      <c r="O267" s="9">
        <f t="shared" si="191"/>
        <v>8913.0542614095375</v>
      </c>
      <c r="P267" s="9">
        <f t="shared" si="191"/>
        <v>11857.388222225232</v>
      </c>
    </row>
    <row r="268" spans="2:17">
      <c r="B268" s="9" t="s">
        <v>87</v>
      </c>
      <c r="E268" s="9">
        <v>0</v>
      </c>
      <c r="F268" s="9">
        <v>0</v>
      </c>
      <c r="G268" s="377">
        <v>0</v>
      </c>
      <c r="H268" s="377">
        <v>59.189701000000007</v>
      </c>
      <c r="I268" s="378">
        <v>40.690299000000003</v>
      </c>
      <c r="J268" s="377">
        <f>J139*J269</f>
        <v>13.563433</v>
      </c>
      <c r="K268" s="377">
        <f>SUM(I268:J268)</f>
        <v>54.253731999999999</v>
      </c>
      <c r="L268" s="377">
        <f>L139*L269</f>
        <v>810.08460081166754</v>
      </c>
      <c r="M268" s="377">
        <f>M139*M269</f>
        <v>2306.9281272854487</v>
      </c>
      <c r="N268" s="9">
        <f>N139*N269</f>
        <v>3861.1260989689526</v>
      </c>
      <c r="O268" s="9">
        <f>O139*O269</f>
        <v>5330.1866122837582</v>
      </c>
      <c r="P268" s="9">
        <f>P139*P269</f>
        <v>7077.0255198357836</v>
      </c>
    </row>
    <row r="269" spans="2:17">
      <c r="B269" s="89" t="s">
        <v>258</v>
      </c>
      <c r="D269" s="37">
        <v>5.0000000000000001E-3</v>
      </c>
      <c r="G269" s="377"/>
      <c r="H269" s="398">
        <f>H268/H139</f>
        <v>0.17073952096617631</v>
      </c>
      <c r="I269" s="404">
        <f>I268/I139</f>
        <v>0.39377709598851507</v>
      </c>
      <c r="J269" s="144">
        <f>I269</f>
        <v>0.39377709598851507</v>
      </c>
      <c r="K269" s="144">
        <f>J269</f>
        <v>0.39377709598851507</v>
      </c>
      <c r="L269" s="144">
        <f>K269-$D269</f>
        <v>0.38877709598851506</v>
      </c>
      <c r="M269" s="144">
        <f t="shared" ref="M269:P269" si="192">L269-$D269</f>
        <v>0.38377709598851506</v>
      </c>
      <c r="N269" s="10">
        <f t="shared" si="192"/>
        <v>0.37877709598851506</v>
      </c>
      <c r="O269" s="10">
        <f t="shared" si="192"/>
        <v>0.37377709598851505</v>
      </c>
      <c r="P269" s="10">
        <f t="shared" si="192"/>
        <v>0.36877709598851505</v>
      </c>
    </row>
    <row r="270" spans="2:17">
      <c r="B270" s="9" t="s">
        <v>79</v>
      </c>
      <c r="G270" s="377"/>
      <c r="H270" s="377">
        <v>36.512843000000004</v>
      </c>
      <c r="I270" s="378">
        <f>K270*3/4</f>
        <v>67.5</v>
      </c>
      <c r="J270" s="377">
        <f>K270-I270</f>
        <v>22.5</v>
      </c>
      <c r="K270" s="377">
        <f>K271*K273</f>
        <v>90</v>
      </c>
      <c r="L270" s="377">
        <f>L271*L273</f>
        <v>718.10398367491803</v>
      </c>
      <c r="M270" s="377">
        <f t="shared" ref="M270:P270" si="193">M271*M273</f>
        <v>1639.1154289770204</v>
      </c>
      <c r="N270" s="9">
        <f t="shared" si="193"/>
        <v>2395.4501197764171</v>
      </c>
      <c r="O270" s="9">
        <f t="shared" si="193"/>
        <v>3337.341106872504</v>
      </c>
      <c r="P270" s="9">
        <f t="shared" si="193"/>
        <v>4529.1890496643464</v>
      </c>
    </row>
    <row r="271" spans="2:17">
      <c r="B271" s="89" t="s">
        <v>239</v>
      </c>
      <c r="G271" s="377"/>
      <c r="H271" s="377"/>
      <c r="I271" s="378">
        <v>0.53423332127000001</v>
      </c>
      <c r="J271" s="377">
        <v>3</v>
      </c>
      <c r="K271" s="377">
        <f>J271</f>
        <v>3</v>
      </c>
      <c r="L271" s="377">
        <f>L143/L272</f>
        <v>23.105018779759266</v>
      </c>
      <c r="M271" s="377">
        <f t="shared" ref="M271:P271" si="194">M143/M272</f>
        <v>51.755242066660742</v>
      </c>
      <c r="N271" s="9">
        <f t="shared" si="194"/>
        <v>73.936060095229649</v>
      </c>
      <c r="O271" s="9">
        <f t="shared" si="194"/>
        <v>99.81368112856002</v>
      </c>
      <c r="P271" s="9">
        <f t="shared" si="194"/>
        <v>131.005456481235</v>
      </c>
    </row>
    <row r="272" spans="2:17">
      <c r="B272" s="82" t="s">
        <v>259</v>
      </c>
      <c r="G272" s="377"/>
      <c r="H272" s="377"/>
      <c r="I272" s="378">
        <f>I143/I271</f>
        <v>0</v>
      </c>
      <c r="J272" s="377">
        <f t="shared" ref="J272:K272" si="195">J143/J271</f>
        <v>0</v>
      </c>
      <c r="K272" s="390">
        <f t="shared" si="195"/>
        <v>10.82016</v>
      </c>
      <c r="L272" s="390">
        <f>K272</f>
        <v>10.82016</v>
      </c>
      <c r="M272" s="390">
        <f t="shared" ref="M272:P272" si="196">L272</f>
        <v>10.82016</v>
      </c>
      <c r="N272" s="127">
        <f t="shared" si="196"/>
        <v>10.82016</v>
      </c>
      <c r="O272" s="127">
        <f t="shared" si="196"/>
        <v>10.82016</v>
      </c>
      <c r="P272" s="127">
        <f t="shared" si="196"/>
        <v>10.82016</v>
      </c>
    </row>
    <row r="273" spans="2:17">
      <c r="B273" s="89" t="s">
        <v>240</v>
      </c>
      <c r="G273" s="377"/>
      <c r="H273" s="377"/>
      <c r="I273" s="378"/>
      <c r="J273" s="377"/>
      <c r="K273" s="377">
        <v>30</v>
      </c>
      <c r="L273" s="377">
        <f>K273*(1+L274)</f>
        <v>31.080000000000002</v>
      </c>
      <c r="M273" s="377">
        <f t="shared" ref="M273:P273" si="197">L273*(1+M274)</f>
        <v>31.67052</v>
      </c>
      <c r="N273" s="9">
        <f t="shared" si="197"/>
        <v>32.398941959999995</v>
      </c>
      <c r="O273" s="9">
        <f t="shared" si="197"/>
        <v>33.435708102719992</v>
      </c>
      <c r="P273" s="9">
        <f t="shared" si="197"/>
        <v>34.572522178212473</v>
      </c>
    </row>
    <row r="274" spans="2:17">
      <c r="B274" s="82" t="s">
        <v>178</v>
      </c>
      <c r="G274" s="377"/>
      <c r="H274" s="377"/>
      <c r="I274" s="378"/>
      <c r="J274" s="377"/>
      <c r="K274" s="377"/>
      <c r="L274" s="148">
        <v>3.6000000000000004E-2</v>
      </c>
      <c r="M274" s="148">
        <v>1.9E-2</v>
      </c>
      <c r="N274" s="130">
        <v>2.3E-2</v>
      </c>
      <c r="O274" s="130">
        <v>3.2000000000000001E-2</v>
      </c>
      <c r="P274" s="130">
        <v>3.4000000000000002E-2</v>
      </c>
    </row>
    <row r="275" spans="2:17">
      <c r="B275" s="9" t="s">
        <v>83</v>
      </c>
      <c r="G275" s="377"/>
      <c r="H275" s="377">
        <v>214.27593400000001</v>
      </c>
      <c r="I275" s="378">
        <f>K275*3/4</f>
        <v>174.36704129250001</v>
      </c>
      <c r="J275" s="377">
        <f>K275-I275</f>
        <v>58.122347097499983</v>
      </c>
      <c r="K275" s="385">
        <f>H275*(1+K276)</f>
        <v>232.48938838999999</v>
      </c>
      <c r="L275" s="385">
        <f>K275*(1+L276)</f>
        <v>236.20921860423999</v>
      </c>
      <c r="M275" s="385">
        <f t="shared" ref="M275:P275" si="198">L275*(1+M276)</f>
        <v>237.15405547865694</v>
      </c>
      <c r="N275" s="109">
        <f t="shared" si="198"/>
        <v>240.94852036631545</v>
      </c>
      <c r="O275" s="109">
        <f t="shared" si="198"/>
        <v>245.52654225327541</v>
      </c>
      <c r="P275" s="109">
        <f t="shared" si="198"/>
        <v>251.17365272510071</v>
      </c>
    </row>
    <row r="276" spans="2:17">
      <c r="B276" s="108" t="s">
        <v>178</v>
      </c>
      <c r="C276" s="98"/>
      <c r="D276" s="85"/>
      <c r="E276" s="85"/>
      <c r="F276" s="85"/>
      <c r="G276" s="383"/>
      <c r="H276" s="383"/>
      <c r="I276" s="384"/>
      <c r="J276" s="383"/>
      <c r="K276" s="389">
        <v>8.5000000000000006E-2</v>
      </c>
      <c r="L276" s="389">
        <v>1.6E-2</v>
      </c>
      <c r="M276" s="389">
        <v>4.0000000000000001E-3</v>
      </c>
      <c r="N276" s="112">
        <v>1.6E-2</v>
      </c>
      <c r="O276" s="112">
        <v>1.9E-2</v>
      </c>
      <c r="P276" s="112">
        <v>2.3E-2</v>
      </c>
      <c r="Q276" s="85"/>
    </row>
    <row r="277" spans="2:17">
      <c r="G277" s="377"/>
      <c r="H277" s="377"/>
      <c r="I277" s="377"/>
      <c r="J277" s="377"/>
      <c r="K277" s="377"/>
      <c r="L277" s="377"/>
      <c r="M277" s="377"/>
    </row>
    <row r="278" spans="2:17">
      <c r="B278" s="11" t="s">
        <v>99</v>
      </c>
      <c r="C278" s="94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</row>
    <row r="279" spans="2:17">
      <c r="B279" s="85"/>
      <c r="C279" s="98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</row>
    <row r="280" spans="2:17">
      <c r="B280" s="9" t="s">
        <v>79</v>
      </c>
      <c r="C280" s="93" t="s">
        <v>171</v>
      </c>
      <c r="E280" s="9">
        <f t="shared" ref="E280:P282" si="199">SUMIFS(E$288:E$355,$B$288:$B$355,$B280)</f>
        <v>10810.7229945</v>
      </c>
      <c r="F280" s="9">
        <f t="shared" si="199"/>
        <v>14191.385900303232</v>
      </c>
      <c r="G280" s="9">
        <f t="shared" si="199"/>
        <v>14663.606066900533</v>
      </c>
      <c r="H280" s="9">
        <f t="shared" si="199"/>
        <v>16575.496022351483</v>
      </c>
      <c r="I280" s="9">
        <f t="shared" si="199"/>
        <v>14413.957307104427</v>
      </c>
      <c r="J280" s="9">
        <f t="shared" si="199"/>
        <v>4804.652435701475</v>
      </c>
      <c r="K280" s="9">
        <f t="shared" si="199"/>
        <v>19218.6097428059</v>
      </c>
      <c r="L280" s="9">
        <f t="shared" si="199"/>
        <v>24323.241101683816</v>
      </c>
      <c r="M280" s="9">
        <f t="shared" si="199"/>
        <v>28960.824036638875</v>
      </c>
      <c r="N280" s="9">
        <f t="shared" si="199"/>
        <v>33893.954774471276</v>
      </c>
      <c r="O280" s="9">
        <f t="shared" si="199"/>
        <v>39375.898288504162</v>
      </c>
      <c r="P280" s="9">
        <f t="shared" si="199"/>
        <v>45253.132091771695</v>
      </c>
      <c r="Q280" s="9">
        <f>P280*(1+DCF!$F$44)</f>
        <v>45705.663412689413</v>
      </c>
    </row>
    <row r="281" spans="2:17">
      <c r="B281" s="9" t="s">
        <v>260</v>
      </c>
      <c r="C281" s="93" t="s">
        <v>171</v>
      </c>
      <c r="E281" s="9">
        <f t="shared" si="199"/>
        <v>3012.3495150000008</v>
      </c>
      <c r="F281" s="9">
        <f t="shared" si="199"/>
        <v>6023.5208077466295</v>
      </c>
      <c r="G281" s="9">
        <f t="shared" si="199"/>
        <v>7352.485903214967</v>
      </c>
      <c r="H281" s="9">
        <f t="shared" si="199"/>
        <v>6623.564952673677</v>
      </c>
      <c r="I281" s="9">
        <f t="shared" si="199"/>
        <v>5389.9259802382039</v>
      </c>
      <c r="J281" s="9">
        <f t="shared" si="199"/>
        <v>1796.6419934127346</v>
      </c>
      <c r="K281" s="9">
        <f t="shared" si="199"/>
        <v>7186.5679736509392</v>
      </c>
      <c r="L281" s="9">
        <f t="shared" si="199"/>
        <v>7301.5530612293533</v>
      </c>
      <c r="M281" s="9">
        <f t="shared" si="199"/>
        <v>7330.7592734742711</v>
      </c>
      <c r="N281" s="9">
        <f t="shared" si="199"/>
        <v>7448.0514218498583</v>
      </c>
      <c r="O281" s="9">
        <f t="shared" si="199"/>
        <v>7589.5643988650054</v>
      </c>
      <c r="P281" s="9">
        <f t="shared" si="199"/>
        <v>7764.1243800388993</v>
      </c>
      <c r="Q281" s="9">
        <f>P281*(1+DCF!$F$44)</f>
        <v>7841.7656238392883</v>
      </c>
    </row>
    <row r="282" spans="2:17">
      <c r="B282" s="9" t="s">
        <v>16</v>
      </c>
      <c r="C282" s="93" t="s">
        <v>171</v>
      </c>
      <c r="E282" s="9">
        <f t="shared" si="199"/>
        <v>0</v>
      </c>
      <c r="F282" s="9">
        <f t="shared" si="199"/>
        <v>0</v>
      </c>
      <c r="G282" s="9">
        <f t="shared" si="199"/>
        <v>0</v>
      </c>
      <c r="H282" s="9">
        <f t="shared" si="199"/>
        <v>0</v>
      </c>
      <c r="I282" s="9">
        <f t="shared" si="199"/>
        <v>0</v>
      </c>
      <c r="J282" s="9">
        <f t="shared" si="199"/>
        <v>0</v>
      </c>
      <c r="K282" s="9">
        <f t="shared" si="199"/>
        <v>0</v>
      </c>
      <c r="L282" s="9">
        <f t="shared" si="199"/>
        <v>0</v>
      </c>
      <c r="M282" s="9">
        <f t="shared" si="199"/>
        <v>0</v>
      </c>
      <c r="N282" s="9">
        <f t="shared" si="199"/>
        <v>0</v>
      </c>
      <c r="O282" s="9">
        <f t="shared" si="199"/>
        <v>0</v>
      </c>
      <c r="P282" s="9">
        <f t="shared" si="199"/>
        <v>0</v>
      </c>
      <c r="Q282" s="9">
        <f>P282*(1+DCF!$F$44)</f>
        <v>0</v>
      </c>
    </row>
    <row r="283" spans="2:17">
      <c r="B283" s="85" t="s">
        <v>261</v>
      </c>
      <c r="C283" s="98" t="s">
        <v>171</v>
      </c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</row>
    <row r="285" spans="2:17">
      <c r="B285" s="106" t="s">
        <v>169</v>
      </c>
    </row>
    <row r="286" spans="2:17">
      <c r="B286" s="85"/>
      <c r="C286" s="98"/>
      <c r="D286" s="85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85"/>
    </row>
    <row r="287" spans="2:17">
      <c r="B287" s="9" t="s">
        <v>262</v>
      </c>
      <c r="E287" s="9">
        <f t="shared" ref="E287:P287" si="200">SUM(E288,E294)</f>
        <v>1090.7925810000002</v>
      </c>
      <c r="F287" s="9">
        <f t="shared" si="200"/>
        <v>1154.7233285932523</v>
      </c>
      <c r="G287" s="9">
        <f t="shared" si="200"/>
        <v>916.5545121742814</v>
      </c>
      <c r="H287" s="9">
        <f t="shared" si="200"/>
        <v>1133.2889594588892</v>
      </c>
      <c r="I287" s="137">
        <f t="shared" si="200"/>
        <v>836.41187657869091</v>
      </c>
      <c r="J287" s="9">
        <f t="shared" si="200"/>
        <v>278.80395885956364</v>
      </c>
      <c r="K287" s="9">
        <f t="shared" si="200"/>
        <v>1115.2158354382545</v>
      </c>
      <c r="L287" s="9">
        <f t="shared" si="200"/>
        <v>1240.8265912342936</v>
      </c>
      <c r="M287" s="9">
        <f t="shared" si="200"/>
        <v>1342.5414030958439</v>
      </c>
      <c r="N287" s="9">
        <f t="shared" si="200"/>
        <v>1448.4152122411992</v>
      </c>
      <c r="O287" s="9">
        <f t="shared" si="200"/>
        <v>1564.5010485185392</v>
      </c>
      <c r="P287" s="9">
        <f t="shared" si="200"/>
        <v>1684.5241855708991</v>
      </c>
    </row>
    <row r="288" spans="2:17">
      <c r="B288" s="9" t="s">
        <v>79</v>
      </c>
      <c r="C288" s="93" t="s">
        <v>172</v>
      </c>
      <c r="E288" s="9">
        <v>812.65747600000009</v>
      </c>
      <c r="F288" s="9">
        <v>890.79813996695884</v>
      </c>
      <c r="G288" s="9">
        <v>631.33275197689102</v>
      </c>
      <c r="H288" s="9">
        <v>747.10970484837321</v>
      </c>
      <c r="I288" s="83">
        <v>522.15850813938357</v>
      </c>
      <c r="J288" s="9">
        <f>J289*J292/4</f>
        <v>174.05283604646118</v>
      </c>
      <c r="K288" s="9">
        <f>SUM(I288:J288)</f>
        <v>696.21134418584472</v>
      </c>
      <c r="L288" s="9">
        <f t="shared" ref="L288:P288" si="201">L289*L292</f>
        <v>815.1180281218451</v>
      </c>
      <c r="M288" s="9">
        <f t="shared" si="201"/>
        <v>915.13000573094575</v>
      </c>
      <c r="N288" s="9">
        <f t="shared" si="201"/>
        <v>1014.1652325184627</v>
      </c>
      <c r="O288" s="9">
        <f t="shared" si="201"/>
        <v>1122.0003191810706</v>
      </c>
      <c r="P288" s="9">
        <f t="shared" si="201"/>
        <v>1231.8459394586689</v>
      </c>
    </row>
    <row r="289" spans="2:17">
      <c r="B289" s="89" t="s">
        <v>239</v>
      </c>
      <c r="C289" s="93" t="s">
        <v>175</v>
      </c>
      <c r="D289" s="136"/>
      <c r="E289" s="9">
        <v>0</v>
      </c>
      <c r="F289" s="377">
        <v>0</v>
      </c>
      <c r="G289" s="377">
        <v>1</v>
      </c>
      <c r="H289" s="377">
        <v>1</v>
      </c>
      <c r="I289" s="378">
        <v>0.94027366443790561</v>
      </c>
      <c r="J289" s="377">
        <f>I289</f>
        <v>0.94027366443790561</v>
      </c>
      <c r="K289" s="377">
        <f>J289</f>
        <v>0.94027366443790561</v>
      </c>
      <c r="L289" s="377">
        <f>L56/L290</f>
        <v>1.0626100525377666</v>
      </c>
      <c r="M289" s="377">
        <f t="shared" ref="M289:P289" si="202">M56/M290</f>
        <v>1.1707442485892863</v>
      </c>
      <c r="N289" s="377">
        <f t="shared" si="202"/>
        <v>1.2682717585089101</v>
      </c>
      <c r="O289" s="377">
        <f t="shared" si="202"/>
        <v>1.3596179417033498</v>
      </c>
      <c r="P289" s="9">
        <f t="shared" si="202"/>
        <v>1.4436428492333018</v>
      </c>
    </row>
    <row r="290" spans="2:17">
      <c r="B290" s="82" t="s">
        <v>263</v>
      </c>
      <c r="C290" s="93" t="s">
        <v>175</v>
      </c>
      <c r="F290" s="377"/>
      <c r="G290" s="377">
        <f>G56/G289</f>
        <v>51</v>
      </c>
      <c r="H290" s="377">
        <f t="shared" ref="H290:I290" si="203">H56/H289</f>
        <v>66</v>
      </c>
      <c r="I290" s="378">
        <f t="shared" si="203"/>
        <v>72.31937102125508</v>
      </c>
      <c r="J290" s="377">
        <f>I290</f>
        <v>72.31937102125508</v>
      </c>
      <c r="K290" s="377">
        <f>J290</f>
        <v>72.31937102125508</v>
      </c>
      <c r="L290" s="377">
        <f>K290*(1+L291)</f>
        <v>73.404161586573892</v>
      </c>
      <c r="M290" s="377">
        <f t="shared" ref="M290:P290" si="204">L290*(1+M291)</f>
        <v>75.16586146465167</v>
      </c>
      <c r="N290" s="377">
        <f t="shared" si="204"/>
        <v>77.270505585661923</v>
      </c>
      <c r="O290" s="377">
        <f t="shared" si="204"/>
        <v>79.434079742060462</v>
      </c>
      <c r="P290" s="9">
        <f t="shared" si="204"/>
        <v>81.737668054580212</v>
      </c>
    </row>
    <row r="291" spans="2:17">
      <c r="B291" s="115" t="s">
        <v>178</v>
      </c>
      <c r="C291" s="93" t="s">
        <v>179</v>
      </c>
      <c r="F291" s="377"/>
      <c r="G291" s="377"/>
      <c r="H291" s="377"/>
      <c r="I291" s="378"/>
      <c r="J291" s="377"/>
      <c r="K291" s="148">
        <f>K290/H290-1</f>
        <v>9.5748045776592017E-2</v>
      </c>
      <c r="L291" s="148">
        <v>1.4999999999999999E-2</v>
      </c>
      <c r="M291" s="148">
        <v>2.4E-2</v>
      </c>
      <c r="N291" s="148">
        <v>2.7999999999999997E-2</v>
      </c>
      <c r="O291" s="148">
        <v>2.7999999999999997E-2</v>
      </c>
      <c r="P291" s="130">
        <v>2.8999999999999998E-2</v>
      </c>
    </row>
    <row r="292" spans="2:17">
      <c r="B292" s="89" t="s">
        <v>240</v>
      </c>
      <c r="C292" s="93" t="s">
        <v>172</v>
      </c>
      <c r="F292" s="377"/>
      <c r="G292" s="390">
        <f>G288/G289</f>
        <v>631.33275197689102</v>
      </c>
      <c r="H292" s="390">
        <f>H288/H289</f>
        <v>747.10970484837321</v>
      </c>
      <c r="I292" s="378">
        <f>I288*4/3/I289</f>
        <v>740.43480160857098</v>
      </c>
      <c r="J292" s="377">
        <f>I292</f>
        <v>740.43480160857098</v>
      </c>
      <c r="K292" s="403">
        <f>J292</f>
        <v>740.43480160857098</v>
      </c>
      <c r="L292" s="403">
        <f>K292*(1+L293)</f>
        <v>767.09045446647951</v>
      </c>
      <c r="M292" s="403">
        <f t="shared" ref="M292:P292" si="205">L292*(1+M293)</f>
        <v>781.66517310134259</v>
      </c>
      <c r="N292" s="403">
        <f t="shared" si="205"/>
        <v>799.64347208267338</v>
      </c>
      <c r="O292" s="403">
        <f t="shared" si="205"/>
        <v>825.23206318931898</v>
      </c>
      <c r="P292" s="138">
        <f t="shared" si="205"/>
        <v>853.28995333775583</v>
      </c>
    </row>
    <row r="293" spans="2:17">
      <c r="B293" s="82" t="s">
        <v>178</v>
      </c>
      <c r="C293" s="93" t="s">
        <v>179</v>
      </c>
      <c r="F293" s="377"/>
      <c r="G293" s="377"/>
      <c r="H293" s="377"/>
      <c r="I293" s="378"/>
      <c r="J293" s="377"/>
      <c r="K293" s="148">
        <f>K292/H292-1</f>
        <v>-8.9343013435448926E-3</v>
      </c>
      <c r="L293" s="148">
        <v>3.6000000000000004E-2</v>
      </c>
      <c r="M293" s="148">
        <v>1.9E-2</v>
      </c>
      <c r="N293" s="148">
        <v>2.3E-2</v>
      </c>
      <c r="O293" s="148">
        <v>3.2000000000000001E-2</v>
      </c>
      <c r="P293" s="130">
        <v>3.4000000000000002E-2</v>
      </c>
    </row>
    <row r="294" spans="2:17">
      <c r="B294" s="9" t="s">
        <v>260</v>
      </c>
      <c r="C294" s="93" t="s">
        <v>172</v>
      </c>
      <c r="E294" s="9">
        <v>278.13510500000001</v>
      </c>
      <c r="F294" s="377">
        <v>263.92518862629339</v>
      </c>
      <c r="G294" s="377">
        <v>285.22176019739032</v>
      </c>
      <c r="H294" s="377">
        <v>386.17925461051595</v>
      </c>
      <c r="I294" s="378">
        <f>K294*3/4</f>
        <v>314.25336843930734</v>
      </c>
      <c r="J294" s="377">
        <f>K294-I294</f>
        <v>104.75112281310248</v>
      </c>
      <c r="K294" s="377">
        <f>H294*(1+K295)</f>
        <v>419.00449125240982</v>
      </c>
      <c r="L294" s="377">
        <f>K294*(1+L295)</f>
        <v>425.70856311244836</v>
      </c>
      <c r="M294" s="377">
        <f>L294*(1+M295)</f>
        <v>427.41139736489816</v>
      </c>
      <c r="N294" s="377">
        <f>M294*(1+N295)</f>
        <v>434.24997972273655</v>
      </c>
      <c r="O294" s="377">
        <f>N294*(1+O295)</f>
        <v>442.5007293374685</v>
      </c>
      <c r="P294" s="9">
        <f>O294*(1+P295)</f>
        <v>452.67824611223023</v>
      </c>
    </row>
    <row r="295" spans="2:17">
      <c r="B295" s="108" t="s">
        <v>178</v>
      </c>
      <c r="C295" s="98" t="s">
        <v>179</v>
      </c>
      <c r="D295" s="85"/>
      <c r="E295" s="85"/>
      <c r="F295" s="388">
        <f>F294/E294-1</f>
        <v>-5.1089977921724872E-2</v>
      </c>
      <c r="G295" s="388">
        <f>G294/F294-1</f>
        <v>8.0691697832797393E-2</v>
      </c>
      <c r="H295" s="388">
        <f>H294/G294-1</f>
        <v>0.35396140302639267</v>
      </c>
      <c r="I295" s="384"/>
      <c r="J295" s="383"/>
      <c r="K295" s="389">
        <v>8.5000000000000006E-2</v>
      </c>
      <c r="L295" s="389">
        <v>1.6E-2</v>
      </c>
      <c r="M295" s="389">
        <v>4.0000000000000001E-3</v>
      </c>
      <c r="N295" s="389">
        <v>1.6E-2</v>
      </c>
      <c r="O295" s="389">
        <v>1.9E-2</v>
      </c>
      <c r="P295" s="112">
        <v>2.3E-2</v>
      </c>
      <c r="Q295" s="85"/>
    </row>
    <row r="296" spans="2:17">
      <c r="F296" s="377"/>
      <c r="G296" s="377"/>
      <c r="H296" s="377"/>
      <c r="I296" s="377"/>
      <c r="J296" s="377"/>
      <c r="K296" s="377"/>
      <c r="L296" s="377"/>
      <c r="M296" s="377"/>
      <c r="N296" s="377"/>
      <c r="O296" s="377"/>
    </row>
    <row r="297" spans="2:17">
      <c r="B297" s="16" t="s">
        <v>182</v>
      </c>
      <c r="F297" s="377"/>
      <c r="G297" s="377"/>
      <c r="H297" s="377"/>
      <c r="I297" s="377"/>
      <c r="J297" s="377"/>
      <c r="K297" s="377"/>
      <c r="L297" s="377"/>
      <c r="M297" s="377"/>
      <c r="N297" s="377"/>
      <c r="O297" s="377"/>
    </row>
    <row r="298" spans="2:17">
      <c r="B298" s="85"/>
      <c r="C298" s="98"/>
      <c r="D298" s="85"/>
      <c r="E298" s="133"/>
      <c r="F298" s="393"/>
      <c r="G298" s="393"/>
      <c r="H298" s="393"/>
      <c r="I298" s="393"/>
      <c r="J298" s="393"/>
      <c r="K298" s="393"/>
      <c r="L298" s="393"/>
      <c r="M298" s="393"/>
      <c r="N298" s="393"/>
      <c r="O298" s="393"/>
      <c r="P298" s="133"/>
      <c r="Q298" s="85"/>
    </row>
    <row r="299" spans="2:17">
      <c r="B299" s="9" t="s">
        <v>264</v>
      </c>
      <c r="E299" s="9">
        <f>SUM(E300,E306)</f>
        <v>3810.9367989999992</v>
      </c>
      <c r="F299" s="377">
        <f t="shared" ref="F299:P299" si="206">SUM(F300,F306)</f>
        <v>4756.8361294517408</v>
      </c>
      <c r="G299" s="377">
        <f t="shared" si="206"/>
        <v>7125.2404865252138</v>
      </c>
      <c r="H299" s="377">
        <f t="shared" si="206"/>
        <v>6932.900339638968</v>
      </c>
      <c r="I299" s="402">
        <f t="shared" si="206"/>
        <v>5920.793341230954</v>
      </c>
      <c r="J299" s="377">
        <f t="shared" si="206"/>
        <v>1973.5977804103181</v>
      </c>
      <c r="K299" s="377">
        <f t="shared" si="206"/>
        <v>7894.3911216412725</v>
      </c>
      <c r="L299" s="377">
        <f t="shared" si="206"/>
        <v>8350.3631774359728</v>
      </c>
      <c r="M299" s="377">
        <f t="shared" si="206"/>
        <v>8643.7529731371578</v>
      </c>
      <c r="N299" s="377">
        <f t="shared" si="206"/>
        <v>9001.6538790842733</v>
      </c>
      <c r="O299" s="377">
        <f t="shared" si="206"/>
        <v>9438.532822088624</v>
      </c>
      <c r="P299" s="9">
        <f t="shared" si="206"/>
        <v>9919.1523611346274</v>
      </c>
    </row>
    <row r="300" spans="2:17">
      <c r="B300" s="9" t="s">
        <v>79</v>
      </c>
      <c r="C300" s="93" t="s">
        <v>172</v>
      </c>
      <c r="E300" s="9">
        <v>2742.2506829999993</v>
      </c>
      <c r="F300" s="377">
        <v>3081.4756810780682</v>
      </c>
      <c r="G300" s="377">
        <v>4147.4824620237405</v>
      </c>
      <c r="H300" s="377">
        <v>4613.7386163482315</v>
      </c>
      <c r="I300" s="378">
        <v>4033.5754889031177</v>
      </c>
      <c r="J300" s="377">
        <f>J301*J304/4</f>
        <v>1344.5251629677059</v>
      </c>
      <c r="K300" s="377">
        <f>SUM(I300:J300)</f>
        <v>5378.1006518708236</v>
      </c>
      <c r="L300" s="377">
        <f t="shared" ref="L300:P300" si="207">L301*L304</f>
        <v>5793.8120601491964</v>
      </c>
      <c r="M300" s="377">
        <f t="shared" si="207"/>
        <v>6076.9756513812345</v>
      </c>
      <c r="N300" s="377">
        <f t="shared" si="207"/>
        <v>6393.8081201802552</v>
      </c>
      <c r="O300" s="377">
        <f t="shared" si="207"/>
        <v>6781.1379937654301</v>
      </c>
      <c r="P300" s="9">
        <f t="shared" si="207"/>
        <v>7200.6374517599997</v>
      </c>
    </row>
    <row r="301" spans="2:17">
      <c r="B301" s="89" t="s">
        <v>239</v>
      </c>
      <c r="C301" s="93" t="s">
        <v>175</v>
      </c>
      <c r="D301" s="136"/>
      <c r="E301" s="9">
        <v>0</v>
      </c>
      <c r="F301" s="377">
        <v>0</v>
      </c>
      <c r="G301" s="377">
        <v>7</v>
      </c>
      <c r="H301" s="377">
        <v>10</v>
      </c>
      <c r="I301" s="378">
        <v>11.192027774655495</v>
      </c>
      <c r="J301" s="377">
        <f>I301</f>
        <v>11.192027774655495</v>
      </c>
      <c r="K301" s="377">
        <f>J301</f>
        <v>11.192027774655495</v>
      </c>
      <c r="L301" s="377">
        <f>L68/L302</f>
        <v>11.638164767650007</v>
      </c>
      <c r="M301" s="377">
        <f t="shared" ref="M301:P301" si="208">M68/M302</f>
        <v>11.979354314011978</v>
      </c>
      <c r="N301" s="377">
        <f t="shared" si="208"/>
        <v>12.320543860373945</v>
      </c>
      <c r="O301" s="377">
        <f t="shared" si="208"/>
        <v>12.661733406735916</v>
      </c>
      <c r="P301" s="9">
        <f t="shared" si="208"/>
        <v>13.002922953097883</v>
      </c>
    </row>
    <row r="302" spans="2:17">
      <c r="B302" s="82" t="s">
        <v>263</v>
      </c>
      <c r="C302" s="93" t="s">
        <v>175</v>
      </c>
      <c r="F302" s="377"/>
      <c r="G302" s="390">
        <f>G68/G301</f>
        <v>12.857142857142858</v>
      </c>
      <c r="H302" s="390">
        <f t="shared" ref="H302:I302" si="209">H68/H301</f>
        <v>11.7</v>
      </c>
      <c r="I302" s="391">
        <f t="shared" si="209"/>
        <v>10.5432190105186</v>
      </c>
      <c r="J302" s="390">
        <f>I302</f>
        <v>10.5432190105186</v>
      </c>
      <c r="K302" s="390">
        <f>J302</f>
        <v>10.5432190105186</v>
      </c>
      <c r="L302" s="390">
        <f>K302*(1+L303)</f>
        <v>10.701367295676377</v>
      </c>
      <c r="M302" s="390">
        <f t="shared" ref="M302:P302" si="210">L302*(1+M303)</f>
        <v>10.95820011077261</v>
      </c>
      <c r="N302" s="390">
        <f t="shared" si="210"/>
        <v>11.265029713874243</v>
      </c>
      <c r="O302" s="390">
        <f t="shared" si="210"/>
        <v>11.580450545862723</v>
      </c>
      <c r="P302" s="127">
        <f t="shared" si="210"/>
        <v>11.916283611692741</v>
      </c>
    </row>
    <row r="303" spans="2:17">
      <c r="B303" s="115" t="s">
        <v>178</v>
      </c>
      <c r="C303" s="93" t="s">
        <v>179</v>
      </c>
      <c r="F303" s="377"/>
      <c r="G303" s="377"/>
      <c r="H303" s="377"/>
      <c r="I303" s="378"/>
      <c r="J303" s="377"/>
      <c r="K303" s="148">
        <f>K302/H302-1</f>
        <v>-9.8870170041145289E-2</v>
      </c>
      <c r="L303" s="148">
        <v>1.4999999999999999E-2</v>
      </c>
      <c r="M303" s="148">
        <v>2.4E-2</v>
      </c>
      <c r="N303" s="148">
        <v>2.7999999999999997E-2</v>
      </c>
      <c r="O303" s="148">
        <v>2.7999999999999997E-2</v>
      </c>
      <c r="P303" s="130">
        <v>2.8999999999999998E-2</v>
      </c>
    </row>
    <row r="304" spans="2:17">
      <c r="B304" s="89" t="s">
        <v>240</v>
      </c>
      <c r="C304" s="93" t="s">
        <v>172</v>
      </c>
      <c r="F304" s="377"/>
      <c r="G304" s="390">
        <f>G300/G301</f>
        <v>592.49749457482005</v>
      </c>
      <c r="H304" s="390">
        <f t="shared" ref="H304" si="211">H300/H301</f>
        <v>461.37386163482313</v>
      </c>
      <c r="I304" s="378">
        <f>I300*4/3/I301</f>
        <v>480.52960197700799</v>
      </c>
      <c r="J304" s="377">
        <f>I304</f>
        <v>480.52960197700799</v>
      </c>
      <c r="K304" s="403">
        <f>J304</f>
        <v>480.52960197700799</v>
      </c>
      <c r="L304" s="403">
        <f>K304*(1+L305)</f>
        <v>497.82866764818027</v>
      </c>
      <c r="M304" s="403">
        <f t="shared" ref="M304:P304" si="212">L304*(1+M305)</f>
        <v>507.28741233349564</v>
      </c>
      <c r="N304" s="403">
        <f t="shared" si="212"/>
        <v>518.95502281716597</v>
      </c>
      <c r="O304" s="403">
        <f t="shared" si="212"/>
        <v>535.56158354731531</v>
      </c>
      <c r="P304" s="138">
        <f t="shared" si="212"/>
        <v>553.77067738792402</v>
      </c>
    </row>
    <row r="305" spans="2:17">
      <c r="B305" s="82" t="s">
        <v>178</v>
      </c>
      <c r="C305" s="93" t="s">
        <v>179</v>
      </c>
      <c r="F305" s="377"/>
      <c r="G305" s="377"/>
      <c r="H305" s="377"/>
      <c r="I305" s="378"/>
      <c r="J305" s="377"/>
      <c r="K305" s="148">
        <f>K304/H304-1</f>
        <v>4.1518911093725075E-2</v>
      </c>
      <c r="L305" s="148">
        <v>3.6000000000000004E-2</v>
      </c>
      <c r="M305" s="148">
        <v>1.9E-2</v>
      </c>
      <c r="N305" s="148">
        <v>2.3E-2</v>
      </c>
      <c r="O305" s="148">
        <v>3.2000000000000001E-2</v>
      </c>
      <c r="P305" s="130">
        <v>3.4000000000000002E-2</v>
      </c>
    </row>
    <row r="306" spans="2:17">
      <c r="B306" s="9" t="s">
        <v>260</v>
      </c>
      <c r="C306" s="93" t="s">
        <v>172</v>
      </c>
      <c r="E306" s="9">
        <v>1068.6861160000001</v>
      </c>
      <c r="F306" s="377">
        <v>1675.3604483736726</v>
      </c>
      <c r="G306" s="377">
        <v>2977.7580245014733</v>
      </c>
      <c r="H306" s="377">
        <v>2319.1617232907365</v>
      </c>
      <c r="I306" s="378">
        <f>K306*3/4</f>
        <v>1887.2178523278367</v>
      </c>
      <c r="J306" s="377">
        <f>K306-I306</f>
        <v>629.07261744261223</v>
      </c>
      <c r="K306" s="377">
        <f>H306*(1+K307)</f>
        <v>2516.2904697704489</v>
      </c>
      <c r="L306" s="377">
        <f>K306*(1+L307)</f>
        <v>2556.5511172867759</v>
      </c>
      <c r="M306" s="377">
        <f>L306*(1+M307)</f>
        <v>2566.7773217559229</v>
      </c>
      <c r="N306" s="377">
        <f>M306*(1+N307)</f>
        <v>2607.8457589040177</v>
      </c>
      <c r="O306" s="377">
        <f>N306*(1+O307)</f>
        <v>2657.3948283231939</v>
      </c>
      <c r="P306" s="9">
        <f>O306*(1+P307)</f>
        <v>2718.5149093746272</v>
      </c>
    </row>
    <row r="307" spans="2:17">
      <c r="B307" s="108" t="s">
        <v>178</v>
      </c>
      <c r="C307" s="98" t="s">
        <v>179</v>
      </c>
      <c r="D307" s="85"/>
      <c r="E307" s="85"/>
      <c r="F307" s="388">
        <f>F306/E306-1</f>
        <v>0.56768243106254834</v>
      </c>
      <c r="G307" s="388">
        <f t="shared" ref="G307:H307" si="213">G306/F306-1</f>
        <v>0.77738350418387925</v>
      </c>
      <c r="H307" s="388">
        <f t="shared" si="213"/>
        <v>-0.22117186681782075</v>
      </c>
      <c r="I307" s="384"/>
      <c r="J307" s="383"/>
      <c r="K307" s="389">
        <v>8.5000000000000006E-2</v>
      </c>
      <c r="L307" s="389">
        <v>1.6E-2</v>
      </c>
      <c r="M307" s="389">
        <v>4.0000000000000001E-3</v>
      </c>
      <c r="N307" s="389">
        <v>1.6E-2</v>
      </c>
      <c r="O307" s="389">
        <v>1.9E-2</v>
      </c>
      <c r="P307" s="112">
        <v>2.3E-2</v>
      </c>
      <c r="Q307" s="85"/>
    </row>
    <row r="308" spans="2:17">
      <c r="F308" s="377"/>
      <c r="G308" s="377"/>
      <c r="H308" s="377"/>
      <c r="I308" s="377"/>
      <c r="J308" s="377"/>
      <c r="K308" s="377"/>
      <c r="L308" s="377"/>
      <c r="M308" s="377"/>
      <c r="N308" s="377"/>
      <c r="O308" s="377"/>
    </row>
    <row r="309" spans="2:17">
      <c r="B309" s="106" t="s">
        <v>196</v>
      </c>
      <c r="F309" s="377"/>
      <c r="G309" s="377"/>
      <c r="H309" s="377"/>
      <c r="I309" s="377"/>
      <c r="J309" s="377"/>
      <c r="K309" s="377"/>
      <c r="L309" s="377"/>
      <c r="M309" s="377"/>
      <c r="N309" s="377"/>
      <c r="O309" s="377"/>
    </row>
    <row r="310" spans="2:17">
      <c r="B310" s="85"/>
      <c r="C310" s="98"/>
      <c r="D310" s="85"/>
      <c r="E310" s="133"/>
      <c r="F310" s="393"/>
      <c r="G310" s="393"/>
      <c r="H310" s="393"/>
      <c r="I310" s="393"/>
      <c r="J310" s="393"/>
      <c r="K310" s="393"/>
      <c r="L310" s="393"/>
      <c r="M310" s="393"/>
      <c r="N310" s="393"/>
      <c r="O310" s="393"/>
      <c r="P310" s="133"/>
      <c r="Q310" s="85"/>
    </row>
    <row r="311" spans="2:17">
      <c r="B311" s="9" t="s">
        <v>265</v>
      </c>
      <c r="E311" s="9">
        <f>SUM(E312,E318)</f>
        <v>1924.7465864999999</v>
      </c>
      <c r="F311" s="377">
        <f t="shared" ref="F311:P311" si="214">SUM(F312,F318)</f>
        <v>3464.9215858947068</v>
      </c>
      <c r="G311" s="377">
        <f t="shared" si="214"/>
        <v>3836.3746702096</v>
      </c>
      <c r="H311" s="377">
        <f t="shared" si="214"/>
        <v>2776.9614050840346</v>
      </c>
      <c r="I311" s="402">
        <f t="shared" si="214"/>
        <v>2493.2269783884462</v>
      </c>
      <c r="J311" s="377">
        <f t="shared" si="214"/>
        <v>831.07565946281545</v>
      </c>
      <c r="K311" s="377">
        <f t="shared" si="214"/>
        <v>3324.3026378512618</v>
      </c>
      <c r="L311" s="377">
        <f t="shared" si="214"/>
        <v>3509.8132547183423</v>
      </c>
      <c r="M311" s="377">
        <f t="shared" si="214"/>
        <v>3647.021131485777</v>
      </c>
      <c r="N311" s="377">
        <f t="shared" si="214"/>
        <v>3813.3698002240844</v>
      </c>
      <c r="O311" s="377">
        <f t="shared" si="214"/>
        <v>4014.03082528717</v>
      </c>
      <c r="P311" s="9">
        <f t="shared" si="214"/>
        <v>4233.7220389710064</v>
      </c>
    </row>
    <row r="312" spans="2:17">
      <c r="B312" s="9" t="s">
        <v>79</v>
      </c>
      <c r="C312" s="93" t="s">
        <v>172</v>
      </c>
      <c r="E312" s="9">
        <v>1652.6097544999998</v>
      </c>
      <c r="F312" s="377">
        <v>2442.7411204328332</v>
      </c>
      <c r="G312" s="377">
        <v>2510.1885286943002</v>
      </c>
      <c r="H312" s="377">
        <v>1863.0389259584474</v>
      </c>
      <c r="I312" s="378">
        <v>1749.5225609999998</v>
      </c>
      <c r="J312" s="377">
        <f>J313*J316/4</f>
        <v>583.17418699999996</v>
      </c>
      <c r="K312" s="377">
        <f>K313*K316</f>
        <v>2332.6967479999998</v>
      </c>
      <c r="L312" s="377">
        <f t="shared" ref="L312:P312" si="215">L313*L316</f>
        <v>2502.3416706294602</v>
      </c>
      <c r="M312" s="377">
        <f t="shared" si="215"/>
        <v>2635.5196610605394</v>
      </c>
      <c r="N312" s="377">
        <f t="shared" si="215"/>
        <v>2785.6843062720427</v>
      </c>
      <c r="O312" s="377">
        <f t="shared" si="215"/>
        <v>2966.8193069500398</v>
      </c>
      <c r="P312" s="9">
        <f t="shared" si="215"/>
        <v>3162.4246557121223</v>
      </c>
    </row>
    <row r="313" spans="2:17">
      <c r="B313" s="89" t="s">
        <v>239</v>
      </c>
      <c r="C313" s="93" t="s">
        <v>175</v>
      </c>
      <c r="E313" s="9">
        <v>0</v>
      </c>
      <c r="F313" s="377">
        <v>0</v>
      </c>
      <c r="G313" s="377">
        <v>4</v>
      </c>
      <c r="H313" s="377">
        <v>3.3518939453750001</v>
      </c>
      <c r="I313" s="378">
        <v>3.826819050333333</v>
      </c>
      <c r="J313" s="377">
        <f>I313</f>
        <v>3.826819050333333</v>
      </c>
      <c r="K313" s="377">
        <f>J313</f>
        <v>3.826819050333333</v>
      </c>
      <c r="L313" s="377">
        <f>L85/L314</f>
        <v>3.9624746430636777</v>
      </c>
      <c r="M313" s="377">
        <f t="shared" ref="M313:P313" si="216">M85/M314</f>
        <v>4.0955474728079251</v>
      </c>
      <c r="N313" s="377">
        <f t="shared" si="216"/>
        <v>4.2315742698131915</v>
      </c>
      <c r="O313" s="377">
        <f t="shared" si="216"/>
        <v>4.3669826804448819</v>
      </c>
      <c r="P313" s="9">
        <f t="shared" si="216"/>
        <v>4.5018396455730372</v>
      </c>
    </row>
    <row r="314" spans="2:17">
      <c r="B314" s="82" t="s">
        <v>263</v>
      </c>
      <c r="C314" s="93" t="s">
        <v>175</v>
      </c>
      <c r="F314" s="377"/>
      <c r="G314" s="390">
        <f>G85/G313</f>
        <v>298.21135416666664</v>
      </c>
      <c r="H314" s="390">
        <f t="shared" ref="H314:I314" si="217">H85/H313</f>
        <v>397.04873948590256</v>
      </c>
      <c r="I314" s="391">
        <f t="shared" si="217"/>
        <v>370.47058411747969</v>
      </c>
      <c r="J314" s="390">
        <f>I314</f>
        <v>370.47058411747969</v>
      </c>
      <c r="K314" s="390">
        <f>J314</f>
        <v>370.47058411747969</v>
      </c>
      <c r="L314" s="390">
        <f>K314*(1+L315)</f>
        <v>376.02764287924185</v>
      </c>
      <c r="M314" s="390">
        <f t="shared" ref="M314:P314" si="218">L314*(1+M315)</f>
        <v>385.05230630834365</v>
      </c>
      <c r="N314" s="390">
        <f t="shared" si="218"/>
        <v>395.8337708849773</v>
      </c>
      <c r="O314" s="390">
        <f t="shared" si="218"/>
        <v>406.91711646975665</v>
      </c>
      <c r="P314" s="127">
        <f t="shared" si="218"/>
        <v>418.71771284737957</v>
      </c>
    </row>
    <row r="315" spans="2:17">
      <c r="B315" s="115" t="s">
        <v>178</v>
      </c>
      <c r="C315" s="93" t="s">
        <v>179</v>
      </c>
      <c r="F315" s="377"/>
      <c r="G315" s="377"/>
      <c r="H315" s="377"/>
      <c r="I315" s="378"/>
      <c r="J315" s="377"/>
      <c r="K315" s="148">
        <f>K314/H314-1</f>
        <v>-6.6939276530221914E-2</v>
      </c>
      <c r="L315" s="148">
        <v>1.4999999999999999E-2</v>
      </c>
      <c r="M315" s="148">
        <v>2.4E-2</v>
      </c>
      <c r="N315" s="148">
        <v>2.7999999999999997E-2</v>
      </c>
      <c r="O315" s="148">
        <v>2.7999999999999997E-2</v>
      </c>
      <c r="P315" s="130">
        <v>2.8999999999999998E-2</v>
      </c>
    </row>
    <row r="316" spans="2:17">
      <c r="B316" s="89" t="s">
        <v>240</v>
      </c>
      <c r="C316" s="93" t="s">
        <v>172</v>
      </c>
      <c r="F316" s="377"/>
      <c r="G316" s="390">
        <f>G312/G313</f>
        <v>627.54713217357505</v>
      </c>
      <c r="H316" s="390">
        <f>H312/H313</f>
        <v>555.81678785783186</v>
      </c>
      <c r="I316" s="378">
        <f>I312*4/3/I313</f>
        <v>609.56546868784176</v>
      </c>
      <c r="J316" s="377">
        <f>I316</f>
        <v>609.56546868784176</v>
      </c>
      <c r="K316" s="403">
        <f>J316</f>
        <v>609.56546868784176</v>
      </c>
      <c r="L316" s="403">
        <f>K316*(1+L317)</f>
        <v>631.5098255606041</v>
      </c>
      <c r="M316" s="403">
        <f t="shared" ref="M316:P316" si="219">L316*(1+M317)</f>
        <v>643.50851224625546</v>
      </c>
      <c r="N316" s="403">
        <f t="shared" si="219"/>
        <v>658.30920802791923</v>
      </c>
      <c r="O316" s="403">
        <f t="shared" si="219"/>
        <v>679.37510268481265</v>
      </c>
      <c r="P316" s="138">
        <f t="shared" si="219"/>
        <v>702.47385617609632</v>
      </c>
    </row>
    <row r="317" spans="2:17">
      <c r="B317" s="82" t="s">
        <v>178</v>
      </c>
      <c r="C317" s="93" t="s">
        <v>179</v>
      </c>
      <c r="F317" s="377"/>
      <c r="G317" s="377"/>
      <c r="H317" s="377"/>
      <c r="I317" s="378"/>
      <c r="J317" s="377"/>
      <c r="K317" s="148">
        <f>K316/H316-1</f>
        <v>9.6702154386451911E-2</v>
      </c>
      <c r="L317" s="148">
        <v>3.6000000000000004E-2</v>
      </c>
      <c r="M317" s="148">
        <v>1.9E-2</v>
      </c>
      <c r="N317" s="148">
        <v>2.3E-2</v>
      </c>
      <c r="O317" s="148">
        <v>3.2000000000000001E-2</v>
      </c>
      <c r="P317" s="130">
        <v>3.4000000000000002E-2</v>
      </c>
    </row>
    <row r="318" spans="2:17">
      <c r="B318" s="9" t="s">
        <v>260</v>
      </c>
      <c r="C318" s="93" t="s">
        <v>172</v>
      </c>
      <c r="E318" s="9">
        <v>272.13683200000003</v>
      </c>
      <c r="F318" s="9">
        <v>1022.1804654618736</v>
      </c>
      <c r="G318" s="377">
        <v>1326.1861415152998</v>
      </c>
      <c r="H318" s="377">
        <v>913.92247912558696</v>
      </c>
      <c r="I318" s="378">
        <f>K318*3/4</f>
        <v>743.70441738844636</v>
      </c>
      <c r="J318" s="377">
        <f>K318-I318</f>
        <v>247.90147246281549</v>
      </c>
      <c r="K318" s="377">
        <f>H318*(1+K319)</f>
        <v>991.60588985126185</v>
      </c>
      <c r="L318" s="377">
        <f t="shared" ref="L318:P318" si="220">K318*(1+L319)</f>
        <v>1007.4715840888821</v>
      </c>
      <c r="M318" s="9">
        <f t="shared" si="220"/>
        <v>1011.5014704252376</v>
      </c>
      <c r="N318" s="9">
        <f t="shared" si="220"/>
        <v>1027.6854939520415</v>
      </c>
      <c r="O318" s="9">
        <f t="shared" si="220"/>
        <v>1047.2115183371302</v>
      </c>
      <c r="P318" s="9">
        <f t="shared" si="220"/>
        <v>1071.2973832588841</v>
      </c>
    </row>
    <row r="319" spans="2:17">
      <c r="B319" s="108" t="s">
        <v>178</v>
      </c>
      <c r="C319" s="98" t="s">
        <v>179</v>
      </c>
      <c r="D319" s="85"/>
      <c r="E319" s="85"/>
      <c r="F319" s="107">
        <f>F318/E318-1</f>
        <v>2.7561268643778196</v>
      </c>
      <c r="G319" s="388">
        <f t="shared" ref="G319" si="221">G318/F318-1</f>
        <v>0.29740900587066177</v>
      </c>
      <c r="H319" s="388"/>
      <c r="I319" s="384"/>
      <c r="J319" s="383"/>
      <c r="K319" s="389">
        <v>8.5000000000000006E-2</v>
      </c>
      <c r="L319" s="389">
        <v>1.6E-2</v>
      </c>
      <c r="M319" s="112">
        <v>4.0000000000000001E-3</v>
      </c>
      <c r="N319" s="112">
        <v>1.6E-2</v>
      </c>
      <c r="O319" s="112">
        <v>1.9E-2</v>
      </c>
      <c r="P319" s="112">
        <v>2.3E-2</v>
      </c>
      <c r="Q319" s="85"/>
    </row>
    <row r="320" spans="2:17">
      <c r="G320" s="377"/>
      <c r="H320" s="377"/>
      <c r="I320" s="377"/>
      <c r="J320" s="377"/>
      <c r="K320" s="377"/>
      <c r="L320" s="377"/>
    </row>
    <row r="321" spans="2:17">
      <c r="B321" s="16" t="s">
        <v>204</v>
      </c>
      <c r="G321" s="377"/>
      <c r="H321" s="377"/>
      <c r="I321" s="377"/>
      <c r="J321" s="377"/>
      <c r="K321" s="377"/>
      <c r="L321" s="377"/>
    </row>
    <row r="322" spans="2:17">
      <c r="B322" s="85"/>
      <c r="C322" s="98"/>
      <c r="D322" s="85"/>
      <c r="E322" s="133"/>
      <c r="F322" s="133"/>
      <c r="G322" s="393"/>
      <c r="H322" s="393"/>
      <c r="I322" s="393"/>
      <c r="J322" s="393"/>
      <c r="K322" s="393"/>
      <c r="L322" s="393"/>
      <c r="M322" s="133"/>
      <c r="N322" s="133"/>
      <c r="O322" s="133"/>
      <c r="P322" s="133"/>
      <c r="Q322" s="85"/>
    </row>
    <row r="323" spans="2:17">
      <c r="B323" s="9" t="s">
        <v>266</v>
      </c>
      <c r="E323" s="9">
        <f>SUM(E324,E330)</f>
        <v>6229.9065410000003</v>
      </c>
      <c r="F323" s="9">
        <f t="shared" ref="F323:P323" si="222">SUM(F324,F330)</f>
        <v>6615.2072714528977</v>
      </c>
      <c r="G323" s="377">
        <f t="shared" si="222"/>
        <v>6597.9372997620621</v>
      </c>
      <c r="H323" s="377">
        <f t="shared" si="222"/>
        <v>8080.4209505437666</v>
      </c>
      <c r="I323" s="402">
        <f t="shared" si="222"/>
        <v>6731.653217356059</v>
      </c>
      <c r="J323" s="377">
        <f t="shared" si="222"/>
        <v>2243.884405785353</v>
      </c>
      <c r="K323" s="377">
        <f t="shared" si="222"/>
        <v>8975.537623141412</v>
      </c>
      <c r="L323" s="377">
        <f t="shared" si="222"/>
        <v>9502.1317986622525</v>
      </c>
      <c r="M323" s="9">
        <f t="shared" si="222"/>
        <v>9896.6334739458307</v>
      </c>
      <c r="N323" s="9">
        <f t="shared" si="222"/>
        <v>10367.558825876731</v>
      </c>
      <c r="O323" s="9">
        <f t="shared" si="222"/>
        <v>10935.618414373423</v>
      </c>
      <c r="P323" s="9">
        <f t="shared" si="222"/>
        <v>11555.786712861367</v>
      </c>
    </row>
    <row r="324" spans="2:17">
      <c r="B324" s="9" t="s">
        <v>79</v>
      </c>
      <c r="C324" s="93" t="s">
        <v>172</v>
      </c>
      <c r="E324" s="9">
        <v>5025.0240659999999</v>
      </c>
      <c r="F324" s="9">
        <v>4980.8952934846247</v>
      </c>
      <c r="G324" s="377">
        <v>4785.3243740944754</v>
      </c>
      <c r="H324" s="377">
        <v>6030.7472213081346</v>
      </c>
      <c r="I324" s="378">
        <v>5063.7312201905643</v>
      </c>
      <c r="J324" s="377">
        <f>J325*J328/4</f>
        <v>1687.910406730188</v>
      </c>
      <c r="K324" s="377">
        <f>SUM(I324:J324)</f>
        <v>6751.6416269207521</v>
      </c>
      <c r="L324" s="377">
        <f t="shared" ref="L324:P324" si="223">L325*L328</f>
        <v>7242.6534665020617</v>
      </c>
      <c r="M324" s="9">
        <f t="shared" si="223"/>
        <v>7628.1172284569993</v>
      </c>
      <c r="N324" s="9">
        <f t="shared" si="223"/>
        <v>8062.7463204600781</v>
      </c>
      <c r="O324" s="9">
        <f t="shared" si="223"/>
        <v>8587.0144713538539</v>
      </c>
      <c r="P324" s="9">
        <f t="shared" si="223"/>
        <v>9153.1648791523494</v>
      </c>
    </row>
    <row r="325" spans="2:17">
      <c r="B325" s="89" t="s">
        <v>239</v>
      </c>
      <c r="C325" s="93" t="s">
        <v>175</v>
      </c>
      <c r="D325" s="136"/>
      <c r="E325" s="9">
        <v>0</v>
      </c>
      <c r="F325" s="9">
        <v>0</v>
      </c>
      <c r="G325" s="377">
        <v>10</v>
      </c>
      <c r="H325" s="377">
        <v>11</v>
      </c>
      <c r="I325" s="378">
        <v>9.3731077062816954</v>
      </c>
      <c r="J325" s="377">
        <f>I325</f>
        <v>9.3731077062816954</v>
      </c>
      <c r="K325" s="377">
        <f>J325</f>
        <v>9.3731077062816954</v>
      </c>
      <c r="L325" s="377">
        <f>L85/L326</f>
        <v>9.7053717785822275</v>
      </c>
      <c r="M325" s="9">
        <f t="shared" ref="M325:P325" si="224">M85/M326</f>
        <v>10.031309835638746</v>
      </c>
      <c r="N325" s="9">
        <f t="shared" si="224"/>
        <v>10.364483106311113</v>
      </c>
      <c r="O325" s="9">
        <f t="shared" si="224"/>
        <v>10.696141750342557</v>
      </c>
      <c r="P325" s="9">
        <f t="shared" si="224"/>
        <v>11.026449727402087</v>
      </c>
    </row>
    <row r="326" spans="2:17">
      <c r="B326" s="82" t="s">
        <v>263</v>
      </c>
      <c r="C326" s="93" t="s">
        <v>175</v>
      </c>
      <c r="G326" s="390">
        <f>G85/G325</f>
        <v>119.28454166666666</v>
      </c>
      <c r="H326" s="390">
        <f t="shared" ref="H326:I326" si="225">H85/H325</f>
        <v>120.9877514455975</v>
      </c>
      <c r="I326" s="391">
        <f t="shared" si="225"/>
        <v>151.2544113772164</v>
      </c>
      <c r="J326" s="390">
        <f>I326</f>
        <v>151.2544113772164</v>
      </c>
      <c r="K326" s="390">
        <f>J326</f>
        <v>151.2544113772164</v>
      </c>
      <c r="L326" s="390">
        <f>K326*(1+L327)</f>
        <v>153.52322754787463</v>
      </c>
      <c r="M326" s="127">
        <f t="shared" ref="M326:P326" si="226">L326*(1+M327)</f>
        <v>157.20778500902361</v>
      </c>
      <c r="N326" s="127">
        <f t="shared" si="226"/>
        <v>161.60960298927628</v>
      </c>
      <c r="O326" s="127">
        <f t="shared" si="226"/>
        <v>166.13467187297601</v>
      </c>
      <c r="P326" s="127">
        <f t="shared" si="226"/>
        <v>170.95257735729231</v>
      </c>
    </row>
    <row r="327" spans="2:17">
      <c r="B327" s="115" t="s">
        <v>178</v>
      </c>
      <c r="C327" s="93" t="s">
        <v>179</v>
      </c>
      <c r="G327" s="377"/>
      <c r="H327" s="377"/>
      <c r="I327" s="378"/>
      <c r="J327" s="377"/>
      <c r="K327" s="148">
        <f>K326/H326-1</f>
        <v>0.25016300881687514</v>
      </c>
      <c r="L327" s="148">
        <v>1.4999999999999999E-2</v>
      </c>
      <c r="M327" s="130">
        <v>2.4E-2</v>
      </c>
      <c r="N327" s="130">
        <v>2.7999999999999997E-2</v>
      </c>
      <c r="O327" s="130">
        <v>2.7999999999999997E-2</v>
      </c>
      <c r="P327" s="130">
        <v>2.8999999999999998E-2</v>
      </c>
    </row>
    <row r="328" spans="2:17">
      <c r="B328" s="89" t="s">
        <v>240</v>
      </c>
      <c r="C328" s="93" t="s">
        <v>172</v>
      </c>
      <c r="G328" s="390">
        <f>G324/G325</f>
        <v>478.53243740944754</v>
      </c>
      <c r="H328" s="390">
        <f>H324/H325</f>
        <v>548.24974739164861</v>
      </c>
      <c r="I328" s="378">
        <f>I324*4/3/I325</f>
        <v>720.32049972027085</v>
      </c>
      <c r="J328" s="377">
        <f>I328</f>
        <v>720.32049972027085</v>
      </c>
      <c r="K328" s="403">
        <f>J328</f>
        <v>720.32049972027085</v>
      </c>
      <c r="L328" s="403">
        <f>K328*(1+L329)</f>
        <v>746.25203771020063</v>
      </c>
      <c r="M328" s="138">
        <f t="shared" ref="M328:P328" si="227">L328*(1+M329)</f>
        <v>760.43082642669435</v>
      </c>
      <c r="N328" s="138">
        <f t="shared" si="227"/>
        <v>777.92073543450829</v>
      </c>
      <c r="O328" s="138">
        <f t="shared" si="227"/>
        <v>802.8141989684126</v>
      </c>
      <c r="P328" s="138">
        <f t="shared" si="227"/>
        <v>830.10988173333863</v>
      </c>
    </row>
    <row r="329" spans="2:17">
      <c r="B329" s="82" t="s">
        <v>178</v>
      </c>
      <c r="C329" s="93" t="s">
        <v>179</v>
      </c>
      <c r="G329" s="377"/>
      <c r="H329" s="377"/>
      <c r="I329" s="378"/>
      <c r="J329" s="377"/>
      <c r="K329" s="148">
        <f>K328/H328-1</f>
        <v>0.31385468602086108</v>
      </c>
      <c r="L329" s="148">
        <v>3.6000000000000004E-2</v>
      </c>
      <c r="M329" s="130">
        <v>1.9E-2</v>
      </c>
      <c r="N329" s="130">
        <v>2.3E-2</v>
      </c>
      <c r="O329" s="130">
        <v>3.2000000000000001E-2</v>
      </c>
      <c r="P329" s="130">
        <v>3.4000000000000002E-2</v>
      </c>
    </row>
    <row r="330" spans="2:17">
      <c r="B330" s="9" t="s">
        <v>260</v>
      </c>
      <c r="C330" s="93" t="s">
        <v>172</v>
      </c>
      <c r="E330" s="9">
        <v>1204.8824749999999</v>
      </c>
      <c r="F330" s="9">
        <v>1634.3119779682727</v>
      </c>
      <c r="G330" s="377">
        <v>1812.6129256675868</v>
      </c>
      <c r="H330" s="377">
        <v>2049.6737292356315</v>
      </c>
      <c r="I330" s="378">
        <f>K330*3/4</f>
        <v>1667.921997165495</v>
      </c>
      <c r="J330" s="377">
        <f>K330-I330</f>
        <v>555.973999055165</v>
      </c>
      <c r="K330" s="377">
        <f>H330*(1+K331)</f>
        <v>2223.89599622066</v>
      </c>
      <c r="L330" s="377">
        <f t="shared" ref="L330:P330" si="228">K330*(1+L331)</f>
        <v>2259.4783321601903</v>
      </c>
      <c r="M330" s="9">
        <f t="shared" si="228"/>
        <v>2268.5162454888309</v>
      </c>
      <c r="N330" s="9">
        <f t="shared" si="228"/>
        <v>2304.8125054166521</v>
      </c>
      <c r="O330" s="9">
        <f t="shared" si="228"/>
        <v>2348.6039430195683</v>
      </c>
      <c r="P330" s="9">
        <f t="shared" si="228"/>
        <v>2402.6218337090181</v>
      </c>
    </row>
    <row r="331" spans="2:17">
      <c r="B331" s="108" t="s">
        <v>178</v>
      </c>
      <c r="C331" s="98" t="s">
        <v>179</v>
      </c>
      <c r="D331" s="85"/>
      <c r="E331" s="85"/>
      <c r="F331" s="107">
        <f>F330/E330-1</f>
        <v>0.35640779236022402</v>
      </c>
      <c r="G331" s="388">
        <f t="shared" ref="G331" si="229">G330/F330-1</f>
        <v>0.10909847697559694</v>
      </c>
      <c r="H331" s="388"/>
      <c r="I331" s="384"/>
      <c r="J331" s="383"/>
      <c r="K331" s="389">
        <v>8.5000000000000006E-2</v>
      </c>
      <c r="L331" s="389">
        <v>1.6E-2</v>
      </c>
      <c r="M331" s="112">
        <v>4.0000000000000001E-3</v>
      </c>
      <c r="N331" s="112">
        <v>1.6E-2</v>
      </c>
      <c r="O331" s="112">
        <v>1.9E-2</v>
      </c>
      <c r="P331" s="112">
        <v>2.3E-2</v>
      </c>
      <c r="Q331" s="85"/>
    </row>
    <row r="332" spans="2:17">
      <c r="G332" s="377"/>
      <c r="H332" s="377"/>
      <c r="I332" s="377"/>
      <c r="J332" s="377"/>
      <c r="K332" s="377"/>
      <c r="L332" s="377"/>
    </row>
    <row r="333" spans="2:17">
      <c r="B333" s="16" t="s">
        <v>250</v>
      </c>
      <c r="G333" s="377"/>
      <c r="H333" s="377"/>
      <c r="I333" s="377"/>
      <c r="J333" s="377"/>
      <c r="K333" s="377"/>
      <c r="L333" s="377"/>
    </row>
    <row r="334" spans="2:17">
      <c r="B334" s="85"/>
      <c r="C334" s="98"/>
      <c r="D334" s="85"/>
      <c r="E334" s="133"/>
      <c r="F334" s="133"/>
      <c r="G334" s="393"/>
      <c r="H334" s="393"/>
      <c r="I334" s="393"/>
      <c r="J334" s="393"/>
      <c r="K334" s="393"/>
      <c r="L334" s="393"/>
      <c r="M334" s="133"/>
      <c r="N334" s="133"/>
      <c r="O334" s="133"/>
      <c r="P334" s="133"/>
      <c r="Q334" s="85"/>
    </row>
    <row r="335" spans="2:17">
      <c r="B335" s="9" t="s">
        <v>267</v>
      </c>
      <c r="E335" s="9">
        <f>SUM(E336,E341)</f>
        <v>65.809651000000002</v>
      </c>
      <c r="F335" s="9">
        <f t="shared" ref="F335:P335" si="230">SUM(F336,F341)</f>
        <v>1335.7216810660359</v>
      </c>
      <c r="G335" s="377">
        <f t="shared" si="230"/>
        <v>1863.7131256550829</v>
      </c>
      <c r="H335" s="377">
        <f t="shared" si="230"/>
        <v>3317.7162419642132</v>
      </c>
      <c r="I335" s="402">
        <f t="shared" si="230"/>
        <v>3071.6365489710224</v>
      </c>
      <c r="J335" s="377">
        <f t="shared" si="230"/>
        <v>1023.8788496570074</v>
      </c>
      <c r="K335" s="377">
        <f t="shared" si="230"/>
        <v>4095.5153986280297</v>
      </c>
      <c r="L335" s="377">
        <f t="shared" si="230"/>
        <v>7720.9915702540793</v>
      </c>
      <c r="M335" s="9">
        <f t="shared" si="230"/>
        <v>11415.533914408408</v>
      </c>
      <c r="N335" s="9">
        <f t="shared" si="230"/>
        <v>15313.655930902843</v>
      </c>
      <c r="O335" s="9">
        <f t="shared" si="230"/>
        <v>19551.174234891576</v>
      </c>
      <c r="P335" s="9">
        <f t="shared" si="230"/>
        <v>24092.486169119813</v>
      </c>
    </row>
    <row r="336" spans="2:17">
      <c r="B336" s="9" t="s">
        <v>79</v>
      </c>
      <c r="C336" s="93" t="s">
        <v>172</v>
      </c>
      <c r="E336" s="9">
        <v>46.717429000000003</v>
      </c>
      <c r="F336" s="9">
        <v>1007.6413119838298</v>
      </c>
      <c r="G336" s="377">
        <v>1409.9604520271473</v>
      </c>
      <c r="H336" s="377">
        <v>2650.110167652665</v>
      </c>
      <c r="I336" s="378">
        <v>2528.3721060000003</v>
      </c>
      <c r="J336" s="377">
        <f>J337*J339/4</f>
        <v>842.79070200000001</v>
      </c>
      <c r="K336" s="377">
        <f>K337*K339</f>
        <v>3371.162808</v>
      </c>
      <c r="L336" s="377">
        <f t="shared" ref="L336:P336" si="231">L337*L339</f>
        <v>6985.0493381760007</v>
      </c>
      <c r="M336" s="9">
        <f t="shared" si="231"/>
        <v>10676.647913402017</v>
      </c>
      <c r="N336" s="9">
        <f t="shared" si="231"/>
        <v>14562.947753880351</v>
      </c>
      <c r="O336" s="9">
        <f t="shared" si="231"/>
        <v>18786.202602505655</v>
      </c>
      <c r="P336" s="9">
        <f t="shared" si="231"/>
        <v>23309.920189189015</v>
      </c>
    </row>
    <row r="337" spans="2:17">
      <c r="B337" s="89" t="s">
        <v>239</v>
      </c>
      <c r="C337" s="93" t="s">
        <v>175</v>
      </c>
      <c r="D337" s="136"/>
      <c r="E337" s="9">
        <v>0</v>
      </c>
      <c r="F337" s="9">
        <v>0</v>
      </c>
      <c r="G337" s="377">
        <v>3</v>
      </c>
      <c r="H337" s="377">
        <v>5</v>
      </c>
      <c r="I337" s="378">
        <v>5</v>
      </c>
      <c r="J337" s="377">
        <f>I337</f>
        <v>5</v>
      </c>
      <c r="K337" s="377">
        <f>J337</f>
        <v>5</v>
      </c>
      <c r="L337" s="377">
        <f>K337+L338</f>
        <v>10</v>
      </c>
      <c r="M337" s="9">
        <f t="shared" ref="M337:P337" si="232">L337+M338</f>
        <v>15</v>
      </c>
      <c r="N337" s="9">
        <f t="shared" si="232"/>
        <v>20</v>
      </c>
      <c r="O337" s="9">
        <f t="shared" si="232"/>
        <v>25</v>
      </c>
      <c r="P337" s="9">
        <f t="shared" si="232"/>
        <v>30</v>
      </c>
    </row>
    <row r="338" spans="2:17">
      <c r="B338" s="82" t="s">
        <v>176</v>
      </c>
      <c r="C338" s="93" t="s">
        <v>175</v>
      </c>
      <c r="G338" s="377"/>
      <c r="H338" s="377"/>
      <c r="I338" s="378"/>
      <c r="J338" s="377"/>
      <c r="K338" s="385"/>
      <c r="L338" s="385">
        <v>5</v>
      </c>
      <c r="M338" s="109">
        <v>5</v>
      </c>
      <c r="N338" s="109">
        <v>5</v>
      </c>
      <c r="O338" s="109">
        <v>5</v>
      </c>
      <c r="P338" s="109">
        <f>O338</f>
        <v>5</v>
      </c>
    </row>
    <row r="339" spans="2:17">
      <c r="B339" s="89" t="s">
        <v>240</v>
      </c>
      <c r="C339" s="93" t="s">
        <v>172</v>
      </c>
      <c r="G339" s="390">
        <f>G336/G337</f>
        <v>469.98681734238244</v>
      </c>
      <c r="H339" s="390">
        <f>H336/H337</f>
        <v>530.02203353053301</v>
      </c>
      <c r="I339" s="378">
        <f>I336*4/3/I337</f>
        <v>674.23256160000005</v>
      </c>
      <c r="J339" s="377">
        <f>I339</f>
        <v>674.23256160000005</v>
      </c>
      <c r="K339" s="403">
        <f>J339</f>
        <v>674.23256160000005</v>
      </c>
      <c r="L339" s="403">
        <f>K339*(1+L340)</f>
        <v>698.50493381760009</v>
      </c>
      <c r="M339" s="138">
        <f t="shared" ref="M339:P339" si="233">L339*(1+M340)</f>
        <v>711.77652756013447</v>
      </c>
      <c r="N339" s="138">
        <f t="shared" si="233"/>
        <v>728.14738769401754</v>
      </c>
      <c r="O339" s="138">
        <f t="shared" si="233"/>
        <v>751.44810410022615</v>
      </c>
      <c r="P339" s="138">
        <f t="shared" si="233"/>
        <v>776.99733963963388</v>
      </c>
    </row>
    <row r="340" spans="2:17">
      <c r="B340" s="82" t="s">
        <v>178</v>
      </c>
      <c r="C340" s="93" t="s">
        <v>179</v>
      </c>
      <c r="G340" s="377"/>
      <c r="H340" s="377"/>
      <c r="I340" s="378"/>
      <c r="J340" s="377"/>
      <c r="K340" s="148">
        <f>K339/H339-1</f>
        <v>0.272084024712832</v>
      </c>
      <c r="L340" s="148">
        <v>3.6000000000000004E-2</v>
      </c>
      <c r="M340" s="130">
        <v>1.9E-2</v>
      </c>
      <c r="N340" s="130">
        <v>2.3E-2</v>
      </c>
      <c r="O340" s="130">
        <v>3.2000000000000001E-2</v>
      </c>
      <c r="P340" s="130">
        <v>3.4000000000000002E-2</v>
      </c>
    </row>
    <row r="341" spans="2:17">
      <c r="B341" s="9" t="s">
        <v>260</v>
      </c>
      <c r="C341" s="93" t="s">
        <v>172</v>
      </c>
      <c r="E341" s="9">
        <v>19.092222</v>
      </c>
      <c r="F341" s="9">
        <v>328.08036908220606</v>
      </c>
      <c r="G341" s="377">
        <v>453.75267362793562</v>
      </c>
      <c r="H341" s="377">
        <v>667.60607431154824</v>
      </c>
      <c r="I341" s="378">
        <f>K341*3/4</f>
        <v>543.26444297102239</v>
      </c>
      <c r="J341" s="377">
        <f>K341-I341</f>
        <v>181.08814765700743</v>
      </c>
      <c r="K341" s="377">
        <f>H341*(1+K342)</f>
        <v>724.35259062802982</v>
      </c>
      <c r="L341" s="377">
        <f t="shared" ref="L341:P341" si="234">K341*(1+L342)</f>
        <v>735.94223207807829</v>
      </c>
      <c r="M341" s="9">
        <f t="shared" si="234"/>
        <v>738.88600100639064</v>
      </c>
      <c r="N341" s="9">
        <f t="shared" si="234"/>
        <v>750.70817702249292</v>
      </c>
      <c r="O341" s="9">
        <f t="shared" si="234"/>
        <v>764.9716323859202</v>
      </c>
      <c r="P341" s="9">
        <f t="shared" si="234"/>
        <v>782.56597993079629</v>
      </c>
    </row>
    <row r="342" spans="2:17">
      <c r="B342" s="108" t="s">
        <v>178</v>
      </c>
      <c r="C342" s="98" t="s">
        <v>179</v>
      </c>
      <c r="D342" s="85"/>
      <c r="E342" s="85"/>
      <c r="F342" s="107">
        <f>F341/E341-1</f>
        <v>16.183980423138074</v>
      </c>
      <c r="G342" s="388">
        <f t="shared" ref="G342" si="235">G341/F341-1</f>
        <v>0.38305341126411685</v>
      </c>
      <c r="H342" s="388"/>
      <c r="I342" s="384"/>
      <c r="J342" s="383"/>
      <c r="K342" s="389">
        <v>8.5000000000000006E-2</v>
      </c>
      <c r="L342" s="389">
        <v>1.6E-2</v>
      </c>
      <c r="M342" s="112">
        <v>4.0000000000000001E-3</v>
      </c>
      <c r="N342" s="112">
        <v>1.6E-2</v>
      </c>
      <c r="O342" s="112">
        <v>1.9E-2</v>
      </c>
      <c r="P342" s="112">
        <v>2.3E-2</v>
      </c>
      <c r="Q342" s="85"/>
    </row>
    <row r="343" spans="2:17">
      <c r="G343" s="377"/>
      <c r="H343" s="377"/>
      <c r="I343" s="377"/>
      <c r="J343" s="377"/>
      <c r="K343" s="377"/>
      <c r="L343" s="377"/>
    </row>
    <row r="344" spans="2:17">
      <c r="B344" s="16" t="s">
        <v>254</v>
      </c>
      <c r="G344" s="377"/>
      <c r="H344" s="377"/>
      <c r="I344" s="377"/>
      <c r="J344" s="377"/>
      <c r="K344" s="377"/>
      <c r="L344" s="377"/>
    </row>
    <row r="345" spans="2:17">
      <c r="B345" s="85"/>
      <c r="C345" s="98"/>
      <c r="D345" s="85"/>
      <c r="E345" s="133"/>
      <c r="F345" s="133"/>
      <c r="G345" s="393"/>
      <c r="H345" s="393"/>
      <c r="I345" s="393"/>
      <c r="J345" s="393"/>
      <c r="K345" s="393"/>
      <c r="L345" s="393"/>
      <c r="M345" s="133"/>
      <c r="N345" s="133"/>
      <c r="O345" s="133"/>
      <c r="P345" s="133"/>
      <c r="Q345" s="85"/>
    </row>
    <row r="346" spans="2:17">
      <c r="B346" s="9" t="s">
        <v>268</v>
      </c>
      <c r="E346" s="9">
        <f>SUM(E347,E353)</f>
        <v>700.88035100000047</v>
      </c>
      <c r="F346" s="9">
        <f t="shared" ref="F346:P346" si="236">SUM(F347,F353)</f>
        <v>2887.4967115912286</v>
      </c>
      <c r="G346" s="377">
        <f t="shared" si="236"/>
        <v>1676.2718757892603</v>
      </c>
      <c r="H346" s="377">
        <f t="shared" si="236"/>
        <v>957.77307833528698</v>
      </c>
      <c r="I346" s="402">
        <f t="shared" si="236"/>
        <v>750.16132481745615</v>
      </c>
      <c r="J346" s="377">
        <f t="shared" si="236"/>
        <v>250.05377493915205</v>
      </c>
      <c r="K346" s="377">
        <f t="shared" si="236"/>
        <v>1000.2150997566082</v>
      </c>
      <c r="L346" s="377">
        <f t="shared" si="236"/>
        <v>1300.6677706082273</v>
      </c>
      <c r="M346" s="9">
        <f t="shared" si="236"/>
        <v>1346.1004140401301</v>
      </c>
      <c r="N346" s="9">
        <f t="shared" si="236"/>
        <v>1397.3525479919949</v>
      </c>
      <c r="O346" s="9">
        <f t="shared" si="236"/>
        <v>1461.6053422098366</v>
      </c>
      <c r="P346" s="9">
        <f t="shared" si="236"/>
        <v>1531.5850041528831</v>
      </c>
    </row>
    <row r="347" spans="2:17">
      <c r="B347" s="9" t="s">
        <v>79</v>
      </c>
      <c r="C347" s="93" t="s">
        <v>172</v>
      </c>
      <c r="E347" s="9">
        <v>531.46358600000008</v>
      </c>
      <c r="F347" s="9">
        <v>1787.8343533569182</v>
      </c>
      <c r="G347" s="9">
        <v>1179.3174980839799</v>
      </c>
      <c r="H347" s="9">
        <v>670.75138623562987</v>
      </c>
      <c r="I347" s="83">
        <v>516.59742287136021</v>
      </c>
      <c r="J347" s="9">
        <f>J348*J351/4</f>
        <v>172.19914095712008</v>
      </c>
      <c r="K347" s="9">
        <f>K348*K351</f>
        <v>688.79656382848032</v>
      </c>
      <c r="L347" s="9">
        <f t="shared" ref="L347:P347" si="237">L348*L351</f>
        <v>984.26653810524942</v>
      </c>
      <c r="M347" s="9">
        <f t="shared" si="237"/>
        <v>1028.4335766071401</v>
      </c>
      <c r="N347" s="9">
        <f t="shared" si="237"/>
        <v>1074.6030411600773</v>
      </c>
      <c r="O347" s="9">
        <f t="shared" si="237"/>
        <v>1132.7235947481126</v>
      </c>
      <c r="P347" s="9">
        <f t="shared" si="237"/>
        <v>1195.1389764995395</v>
      </c>
    </row>
    <row r="348" spans="2:17">
      <c r="B348" s="89" t="s">
        <v>239</v>
      </c>
      <c r="C348" s="93" t="s">
        <v>175</v>
      </c>
      <c r="E348" s="9">
        <v>0</v>
      </c>
      <c r="F348" s="9">
        <v>0</v>
      </c>
      <c r="G348" s="9">
        <v>3</v>
      </c>
      <c r="H348" s="9">
        <v>2</v>
      </c>
      <c r="I348" s="83">
        <v>1.2798151697829121</v>
      </c>
      <c r="J348" s="9">
        <f>I348</f>
        <v>1.2798151697829121</v>
      </c>
      <c r="K348" s="9">
        <f>J348</f>
        <v>1.2798151697829121</v>
      </c>
      <c r="L348" s="9">
        <f>L134/L349</f>
        <v>1.7652623031488448</v>
      </c>
      <c r="M348" s="9">
        <f t="shared" ref="M348:P348" si="238">M134/M349</f>
        <v>1.8100834163147335</v>
      </c>
      <c r="N348" s="9">
        <f t="shared" si="238"/>
        <v>1.8488206100490954</v>
      </c>
      <c r="O348" s="9">
        <f t="shared" si="238"/>
        <v>1.8883868098750489</v>
      </c>
      <c r="P348" s="9">
        <f t="shared" si="238"/>
        <v>1.9269253161990296</v>
      </c>
    </row>
    <row r="349" spans="2:17">
      <c r="B349" s="82" t="s">
        <v>269</v>
      </c>
      <c r="C349" s="93" t="s">
        <v>172</v>
      </c>
      <c r="G349" s="127">
        <f>G134/G348</f>
        <v>6120.8450518842646</v>
      </c>
      <c r="H349" s="127">
        <f t="shared" ref="H349:I349" si="239">H134/H348</f>
        <v>9133.6033358264012</v>
      </c>
      <c r="I349" s="128">
        <f t="shared" si="239"/>
        <v>10714.285714285714</v>
      </c>
      <c r="J349" s="127">
        <f>I349</f>
        <v>10714.285714285714</v>
      </c>
      <c r="K349" s="127">
        <f>J349</f>
        <v>10714.285714285714</v>
      </c>
      <c r="L349" s="127">
        <f>K349*(1+L350)</f>
        <v>10874.999999999998</v>
      </c>
      <c r="M349" s="127">
        <f t="shared" ref="M349:P349" si="240">L349*(1+M350)</f>
        <v>11135.999999999998</v>
      </c>
      <c r="N349" s="127">
        <f t="shared" si="240"/>
        <v>11447.807999999999</v>
      </c>
      <c r="O349" s="127">
        <f t="shared" si="240"/>
        <v>11768.346624</v>
      </c>
      <c r="P349" s="127">
        <f t="shared" si="240"/>
        <v>12109.628676095999</v>
      </c>
    </row>
    <row r="350" spans="2:17">
      <c r="B350" s="115" t="s">
        <v>178</v>
      </c>
      <c r="C350" s="93" t="s">
        <v>179</v>
      </c>
      <c r="I350" s="83"/>
      <c r="K350" s="130">
        <f>K349/H349-1</f>
        <v>0.17306229757746472</v>
      </c>
      <c r="L350" s="130">
        <v>1.4999999999999999E-2</v>
      </c>
      <c r="M350" s="130">
        <v>2.4E-2</v>
      </c>
      <c r="N350" s="130">
        <v>2.7999999999999997E-2</v>
      </c>
      <c r="O350" s="130">
        <v>2.7999999999999997E-2</v>
      </c>
      <c r="P350" s="130">
        <v>2.8999999999999998E-2</v>
      </c>
    </row>
    <row r="351" spans="2:17">
      <c r="B351" s="89" t="s">
        <v>240</v>
      </c>
      <c r="C351" s="93" t="s">
        <v>172</v>
      </c>
      <c r="G351" s="127">
        <f>G347/G348</f>
        <v>393.10583269465997</v>
      </c>
      <c r="H351" s="390">
        <f>H347/H348</f>
        <v>335.37569311781493</v>
      </c>
      <c r="I351" s="378">
        <f>I347*4/3/I348</f>
        <v>538.20003082579262</v>
      </c>
      <c r="J351" s="377">
        <f>I351</f>
        <v>538.20003082579262</v>
      </c>
      <c r="K351" s="403">
        <f>J351</f>
        <v>538.20003082579262</v>
      </c>
      <c r="L351" s="138">
        <f>K351*(1+L352)</f>
        <v>557.57523193552117</v>
      </c>
      <c r="M351" s="138">
        <f t="shared" ref="M351:P351" si="241">L351*(1+M352)</f>
        <v>568.16916134229598</v>
      </c>
      <c r="N351" s="138">
        <f t="shared" si="241"/>
        <v>581.23705205316878</v>
      </c>
      <c r="O351" s="138">
        <f t="shared" si="241"/>
        <v>599.83663771887018</v>
      </c>
      <c r="P351" s="138">
        <f t="shared" si="241"/>
        <v>620.23108340131182</v>
      </c>
    </row>
    <row r="352" spans="2:17">
      <c r="B352" s="82" t="s">
        <v>178</v>
      </c>
      <c r="C352" s="93" t="s">
        <v>179</v>
      </c>
      <c r="H352" s="377"/>
      <c r="I352" s="378"/>
      <c r="J352" s="377"/>
      <c r="K352" s="148">
        <f>K351/H351-1</f>
        <v>0.60476755432817564</v>
      </c>
      <c r="L352" s="130">
        <v>3.6000000000000004E-2</v>
      </c>
      <c r="M352" s="130">
        <v>1.9E-2</v>
      </c>
      <c r="N352" s="130">
        <v>2.3E-2</v>
      </c>
      <c r="O352" s="130">
        <v>3.2000000000000001E-2</v>
      </c>
      <c r="P352" s="130">
        <v>3.4000000000000002E-2</v>
      </c>
    </row>
    <row r="353" spans="2:17">
      <c r="B353" s="9" t="s">
        <v>260</v>
      </c>
      <c r="C353" s="93" t="s">
        <v>172</v>
      </c>
      <c r="E353" s="9">
        <v>169.41676500000034</v>
      </c>
      <c r="F353" s="9">
        <v>1099.6623582343107</v>
      </c>
      <c r="G353" s="9">
        <v>496.95437770528036</v>
      </c>
      <c r="H353" s="377">
        <v>287.02169209965706</v>
      </c>
      <c r="I353" s="378">
        <f>K353*3/4</f>
        <v>233.56390194609591</v>
      </c>
      <c r="J353" s="377">
        <f>K353-I353</f>
        <v>77.85463398203197</v>
      </c>
      <c r="K353" s="377">
        <f>H353*(1+K354)</f>
        <v>311.41853592812788</v>
      </c>
      <c r="L353" s="9">
        <f t="shared" ref="L353:P353" si="242">K353*(1+L354)</f>
        <v>316.4012325029779</v>
      </c>
      <c r="M353" s="9">
        <f t="shared" si="242"/>
        <v>317.66683743298984</v>
      </c>
      <c r="N353" s="9">
        <f t="shared" si="242"/>
        <v>322.7495068319177</v>
      </c>
      <c r="O353" s="9">
        <f t="shared" si="242"/>
        <v>328.8817474617241</v>
      </c>
      <c r="P353" s="9">
        <f t="shared" si="242"/>
        <v>336.44602765334372</v>
      </c>
    </row>
    <row r="354" spans="2:17">
      <c r="B354" s="108" t="s">
        <v>178</v>
      </c>
      <c r="C354" s="98" t="s">
        <v>179</v>
      </c>
      <c r="D354" s="85"/>
      <c r="E354" s="85"/>
      <c r="F354" s="107">
        <f>F353/E353-1</f>
        <v>5.4908709491313239</v>
      </c>
      <c r="G354" s="107">
        <f t="shared" ref="G354" si="243">G353/F353-1</f>
        <v>-0.54808457888544759</v>
      </c>
      <c r="H354" s="388"/>
      <c r="I354" s="384"/>
      <c r="J354" s="383"/>
      <c r="K354" s="389">
        <v>8.5000000000000006E-2</v>
      </c>
      <c r="L354" s="112">
        <v>1.6E-2</v>
      </c>
      <c r="M354" s="112">
        <v>4.0000000000000001E-3</v>
      </c>
      <c r="N354" s="112">
        <v>1.6E-2</v>
      </c>
      <c r="O354" s="112">
        <v>1.9E-2</v>
      </c>
      <c r="P354" s="112">
        <v>2.3E-2</v>
      </c>
      <c r="Q354" s="85"/>
    </row>
    <row r="355" spans="2:17">
      <c r="H355" s="377"/>
      <c r="I355" s="377"/>
      <c r="J355" s="377"/>
      <c r="K355" s="37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269C-3A52-4CF5-AC56-0C7915831A68}">
  <sheetPr>
    <tabColor theme="4"/>
  </sheetPr>
  <dimension ref="B1:R271"/>
  <sheetViews>
    <sheetView showGridLines="0" zoomScale="70" zoomScaleNormal="70" workbookViewId="0">
      <pane xSplit="3" ySplit="4" topLeftCell="D5" activePane="bottomRight" state="frozen"/>
      <selection activeCell="K33" sqref="K33:O37"/>
      <selection pane="topRight" activeCell="K33" sqref="K33:O37"/>
      <selection pane="bottomLeft" activeCell="K33" sqref="K33:O37"/>
      <selection pane="bottomRight" activeCell="D5" sqref="D5"/>
    </sheetView>
  </sheetViews>
  <sheetFormatPr defaultRowHeight="15.6" outlineLevelCol="1"/>
  <cols>
    <col min="1" max="1" width="2.6640625" style="9" customWidth="1"/>
    <col min="2" max="2" width="52.6640625" style="9" customWidth="1"/>
    <col min="3" max="3" width="15.33203125" style="93" customWidth="1"/>
    <col min="4" max="10" width="15.33203125" style="9" customWidth="1"/>
    <col min="11" max="11" width="15.33203125" style="9" customWidth="1" outlineLevel="1"/>
    <col min="12" max="17" width="15.33203125" style="9" customWidth="1"/>
    <col min="18" max="18" width="3.109375" style="9" customWidth="1"/>
    <col min="19" max="16384" width="8.88671875" style="9"/>
  </cols>
  <sheetData>
    <row r="1" spans="2:18" s="4" customFormat="1">
      <c r="B1" s="1" t="s">
        <v>0</v>
      </c>
      <c r="C1" s="92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8" s="4" customFormat="1">
      <c r="B2" s="2" t="s">
        <v>270</v>
      </c>
      <c r="C2" s="9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8" s="4" customFormat="1">
      <c r="B3" s="5"/>
      <c r="C3" s="6"/>
      <c r="D3" s="6"/>
      <c r="E3" s="6">
        <v>2018</v>
      </c>
      <c r="F3" s="6">
        <v>2019</v>
      </c>
      <c r="G3" s="6">
        <v>2020</v>
      </c>
      <c r="H3" s="6">
        <v>2021</v>
      </c>
      <c r="I3" s="6">
        <v>2022</v>
      </c>
      <c r="J3" s="6">
        <v>2022</v>
      </c>
      <c r="K3" s="6">
        <v>2022</v>
      </c>
      <c r="L3" s="6">
        <v>2023</v>
      </c>
      <c r="M3" s="6">
        <v>2024</v>
      </c>
      <c r="N3" s="6">
        <v>2025</v>
      </c>
      <c r="O3" s="6">
        <v>2026</v>
      </c>
      <c r="P3" s="6">
        <v>2027</v>
      </c>
      <c r="Q3" s="6" t="s">
        <v>3</v>
      </c>
    </row>
    <row r="4" spans="2:18" s="4" customFormat="1">
      <c r="B4" s="7" t="s">
        <v>4</v>
      </c>
      <c r="C4" s="8"/>
      <c r="D4" s="8"/>
      <c r="E4" s="8" t="s">
        <v>5</v>
      </c>
      <c r="F4" s="8" t="s">
        <v>5</v>
      </c>
      <c r="G4" s="8" t="s">
        <v>5</v>
      </c>
      <c r="H4" s="8" t="s">
        <v>5</v>
      </c>
      <c r="I4" s="8" t="s">
        <v>6</v>
      </c>
      <c r="J4" s="8" t="s">
        <v>7</v>
      </c>
      <c r="K4" s="8" t="s">
        <v>5</v>
      </c>
      <c r="L4" s="8" t="s">
        <v>5</v>
      </c>
      <c r="M4" s="8" t="s">
        <v>5</v>
      </c>
      <c r="N4" s="8" t="s">
        <v>5</v>
      </c>
      <c r="O4" s="8" t="s">
        <v>5</v>
      </c>
      <c r="P4" s="8" t="s">
        <v>5</v>
      </c>
      <c r="Q4" s="8"/>
    </row>
    <row r="6" spans="2:18">
      <c r="B6" s="11" t="s">
        <v>271</v>
      </c>
      <c r="C6" s="9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8" spans="2:18">
      <c r="B8" s="12" t="s">
        <v>9</v>
      </c>
      <c r="C8" s="95"/>
      <c r="D8" s="12"/>
      <c r="E8" s="12">
        <f>E9+E12+E13</f>
        <v>53997.946956000007</v>
      </c>
      <c r="F8" s="12">
        <f t="shared" ref="F8:Q8" si="0">F9+F12+F13</f>
        <v>69147.807591000004</v>
      </c>
      <c r="G8" s="12">
        <f t="shared" si="0"/>
        <v>131245.59382846716</v>
      </c>
      <c r="H8" s="12">
        <f t="shared" si="0"/>
        <v>248073.1193642976</v>
      </c>
      <c r="I8" s="13">
        <f t="shared" si="0"/>
        <v>221968.32136032538</v>
      </c>
      <c r="J8" s="12">
        <f t="shared" si="0"/>
        <v>89099.832177153279</v>
      </c>
      <c r="K8" s="12">
        <f t="shared" si="0"/>
        <v>311068.15353747865</v>
      </c>
      <c r="L8" s="12">
        <f t="shared" si="0"/>
        <v>402081.05467039288</v>
      </c>
      <c r="M8" s="12">
        <f t="shared" si="0"/>
        <v>476153.07647828921</v>
      </c>
      <c r="N8" s="12">
        <f t="shared" si="0"/>
        <v>542669.78562690516</v>
      </c>
      <c r="O8" s="12">
        <f t="shared" si="0"/>
        <v>604746.77059840062</v>
      </c>
      <c r="P8" s="12">
        <f t="shared" si="0"/>
        <v>663734.47651359288</v>
      </c>
      <c r="Q8" s="12">
        <f t="shared" si="0"/>
        <v>670371.82127872878</v>
      </c>
      <c r="R8" s="9">
        <f t="shared" ref="R8:R31" si="1">SUM(I8:J8)-K8</f>
        <v>0</v>
      </c>
    </row>
    <row r="9" spans="2:18">
      <c r="B9" s="89" t="s">
        <v>62</v>
      </c>
      <c r="E9" s="9">
        <f>SUM(E10:E11)</f>
        <v>0</v>
      </c>
      <c r="F9" s="9">
        <f t="shared" ref="F9:Q9" si="2">SUM(F10:F11)</f>
        <v>0</v>
      </c>
      <c r="G9" s="9">
        <f t="shared" si="2"/>
        <v>40787.869726000004</v>
      </c>
      <c r="H9" s="9">
        <f t="shared" si="2"/>
        <v>155086.03394700002</v>
      </c>
      <c r="I9" s="83">
        <f t="shared" si="2"/>
        <v>140093.934457</v>
      </c>
      <c r="J9" s="9">
        <f t="shared" si="2"/>
        <v>61476.035098954017</v>
      </c>
      <c r="K9" s="9">
        <f t="shared" si="2"/>
        <v>201569.96955595401</v>
      </c>
      <c r="L9" s="9">
        <f t="shared" si="2"/>
        <v>300694.65503900853</v>
      </c>
      <c r="M9" s="9">
        <f t="shared" si="2"/>
        <v>355312.24679359066</v>
      </c>
      <c r="N9" s="9">
        <f t="shared" si="2"/>
        <v>400620.50214758271</v>
      </c>
      <c r="O9" s="9">
        <f t="shared" si="2"/>
        <v>437741.9126287821</v>
      </c>
      <c r="P9" s="9">
        <f t="shared" si="2"/>
        <v>477540.62502866285</v>
      </c>
      <c r="Q9" s="9">
        <f t="shared" si="2"/>
        <v>482316.03127894946</v>
      </c>
      <c r="R9" s="9">
        <f t="shared" si="1"/>
        <v>0</v>
      </c>
    </row>
    <row r="10" spans="2:18">
      <c r="B10" s="82" t="s">
        <v>52</v>
      </c>
      <c r="E10" s="9">
        <f>E48</f>
        <v>0</v>
      </c>
      <c r="F10" s="9">
        <f t="shared" ref="F10:Q11" si="3">F48</f>
        <v>0</v>
      </c>
      <c r="G10" s="9">
        <f t="shared" si="3"/>
        <v>16429.545165</v>
      </c>
      <c r="H10" s="9">
        <f t="shared" si="3"/>
        <v>113677.06329300001</v>
      </c>
      <c r="I10" s="83">
        <f t="shared" si="3"/>
        <v>102343.420713</v>
      </c>
      <c r="J10" s="9">
        <f t="shared" si="3"/>
        <v>48892.530517620682</v>
      </c>
      <c r="K10" s="9">
        <f t="shared" si="3"/>
        <v>151235.95123062067</v>
      </c>
      <c r="L10" s="9">
        <f t="shared" si="3"/>
        <v>243373.88778536257</v>
      </c>
      <c r="M10" s="9">
        <f t="shared" si="3"/>
        <v>279254.50667163654</v>
      </c>
      <c r="N10" s="9">
        <f t="shared" si="3"/>
        <v>305225.20587697491</v>
      </c>
      <c r="O10" s="9">
        <f t="shared" si="3"/>
        <v>320369.54841945297</v>
      </c>
      <c r="P10" s="9">
        <f>P48</f>
        <v>335480.43210849876</v>
      </c>
      <c r="Q10" s="9">
        <f t="shared" si="3"/>
        <v>338835.23642958375</v>
      </c>
      <c r="R10" s="9">
        <f t="shared" si="1"/>
        <v>0</v>
      </c>
    </row>
    <row r="11" spans="2:18">
      <c r="B11" s="82" t="s">
        <v>58</v>
      </c>
      <c r="E11" s="9">
        <f t="shared" ref="E11:G11" si="4">E49</f>
        <v>0</v>
      </c>
      <c r="F11" s="9">
        <f t="shared" si="4"/>
        <v>0</v>
      </c>
      <c r="G11" s="9">
        <f t="shared" si="4"/>
        <v>24358.324561000001</v>
      </c>
      <c r="H11" s="9">
        <f t="shared" si="3"/>
        <v>41408.970654000004</v>
      </c>
      <c r="I11" s="83">
        <f t="shared" si="3"/>
        <v>37750.513744000003</v>
      </c>
      <c r="J11" s="9">
        <f t="shared" si="3"/>
        <v>12583.504581333334</v>
      </c>
      <c r="K11" s="9">
        <f t="shared" si="3"/>
        <v>50334.018325333338</v>
      </c>
      <c r="L11" s="9">
        <f t="shared" si="3"/>
        <v>57320.76725364595</v>
      </c>
      <c r="M11" s="9">
        <f t="shared" si="3"/>
        <v>76057.740121954121</v>
      </c>
      <c r="N11" s="9">
        <f t="shared" si="3"/>
        <v>95395.296270607811</v>
      </c>
      <c r="O11" s="9">
        <f t="shared" si="3"/>
        <v>117372.3642093291</v>
      </c>
      <c r="P11" s="9">
        <f t="shared" si="3"/>
        <v>142060.19292016409</v>
      </c>
      <c r="Q11" s="9">
        <f t="shared" si="3"/>
        <v>143480.79484936572</v>
      </c>
      <c r="R11" s="9">
        <f t="shared" si="1"/>
        <v>0</v>
      </c>
    </row>
    <row r="12" spans="2:18">
      <c r="B12" s="89" t="s">
        <v>63</v>
      </c>
      <c r="E12" s="9">
        <f>E80</f>
        <v>0</v>
      </c>
      <c r="F12" s="9">
        <f t="shared" ref="F12:Q12" si="5">F80</f>
        <v>0</v>
      </c>
      <c r="G12" s="9">
        <f t="shared" si="5"/>
        <v>7238.990033</v>
      </c>
      <c r="H12" s="9">
        <f t="shared" si="5"/>
        <v>10923.271363000002</v>
      </c>
      <c r="I12" s="83">
        <f t="shared" si="5"/>
        <v>10060.648226000001</v>
      </c>
      <c r="J12" s="9">
        <f t="shared" si="5"/>
        <v>3685.8841857574698</v>
      </c>
      <c r="K12" s="9">
        <f t="shared" si="5"/>
        <v>13746.532411757471</v>
      </c>
      <c r="L12" s="9">
        <f t="shared" si="5"/>
        <v>23876.444997285595</v>
      </c>
      <c r="M12" s="9">
        <f t="shared" si="5"/>
        <v>35447.770901115568</v>
      </c>
      <c r="N12" s="9">
        <f t="shared" si="5"/>
        <v>49538.342234318552</v>
      </c>
      <c r="O12" s="9">
        <f t="shared" si="5"/>
        <v>66723.984836871285</v>
      </c>
      <c r="P12" s="9">
        <f t="shared" si="5"/>
        <v>77402.741514936512</v>
      </c>
      <c r="Q12" s="9">
        <f t="shared" si="5"/>
        <v>78176.768930085876</v>
      </c>
      <c r="R12" s="9">
        <f t="shared" si="1"/>
        <v>0</v>
      </c>
    </row>
    <row r="13" spans="2:18">
      <c r="B13" s="89" t="s">
        <v>64</v>
      </c>
      <c r="E13" s="9">
        <f>SUM(E14:E16)</f>
        <v>53997.946956000007</v>
      </c>
      <c r="F13" s="9">
        <f t="shared" ref="F13:Q13" si="6">SUM(F14:F16)</f>
        <v>69147.807591000004</v>
      </c>
      <c r="G13" s="9">
        <f t="shared" si="6"/>
        <v>83218.734069467144</v>
      </c>
      <c r="H13" s="9">
        <f t="shared" si="6"/>
        <v>82063.814054297589</v>
      </c>
      <c r="I13" s="83">
        <f t="shared" si="6"/>
        <v>71813.738677325382</v>
      </c>
      <c r="J13" s="9">
        <f t="shared" si="6"/>
        <v>23937.912892441793</v>
      </c>
      <c r="K13" s="9">
        <f t="shared" si="6"/>
        <v>95751.651569767171</v>
      </c>
      <c r="L13" s="9">
        <f t="shared" si="6"/>
        <v>77509.954634098714</v>
      </c>
      <c r="M13" s="9">
        <f t="shared" si="6"/>
        <v>85393.058783582979</v>
      </c>
      <c r="N13" s="9">
        <f t="shared" si="6"/>
        <v>92510.941245003894</v>
      </c>
      <c r="O13" s="9">
        <f t="shared" si="6"/>
        <v>100280.87313274729</v>
      </c>
      <c r="P13" s="9">
        <f t="shared" si="6"/>
        <v>108791.10996999346</v>
      </c>
      <c r="Q13" s="9">
        <f t="shared" si="6"/>
        <v>109879.02106969338</v>
      </c>
      <c r="R13" s="9">
        <f t="shared" si="1"/>
        <v>0</v>
      </c>
    </row>
    <row r="14" spans="2:18">
      <c r="B14" s="82" t="s">
        <v>272</v>
      </c>
      <c r="E14" s="9">
        <f>E89</f>
        <v>46368.062598000004</v>
      </c>
      <c r="F14" s="9">
        <f t="shared" ref="F14:Q14" si="7">F89</f>
        <v>49365.457892000006</v>
      </c>
      <c r="G14" s="9">
        <f t="shared" si="7"/>
        <v>61609.892890000003</v>
      </c>
      <c r="H14" s="9">
        <f t="shared" si="7"/>
        <v>58344.823697999993</v>
      </c>
      <c r="I14" s="83">
        <f t="shared" si="7"/>
        <v>49572.482785</v>
      </c>
      <c r="J14" s="9">
        <f t="shared" si="7"/>
        <v>16524.160928333335</v>
      </c>
      <c r="K14" s="9">
        <f t="shared" si="7"/>
        <v>66096.643713333338</v>
      </c>
      <c r="L14" s="9">
        <f t="shared" si="7"/>
        <v>73374.735327010669</v>
      </c>
      <c r="M14" s="9">
        <f t="shared" si="7"/>
        <v>80698.505339937037</v>
      </c>
      <c r="N14" s="9">
        <f t="shared" si="7"/>
        <v>87154.385767131986</v>
      </c>
      <c r="O14" s="9">
        <f t="shared" si="7"/>
        <v>94127.954719149202</v>
      </c>
      <c r="P14" s="9">
        <f t="shared" si="7"/>
        <v>101659.50665160385</v>
      </c>
      <c r="Q14" s="9">
        <f t="shared" si="7"/>
        <v>102676.10171811988</v>
      </c>
      <c r="R14" s="9">
        <f t="shared" si="1"/>
        <v>0</v>
      </c>
    </row>
    <row r="15" spans="2:18">
      <c r="B15" s="82" t="s">
        <v>273</v>
      </c>
      <c r="E15" s="9">
        <f>E91</f>
        <v>7629.8843580000002</v>
      </c>
      <c r="F15" s="9">
        <f t="shared" ref="F15:Q15" si="8">F91</f>
        <v>19331.070672999998</v>
      </c>
      <c r="G15" s="9">
        <f t="shared" si="8"/>
        <v>18405.437600467132</v>
      </c>
      <c r="H15" s="9">
        <f t="shared" si="8"/>
        <v>21008.850175297601</v>
      </c>
      <c r="I15" s="83">
        <f t="shared" si="8"/>
        <v>19633.572346325382</v>
      </c>
      <c r="J15" s="9">
        <f t="shared" si="8"/>
        <v>6544.5241154417936</v>
      </c>
      <c r="K15" s="9">
        <f t="shared" si="8"/>
        <v>26178.096461767174</v>
      </c>
      <c r="L15" s="9">
        <f t="shared" si="8"/>
        <v>0</v>
      </c>
      <c r="M15" s="9">
        <f t="shared" si="8"/>
        <v>0</v>
      </c>
      <c r="N15" s="9">
        <f t="shared" si="8"/>
        <v>0</v>
      </c>
      <c r="O15" s="9">
        <f t="shared" si="8"/>
        <v>0</v>
      </c>
      <c r="P15" s="9">
        <f t="shared" si="8"/>
        <v>0</v>
      </c>
      <c r="Q15" s="9">
        <f t="shared" si="8"/>
        <v>0</v>
      </c>
      <c r="R15" s="9">
        <f t="shared" si="1"/>
        <v>0</v>
      </c>
    </row>
    <row r="16" spans="2:18">
      <c r="B16" s="82" t="s">
        <v>274</v>
      </c>
      <c r="E16" s="9">
        <f>E93</f>
        <v>0</v>
      </c>
      <c r="F16" s="9">
        <f t="shared" ref="F16:Q16" si="9">F93</f>
        <v>451.27902600000004</v>
      </c>
      <c r="G16" s="9">
        <f t="shared" si="9"/>
        <v>3203.4035789999998</v>
      </c>
      <c r="H16" s="9">
        <f t="shared" si="9"/>
        <v>2710.1401809999998</v>
      </c>
      <c r="I16" s="83">
        <f t="shared" si="9"/>
        <v>2607.6835460000002</v>
      </c>
      <c r="J16" s="9">
        <f t="shared" si="9"/>
        <v>869.22784866666677</v>
      </c>
      <c r="K16" s="9">
        <f t="shared" si="9"/>
        <v>3476.9113946666671</v>
      </c>
      <c r="L16" s="9">
        <f t="shared" si="9"/>
        <v>4135.2193070880521</v>
      </c>
      <c r="M16" s="9">
        <f t="shared" si="9"/>
        <v>4694.5534436459429</v>
      </c>
      <c r="N16" s="9">
        <f t="shared" si="9"/>
        <v>5356.5554778719061</v>
      </c>
      <c r="O16" s="9">
        <f t="shared" si="9"/>
        <v>6152.9184135980922</v>
      </c>
      <c r="P16" s="9">
        <f t="shared" si="9"/>
        <v>7131.6033183896061</v>
      </c>
      <c r="Q16" s="9">
        <f t="shared" si="9"/>
        <v>7202.9193515735024</v>
      </c>
      <c r="R16" s="9">
        <f t="shared" si="1"/>
        <v>0</v>
      </c>
    </row>
    <row r="17" spans="2:18">
      <c r="B17" s="16" t="s">
        <v>77</v>
      </c>
      <c r="C17" s="96"/>
      <c r="D17" s="16"/>
      <c r="E17" s="16">
        <f t="shared" ref="E17:H17" si="10">SUM(E18:E22)</f>
        <v>41567.547920999998</v>
      </c>
      <c r="F17" s="16">
        <f t="shared" si="10"/>
        <v>53322.983417999996</v>
      </c>
      <c r="G17" s="16">
        <f t="shared" si="10"/>
        <v>109829.65993002582</v>
      </c>
      <c r="H17" s="16">
        <f t="shared" si="10"/>
        <v>219546.78792395547</v>
      </c>
      <c r="I17" s="17">
        <f>I110+I136+I152+I167+I181</f>
        <v>192742.50031093601</v>
      </c>
      <c r="J17" s="16">
        <f t="shared" ref="J17:Q17" si="11">SUM(J18:J22)</f>
        <v>77873.108049962262</v>
      </c>
      <c r="K17" s="16">
        <f t="shared" ref="K17" si="12">SUM(K18:K22)</f>
        <v>270615.60836089827</v>
      </c>
      <c r="L17" s="16">
        <f t="shared" si="11"/>
        <v>349437.91051849374</v>
      </c>
      <c r="M17" s="16">
        <f t="shared" si="11"/>
        <v>408057.93266175024</v>
      </c>
      <c r="N17" s="16">
        <f t="shared" si="11"/>
        <v>458723.57047106791</v>
      </c>
      <c r="O17" s="16">
        <f t="shared" si="11"/>
        <v>503433.60356411641</v>
      </c>
      <c r="P17" s="16">
        <f t="shared" si="11"/>
        <v>544341.99828943866</v>
      </c>
      <c r="Q17" s="16">
        <f t="shared" si="11"/>
        <v>549785.4182723331</v>
      </c>
      <c r="R17" s="9">
        <f t="shared" si="1"/>
        <v>0</v>
      </c>
    </row>
    <row r="18" spans="2:18">
      <c r="B18" s="89" t="s">
        <v>86</v>
      </c>
      <c r="E18" s="9">
        <f>E102</f>
        <v>37805.601717999998</v>
      </c>
      <c r="F18" s="9">
        <f t="shared" ref="F18:Q22" si="13">F102</f>
        <v>47588.229123999998</v>
      </c>
      <c r="G18" s="9">
        <f t="shared" si="13"/>
        <v>70499.1898039808</v>
      </c>
      <c r="H18" s="9">
        <f t="shared" si="13"/>
        <v>76514.997457477904</v>
      </c>
      <c r="I18" s="83">
        <f t="shared" si="13"/>
        <v>69028.110652734278</v>
      </c>
      <c r="J18" s="9">
        <f t="shared" si="13"/>
        <v>23203.834767218334</v>
      </c>
      <c r="K18" s="9">
        <f t="shared" si="13"/>
        <v>92231.945419952608</v>
      </c>
      <c r="L18" s="9">
        <f t="shared" si="13"/>
        <v>86257.40883422771</v>
      </c>
      <c r="M18" s="9">
        <f t="shared" si="13"/>
        <v>104269.0714794091</v>
      </c>
      <c r="N18" s="9">
        <f t="shared" si="13"/>
        <v>123012.92746149258</v>
      </c>
      <c r="O18" s="9">
        <f t="shared" si="13"/>
        <v>144451.13606643112</v>
      </c>
      <c r="P18" s="9">
        <f t="shared" si="13"/>
        <v>163173.24537670196</v>
      </c>
      <c r="Q18" s="9">
        <f t="shared" si="13"/>
        <v>164804.97783046897</v>
      </c>
      <c r="R18" s="9">
        <f t="shared" si="1"/>
        <v>0</v>
      </c>
    </row>
    <row r="19" spans="2:18">
      <c r="B19" s="89" t="s">
        <v>79</v>
      </c>
      <c r="E19" s="9">
        <f t="shared" ref="E19:G22" si="14">E103</f>
        <v>2336.378346</v>
      </c>
      <c r="F19" s="9">
        <f t="shared" si="14"/>
        <v>3014.6998319999993</v>
      </c>
      <c r="G19" s="9">
        <f t="shared" si="14"/>
        <v>20184.344063456989</v>
      </c>
      <c r="H19" s="9">
        <f t="shared" si="13"/>
        <v>118751.73978339479</v>
      </c>
      <c r="I19" s="83">
        <f t="shared" si="13"/>
        <v>101808.15354094992</v>
      </c>
      <c r="J19" s="9">
        <f t="shared" si="13"/>
        <v>47350.703322585694</v>
      </c>
      <c r="K19" s="9">
        <f t="shared" si="13"/>
        <v>149158.85686353562</v>
      </c>
      <c r="L19" s="9">
        <f t="shared" si="13"/>
        <v>232674.23107313699</v>
      </c>
      <c r="M19" s="9">
        <f t="shared" si="13"/>
        <v>268293.60371279606</v>
      </c>
      <c r="N19" s="9">
        <f t="shared" si="13"/>
        <v>295212.54940810602</v>
      </c>
      <c r="O19" s="9">
        <f t="shared" si="13"/>
        <v>313000.3462768363</v>
      </c>
      <c r="P19" s="9">
        <f t="shared" si="13"/>
        <v>330216.63862323383</v>
      </c>
      <c r="Q19" s="9">
        <f t="shared" si="13"/>
        <v>333518.80500946619</v>
      </c>
      <c r="R19" s="9">
        <f t="shared" si="1"/>
        <v>0</v>
      </c>
    </row>
    <row r="20" spans="2:18">
      <c r="B20" s="89" t="s">
        <v>87</v>
      </c>
      <c r="E20" s="9">
        <f t="shared" si="14"/>
        <v>1166.0313740000001</v>
      </c>
      <c r="F20" s="9">
        <f t="shared" si="14"/>
        <v>1814.6412210000001</v>
      </c>
      <c r="G20" s="9">
        <f t="shared" si="14"/>
        <v>16644.434363169803</v>
      </c>
      <c r="H20" s="9">
        <f t="shared" si="13"/>
        <v>20197.896804479202</v>
      </c>
      <c r="I20" s="83">
        <f t="shared" si="13"/>
        <v>15987.616621436802</v>
      </c>
      <c r="J20" s="9">
        <f t="shared" si="13"/>
        <v>5369.6497615532344</v>
      </c>
      <c r="K20" s="9">
        <f t="shared" si="13"/>
        <v>21357.266382990034</v>
      </c>
      <c r="L20" s="9">
        <f t="shared" si="13"/>
        <v>22585.858923998254</v>
      </c>
      <c r="M20" s="9">
        <f t="shared" si="13"/>
        <v>27543.164135665807</v>
      </c>
      <c r="N20" s="9">
        <f t="shared" si="13"/>
        <v>32418.766774247997</v>
      </c>
      <c r="O20" s="9">
        <f t="shared" si="13"/>
        <v>37749.287183910506</v>
      </c>
      <c r="P20" s="9">
        <f t="shared" si="13"/>
        <v>42529.925069714751</v>
      </c>
      <c r="Q20" s="9">
        <f t="shared" si="13"/>
        <v>42955.2243204119</v>
      </c>
      <c r="R20" s="9">
        <f t="shared" si="1"/>
        <v>0</v>
      </c>
    </row>
    <row r="21" spans="2:18">
      <c r="B21" s="89" t="s">
        <v>83</v>
      </c>
      <c r="E21" s="9">
        <f t="shared" si="14"/>
        <v>259.53648300000003</v>
      </c>
      <c r="F21" s="9">
        <f t="shared" si="14"/>
        <v>905.41324100000008</v>
      </c>
      <c r="G21" s="9">
        <f t="shared" si="14"/>
        <v>2501.6916994182334</v>
      </c>
      <c r="H21" s="9">
        <f t="shared" si="13"/>
        <v>4082.1538786035553</v>
      </c>
      <c r="I21" s="83">
        <f t="shared" si="13"/>
        <v>5918.6194958149999</v>
      </c>
      <c r="J21" s="9">
        <f t="shared" si="13"/>
        <v>1948.9201986049998</v>
      </c>
      <c r="K21" s="9">
        <f t="shared" si="13"/>
        <v>7867.5396944199993</v>
      </c>
      <c r="L21" s="9">
        <f t="shared" si="13"/>
        <v>7920.4116871307215</v>
      </c>
      <c r="M21" s="9">
        <f t="shared" si="13"/>
        <v>7952.0933338792438</v>
      </c>
      <c r="N21" s="9">
        <f t="shared" si="13"/>
        <v>8079.3268272213118</v>
      </c>
      <c r="O21" s="9">
        <f t="shared" si="13"/>
        <v>8232.8340369385151</v>
      </c>
      <c r="P21" s="9">
        <f t="shared" si="13"/>
        <v>8422.1892197881007</v>
      </c>
      <c r="Q21" s="9">
        <f t="shared" si="13"/>
        <v>8506.4111119859826</v>
      </c>
      <c r="R21" s="9">
        <f t="shared" si="1"/>
        <v>0</v>
      </c>
    </row>
    <row r="22" spans="2:18">
      <c r="B22" s="89" t="s">
        <v>94</v>
      </c>
      <c r="E22" s="9">
        <f t="shared" si="14"/>
        <v>0</v>
      </c>
      <c r="F22" s="9">
        <f t="shared" si="14"/>
        <v>0</v>
      </c>
      <c r="G22" s="9">
        <f t="shared" si="14"/>
        <v>0</v>
      </c>
      <c r="H22" s="9">
        <f t="shared" si="13"/>
        <v>0</v>
      </c>
      <c r="I22" s="83"/>
      <c r="J22" s="9">
        <f t="shared" ref="J22" si="15">K22/2</f>
        <v>0</v>
      </c>
      <c r="K22" s="9">
        <f t="shared" si="13"/>
        <v>0</v>
      </c>
      <c r="L22" s="9">
        <f t="shared" si="13"/>
        <v>0</v>
      </c>
      <c r="M22" s="9">
        <f t="shared" si="13"/>
        <v>0</v>
      </c>
      <c r="N22" s="9">
        <f t="shared" si="13"/>
        <v>0</v>
      </c>
      <c r="O22" s="9">
        <f t="shared" si="13"/>
        <v>0</v>
      </c>
      <c r="P22" s="9">
        <f t="shared" si="13"/>
        <v>0</v>
      </c>
      <c r="Q22" s="9">
        <f t="shared" si="13"/>
        <v>0</v>
      </c>
      <c r="R22" s="9">
        <f t="shared" si="1"/>
        <v>0</v>
      </c>
    </row>
    <row r="23" spans="2:18" ht="16.2" thickBot="1">
      <c r="B23" s="87" t="s">
        <v>162</v>
      </c>
      <c r="C23" s="97"/>
      <c r="D23" s="87"/>
      <c r="E23" s="87">
        <f t="shared" ref="E23:Q23" si="16">E8-E17</f>
        <v>12430.399035000009</v>
      </c>
      <c r="F23" s="87">
        <f t="shared" si="16"/>
        <v>15824.824173000008</v>
      </c>
      <c r="G23" s="87">
        <f t="shared" si="16"/>
        <v>21415.933898441333</v>
      </c>
      <c r="H23" s="87">
        <f t="shared" si="16"/>
        <v>28526.331440342125</v>
      </c>
      <c r="I23" s="88">
        <f t="shared" si="16"/>
        <v>29225.821049389371</v>
      </c>
      <c r="J23" s="87">
        <f t="shared" si="16"/>
        <v>11226.724127191017</v>
      </c>
      <c r="K23" s="87">
        <f t="shared" si="16"/>
        <v>40452.545176580374</v>
      </c>
      <c r="L23" s="87">
        <f t="shared" si="16"/>
        <v>52643.144151899149</v>
      </c>
      <c r="M23" s="87">
        <f t="shared" si="16"/>
        <v>68095.14381653897</v>
      </c>
      <c r="N23" s="87">
        <f t="shared" si="16"/>
        <v>83946.215155837242</v>
      </c>
      <c r="O23" s="87">
        <f t="shared" si="16"/>
        <v>101313.16703428421</v>
      </c>
      <c r="P23" s="87">
        <f t="shared" si="16"/>
        <v>119392.47822415421</v>
      </c>
      <c r="Q23" s="87">
        <f t="shared" si="16"/>
        <v>120586.40300639567</v>
      </c>
      <c r="R23" s="9">
        <f t="shared" si="1"/>
        <v>0</v>
      </c>
    </row>
    <row r="24" spans="2:18">
      <c r="B24" s="16" t="s">
        <v>99</v>
      </c>
      <c r="C24" s="96"/>
      <c r="D24" s="16"/>
      <c r="E24" s="16">
        <f t="shared" ref="E24:H24" si="17">SUM(E25:E27)</f>
        <v>6665.4613150000005</v>
      </c>
      <c r="F24" s="16">
        <f t="shared" si="17"/>
        <v>10084.808392556966</v>
      </c>
      <c r="G24" s="16">
        <f t="shared" si="17"/>
        <v>15684.818339369764</v>
      </c>
      <c r="H24" s="16">
        <f t="shared" si="17"/>
        <v>17321.521657251498</v>
      </c>
      <c r="I24" s="17">
        <f>I202+I213+I225+I237+I247+I258</f>
        <v>18263.775509789437</v>
      </c>
      <c r="J24" s="16">
        <f t="shared" ref="J24:Q24" si="18">SUM(J25:J27)</f>
        <v>6130.4018213738555</v>
      </c>
      <c r="K24" s="16">
        <f t="shared" ref="K24" si="19">SUM(K25:K27)</f>
        <v>24394.177331163297</v>
      </c>
      <c r="L24" s="16">
        <f t="shared" si="18"/>
        <v>28078.149967786052</v>
      </c>
      <c r="M24" s="16">
        <f t="shared" si="18"/>
        <v>31562.013275313948</v>
      </c>
      <c r="N24" s="16">
        <f t="shared" si="18"/>
        <v>35614.001099877089</v>
      </c>
      <c r="O24" s="16">
        <f t="shared" si="18"/>
        <v>40642.177120062603</v>
      </c>
      <c r="P24" s="16">
        <f t="shared" si="18"/>
        <v>44517.391411850331</v>
      </c>
      <c r="Q24" s="16">
        <f t="shared" si="18"/>
        <v>44962.565325968826</v>
      </c>
      <c r="R24" s="9">
        <f t="shared" si="1"/>
        <v>0</v>
      </c>
    </row>
    <row r="25" spans="2:18">
      <c r="B25" s="89" t="s">
        <v>79</v>
      </c>
      <c r="E25" s="9">
        <f>E196</f>
        <v>5850.7023730000001</v>
      </c>
      <c r="F25" s="9">
        <f t="shared" ref="F25:Q27" si="20">F196</f>
        <v>8365.2098493376016</v>
      </c>
      <c r="G25" s="9">
        <f t="shared" si="20"/>
        <v>12701.284787749863</v>
      </c>
      <c r="H25" s="9">
        <f t="shared" si="20"/>
        <v>13906.934436505642</v>
      </c>
      <c r="I25" s="83">
        <f t="shared" si="20"/>
        <v>14667.634034164004</v>
      </c>
      <c r="J25" s="9">
        <f t="shared" si="20"/>
        <v>4931.6879961653767</v>
      </c>
      <c r="K25" s="9">
        <f t="shared" si="20"/>
        <v>19599.322030329382</v>
      </c>
      <c r="L25" s="9">
        <f t="shared" si="20"/>
        <v>23859.841629280771</v>
      </c>
      <c r="M25" s="9">
        <f t="shared" si="20"/>
        <v>27325.121985148762</v>
      </c>
      <c r="N25" s="9">
        <f t="shared" si="20"/>
        <v>31308.269098142126</v>
      </c>
      <c r="O25" s="9">
        <f t="shared" si="20"/>
        <v>36253.826312629848</v>
      </c>
      <c r="P25" s="9">
        <f t="shared" si="20"/>
        <v>40027.55348598033</v>
      </c>
      <c r="Q25" s="9">
        <f t="shared" si="20"/>
        <v>40427.82902084013</v>
      </c>
      <c r="R25" s="9">
        <f t="shared" si="1"/>
        <v>0</v>
      </c>
    </row>
    <row r="26" spans="2:18">
      <c r="B26" s="89" t="s">
        <v>101</v>
      </c>
      <c r="E26" s="9">
        <f t="shared" ref="E26:G27" si="21">E197</f>
        <v>814.75894200000005</v>
      </c>
      <c r="F26" s="9">
        <f t="shared" si="21"/>
        <v>1719.5985432193643</v>
      </c>
      <c r="G26" s="9">
        <f t="shared" si="21"/>
        <v>2983.5335516199011</v>
      </c>
      <c r="H26" s="9">
        <f t="shared" si="20"/>
        <v>3414.5872207458578</v>
      </c>
      <c r="I26" s="83">
        <f t="shared" si="20"/>
        <v>3596.1414756254367</v>
      </c>
      <c r="J26" s="9">
        <f t="shared" si="20"/>
        <v>1198.713825208479</v>
      </c>
      <c r="K26" s="9">
        <f t="shared" si="20"/>
        <v>4794.8553008339159</v>
      </c>
      <c r="L26" s="9">
        <f t="shared" si="20"/>
        <v>4218.3083385052805</v>
      </c>
      <c r="M26" s="9">
        <f t="shared" si="20"/>
        <v>4236.8912901651865</v>
      </c>
      <c r="N26" s="9">
        <f t="shared" si="20"/>
        <v>4305.7320017349666</v>
      </c>
      <c r="O26" s="9">
        <f t="shared" si="20"/>
        <v>4388.3508074327528</v>
      </c>
      <c r="P26" s="9">
        <f t="shared" si="20"/>
        <v>4489.837925869997</v>
      </c>
      <c r="Q26" s="9">
        <f t="shared" si="20"/>
        <v>4534.7363051286966</v>
      </c>
      <c r="R26" s="9">
        <f t="shared" si="1"/>
        <v>0</v>
      </c>
    </row>
    <row r="27" spans="2:18">
      <c r="B27" s="89" t="s">
        <v>94</v>
      </c>
      <c r="E27" s="9">
        <f t="shared" si="21"/>
        <v>0</v>
      </c>
      <c r="F27" s="9">
        <f t="shared" si="21"/>
        <v>0</v>
      </c>
      <c r="G27" s="9">
        <f t="shared" si="21"/>
        <v>0</v>
      </c>
      <c r="H27" s="9">
        <f t="shared" si="20"/>
        <v>0</v>
      </c>
      <c r="I27" s="83"/>
      <c r="J27" s="9">
        <f t="shared" ref="J27" si="22">K27/2</f>
        <v>0</v>
      </c>
      <c r="K27" s="9">
        <f t="shared" si="20"/>
        <v>0</v>
      </c>
      <c r="L27" s="9">
        <f t="shared" si="20"/>
        <v>0</v>
      </c>
      <c r="M27" s="9">
        <f t="shared" si="20"/>
        <v>0</v>
      </c>
      <c r="N27" s="9">
        <f t="shared" si="20"/>
        <v>0</v>
      </c>
      <c r="O27" s="9">
        <f t="shared" si="20"/>
        <v>0</v>
      </c>
      <c r="P27" s="9">
        <f t="shared" si="20"/>
        <v>0</v>
      </c>
      <c r="Q27" s="9">
        <f t="shared" si="20"/>
        <v>0</v>
      </c>
      <c r="R27" s="9">
        <f t="shared" si="1"/>
        <v>0</v>
      </c>
    </row>
    <row r="28" spans="2:18" ht="16.2" thickBot="1">
      <c r="B28" s="87" t="s">
        <v>114</v>
      </c>
      <c r="C28" s="97"/>
      <c r="D28" s="87"/>
      <c r="E28" s="87">
        <f t="shared" ref="E28:Q28" si="23">E23-E24</f>
        <v>5764.937720000009</v>
      </c>
      <c r="F28" s="87">
        <f t="shared" si="23"/>
        <v>5740.0157804430419</v>
      </c>
      <c r="G28" s="87">
        <f t="shared" si="23"/>
        <v>5731.1155590715698</v>
      </c>
      <c r="H28" s="87">
        <f t="shared" si="23"/>
        <v>11204.809783090626</v>
      </c>
      <c r="I28" s="88">
        <f t="shared" si="23"/>
        <v>10962.045539599934</v>
      </c>
      <c r="J28" s="87">
        <f t="shared" si="23"/>
        <v>5096.3223058171616</v>
      </c>
      <c r="K28" s="87">
        <f t="shared" si="23"/>
        <v>16058.367845417077</v>
      </c>
      <c r="L28" s="87">
        <f t="shared" si="23"/>
        <v>24564.994184113097</v>
      </c>
      <c r="M28" s="87">
        <f t="shared" si="23"/>
        <v>36533.130541225022</v>
      </c>
      <c r="N28" s="87">
        <f t="shared" si="23"/>
        <v>48332.214055960154</v>
      </c>
      <c r="O28" s="87">
        <f t="shared" si="23"/>
        <v>60670.989914221609</v>
      </c>
      <c r="P28" s="87">
        <f t="shared" si="23"/>
        <v>74875.086812303882</v>
      </c>
      <c r="Q28" s="87">
        <f t="shared" si="23"/>
        <v>75623.837680426848</v>
      </c>
      <c r="R28" s="9">
        <f t="shared" si="1"/>
        <v>1.8189894035458565E-11</v>
      </c>
    </row>
    <row r="29" spans="2:18">
      <c r="B29" s="9" t="s">
        <v>94</v>
      </c>
      <c r="I29" s="83"/>
      <c r="K29" s="9">
        <f t="shared" ref="K29" si="24">SUM(I29:J29)</f>
        <v>0</v>
      </c>
      <c r="R29" s="9">
        <f t="shared" si="1"/>
        <v>0</v>
      </c>
    </row>
    <row r="30" spans="2:18">
      <c r="B30" s="85" t="s">
        <v>126</v>
      </c>
      <c r="C30" s="98"/>
      <c r="D30" s="85"/>
      <c r="E30" s="85"/>
      <c r="F30" s="85"/>
      <c r="G30" s="85"/>
      <c r="H30" s="85"/>
      <c r="I30" s="86"/>
      <c r="J30" s="85"/>
      <c r="K30" s="85"/>
      <c r="L30" s="85"/>
      <c r="M30" s="85"/>
      <c r="N30" s="85"/>
      <c r="O30" s="85"/>
      <c r="P30" s="85"/>
      <c r="Q30" s="85"/>
      <c r="R30" s="9">
        <f t="shared" si="1"/>
        <v>0</v>
      </c>
    </row>
    <row r="31" spans="2:18" ht="16.2" thickBot="1">
      <c r="B31" s="87" t="s">
        <v>23</v>
      </c>
      <c r="C31" s="97"/>
      <c r="D31" s="87"/>
      <c r="E31" s="87">
        <f>E28+E29</f>
        <v>5764.937720000009</v>
      </c>
      <c r="F31" s="87">
        <f t="shared" ref="F31:Q31" si="25">F28+F29</f>
        <v>5740.0157804430419</v>
      </c>
      <c r="G31" s="87">
        <f t="shared" si="25"/>
        <v>5731.1155590715698</v>
      </c>
      <c r="H31" s="87">
        <f t="shared" si="25"/>
        <v>11204.809783090626</v>
      </c>
      <c r="I31" s="88">
        <f t="shared" si="25"/>
        <v>10962.045539599934</v>
      </c>
      <c r="J31" s="87">
        <f t="shared" si="25"/>
        <v>5096.3223058171616</v>
      </c>
      <c r="K31" s="87">
        <f t="shared" si="25"/>
        <v>16058.367845417077</v>
      </c>
      <c r="L31" s="87">
        <f t="shared" si="25"/>
        <v>24564.994184113097</v>
      </c>
      <c r="M31" s="87">
        <f t="shared" si="25"/>
        <v>36533.130541225022</v>
      </c>
      <c r="N31" s="87">
        <f t="shared" si="25"/>
        <v>48332.214055960154</v>
      </c>
      <c r="O31" s="87">
        <f t="shared" si="25"/>
        <v>60670.989914221609</v>
      </c>
      <c r="P31" s="87">
        <f t="shared" si="25"/>
        <v>74875.086812303882</v>
      </c>
      <c r="Q31" s="87">
        <f t="shared" si="25"/>
        <v>75623.837680426848</v>
      </c>
      <c r="R31" s="9">
        <f t="shared" si="1"/>
        <v>1.8189894035458565E-11</v>
      </c>
    </row>
    <row r="35" spans="2:17">
      <c r="B35" s="27" t="s">
        <v>164</v>
      </c>
      <c r="C35" s="99"/>
      <c r="D35" s="28"/>
      <c r="E35" s="29"/>
      <c r="F35" s="29">
        <f>IFERROR(F8/E8-1,"")</f>
        <v>0.28056364156483204</v>
      </c>
      <c r="G35" s="29">
        <f>IFERROR(G8/F8-1,"")</f>
        <v>0.89804418102114281</v>
      </c>
      <c r="H35" s="29">
        <f>IFERROR(H8/G8-1,"")</f>
        <v>0.89014436315873158</v>
      </c>
      <c r="I35" s="30">
        <f>IFERROR(I8*4/3/H8-1,"")</f>
        <v>0.19302632454566981</v>
      </c>
      <c r="J35" s="29">
        <f>IFERROR(J8*4/H8-1,"")</f>
        <v>0.43667048498405636</v>
      </c>
      <c r="K35" s="29">
        <f>IFERROR(K8/H8-1,"")</f>
        <v>0.25393736465526628</v>
      </c>
      <c r="L35" s="29">
        <f t="shared" ref="L35:Q35" si="26">IFERROR(L8/K8-1,"")</f>
        <v>0.29258186702146172</v>
      </c>
      <c r="M35" s="29">
        <f t="shared" si="26"/>
        <v>0.18422161638184398</v>
      </c>
      <c r="N35" s="29">
        <f t="shared" si="26"/>
        <v>0.13969606085627984</v>
      </c>
      <c r="O35" s="29">
        <f t="shared" si="26"/>
        <v>0.11439182098517353</v>
      </c>
      <c r="P35" s="29">
        <f t="shared" si="26"/>
        <v>9.7541167283660801E-2</v>
      </c>
      <c r="Q35" s="30">
        <f t="shared" si="26"/>
        <v>1.0000000000000009E-2</v>
      </c>
    </row>
    <row r="36" spans="2:17">
      <c r="B36" s="100" t="s">
        <v>165</v>
      </c>
      <c r="C36" s="101"/>
      <c r="D36" s="102"/>
      <c r="E36" s="103">
        <f t="shared" ref="E36:Q36" si="27">IFERROR(E17/E$8,"")</f>
        <v>0.7697986731767994</v>
      </c>
      <c r="F36" s="103">
        <f t="shared" si="27"/>
        <v>0.77114496143389366</v>
      </c>
      <c r="G36" s="103">
        <f t="shared" si="27"/>
        <v>0.83682550191794536</v>
      </c>
      <c r="H36" s="103">
        <f t="shared" si="27"/>
        <v>0.88500837368658658</v>
      </c>
      <c r="I36" s="104">
        <f t="shared" si="27"/>
        <v>0.86833336905789116</v>
      </c>
      <c r="J36" s="103">
        <f t="shared" si="27"/>
        <v>0.87399836954945753</v>
      </c>
      <c r="K36" s="103">
        <f t="shared" si="27"/>
        <v>0.86995600572880083</v>
      </c>
      <c r="L36" s="103">
        <f t="shared" si="27"/>
        <v>0.86907330365253466</v>
      </c>
      <c r="M36" s="103">
        <f t="shared" si="27"/>
        <v>0.85698896598509355</v>
      </c>
      <c r="N36" s="103">
        <f t="shared" si="27"/>
        <v>0.84530884641226056</v>
      </c>
      <c r="O36" s="103">
        <f t="shared" si="27"/>
        <v>0.8324700982957971</v>
      </c>
      <c r="P36" s="103">
        <f t="shared" si="27"/>
        <v>0.82012011964288989</v>
      </c>
      <c r="Q36" s="104">
        <f t="shared" si="27"/>
        <v>0.82012011964289</v>
      </c>
    </row>
    <row r="37" spans="2:17">
      <c r="B37" s="100" t="s">
        <v>166</v>
      </c>
      <c r="C37" s="101"/>
      <c r="D37" s="102"/>
      <c r="E37" s="103">
        <f t="shared" ref="E37:Q37" si="28">IFERROR(E24/E$8,"")</f>
        <v>0.12343916187093784</v>
      </c>
      <c r="F37" s="103">
        <f t="shared" si="28"/>
        <v>0.14584422476858924</v>
      </c>
      <c r="G37" s="103">
        <f t="shared" si="28"/>
        <v>0.1195073897861227</v>
      </c>
      <c r="H37" s="103">
        <f t="shared" si="28"/>
        <v>6.9824258676792345E-2</v>
      </c>
      <c r="I37" s="104">
        <f t="shared" si="28"/>
        <v>8.2281000270040802E-2</v>
      </c>
      <c r="J37" s="103">
        <f t="shared" si="28"/>
        <v>6.8803741506325705E-2</v>
      </c>
      <c r="K37" s="103">
        <f t="shared" si="28"/>
        <v>7.8420683871851887E-2</v>
      </c>
      <c r="L37" s="103">
        <f t="shared" si="28"/>
        <v>6.9832064061817578E-2</v>
      </c>
      <c r="M37" s="103">
        <f t="shared" si="28"/>
        <v>6.6285433896074081E-2</v>
      </c>
      <c r="N37" s="103">
        <f t="shared" si="28"/>
        <v>6.5627388963133332E-2</v>
      </c>
      <c r="O37" s="103">
        <f t="shared" si="28"/>
        <v>6.7205281774133194E-2</v>
      </c>
      <c r="P37" s="103">
        <f t="shared" si="28"/>
        <v>6.7071084879736009E-2</v>
      </c>
      <c r="Q37" s="104">
        <f t="shared" si="28"/>
        <v>6.7071084879735995E-2</v>
      </c>
    </row>
    <row r="38" spans="2:17">
      <c r="B38" s="100" t="s">
        <v>167</v>
      </c>
      <c r="C38" s="101"/>
      <c r="D38" s="102"/>
      <c r="E38" s="103">
        <f t="shared" ref="E38:Q38" si="29">IFERROR(E28/E$8,"")</f>
        <v>0.10676216495226279</v>
      </c>
      <c r="F38" s="103">
        <f t="shared" si="29"/>
        <v>8.3010813797517111E-2</v>
      </c>
      <c r="G38" s="103">
        <f t="shared" si="29"/>
        <v>4.3667108295931921E-2</v>
      </c>
      <c r="H38" s="103">
        <f t="shared" si="29"/>
        <v>4.5167367636621131E-2</v>
      </c>
      <c r="I38" s="104">
        <f t="shared" si="29"/>
        <v>4.9385630672068012E-2</v>
      </c>
      <c r="J38" s="103">
        <f t="shared" si="29"/>
        <v>5.7197888944216728E-2</v>
      </c>
      <c r="K38" s="103">
        <f t="shared" si="29"/>
        <v>5.1623310399347276E-2</v>
      </c>
      <c r="L38" s="103">
        <f t="shared" si="29"/>
        <v>6.1094632285647786E-2</v>
      </c>
      <c r="M38" s="103">
        <f t="shared" si="29"/>
        <v>7.6725600118832366E-2</v>
      </c>
      <c r="N38" s="103">
        <f t="shared" si="29"/>
        <v>8.9063764624606148E-2</v>
      </c>
      <c r="O38" s="103">
        <f t="shared" si="29"/>
        <v>0.10032461993006973</v>
      </c>
      <c r="P38" s="103">
        <f t="shared" si="29"/>
        <v>0.11280879547737413</v>
      </c>
      <c r="Q38" s="104">
        <f t="shared" si="29"/>
        <v>0.11280879547737403</v>
      </c>
    </row>
    <row r="39" spans="2:17">
      <c r="B39" s="32" t="s">
        <v>168</v>
      </c>
      <c r="C39" s="105"/>
      <c r="D39" s="33"/>
      <c r="E39" s="34">
        <f t="shared" ref="E39:Q39" si="30">IFERROR(E31/E$8,"")</f>
        <v>0.10676216495226279</v>
      </c>
      <c r="F39" s="34">
        <f t="shared" si="30"/>
        <v>8.3010813797517111E-2</v>
      </c>
      <c r="G39" s="34">
        <f t="shared" si="30"/>
        <v>4.3667108295931921E-2</v>
      </c>
      <c r="H39" s="34">
        <f t="shared" si="30"/>
        <v>4.5167367636621131E-2</v>
      </c>
      <c r="I39" s="35">
        <f t="shared" si="30"/>
        <v>4.9385630672068012E-2</v>
      </c>
      <c r="J39" s="34">
        <f t="shared" si="30"/>
        <v>5.7197888944216728E-2</v>
      </c>
      <c r="K39" s="34">
        <f t="shared" si="30"/>
        <v>5.1623310399347276E-2</v>
      </c>
      <c r="L39" s="34">
        <f t="shared" si="30"/>
        <v>6.1094632285647786E-2</v>
      </c>
      <c r="M39" s="34">
        <f t="shared" si="30"/>
        <v>7.6725600118832366E-2</v>
      </c>
      <c r="N39" s="34">
        <f t="shared" si="30"/>
        <v>8.9063764624606148E-2</v>
      </c>
      <c r="O39" s="34">
        <f t="shared" si="30"/>
        <v>0.10032461993006973</v>
      </c>
      <c r="P39" s="34">
        <f t="shared" si="30"/>
        <v>0.11280879547737413</v>
      </c>
      <c r="Q39" s="35">
        <f t="shared" si="30"/>
        <v>0.11280879547737403</v>
      </c>
    </row>
    <row r="43" spans="2:17">
      <c r="B43" s="11" t="s">
        <v>9</v>
      </c>
      <c r="C43" s="94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5" spans="2:17">
      <c r="B45" s="106" t="s">
        <v>275</v>
      </c>
    </row>
    <row r="46" spans="2:17">
      <c r="B46" s="85"/>
      <c r="C46" s="98"/>
      <c r="D46" s="85"/>
      <c r="E46" s="85"/>
      <c r="F46" s="85"/>
      <c r="G46" s="85"/>
      <c r="H46" s="85"/>
      <c r="I46" s="85"/>
      <c r="J46" s="85"/>
      <c r="K46" s="133"/>
      <c r="L46" s="107"/>
      <c r="M46" s="107"/>
      <c r="N46" s="107"/>
      <c r="O46" s="107"/>
      <c r="P46" s="107"/>
      <c r="Q46" s="85"/>
    </row>
    <row r="47" spans="2:17" s="16" customFormat="1">
      <c r="B47" s="16" t="s">
        <v>276</v>
      </c>
      <c r="C47" s="96" t="s">
        <v>277</v>
      </c>
      <c r="E47" s="16">
        <f>SUM(E48:E49)</f>
        <v>0</v>
      </c>
      <c r="F47" s="16">
        <f t="shared" ref="F47:H47" si="31">SUM(F48:F49)</f>
        <v>0</v>
      </c>
      <c r="G47" s="16">
        <f t="shared" si="31"/>
        <v>40787.869726000004</v>
      </c>
      <c r="H47" s="16">
        <f t="shared" si="31"/>
        <v>155086.03394700002</v>
      </c>
      <c r="I47" s="13">
        <f>SUM(I48:I49)</f>
        <v>140093.934457</v>
      </c>
      <c r="J47" s="16">
        <f t="shared" ref="J47:Q47" si="32">SUM(J48:J49)</f>
        <v>61476.035098954017</v>
      </c>
      <c r="K47" s="16">
        <f t="shared" si="32"/>
        <v>201569.96955595401</v>
      </c>
      <c r="L47" s="16">
        <f t="shared" si="32"/>
        <v>300694.65503900853</v>
      </c>
      <c r="M47" s="16">
        <f t="shared" si="32"/>
        <v>355312.24679359066</v>
      </c>
      <c r="N47" s="16">
        <f t="shared" si="32"/>
        <v>400620.50214758271</v>
      </c>
      <c r="O47" s="16">
        <f t="shared" si="32"/>
        <v>437741.9126287821</v>
      </c>
      <c r="P47" s="16">
        <f t="shared" si="32"/>
        <v>477540.62502866285</v>
      </c>
      <c r="Q47" s="16">
        <f t="shared" si="32"/>
        <v>482316.03127894946</v>
      </c>
    </row>
    <row r="48" spans="2:17">
      <c r="B48" s="89" t="s">
        <v>278</v>
      </c>
      <c r="C48" s="93" t="s">
        <v>206</v>
      </c>
      <c r="E48" s="9">
        <f t="shared" ref="E48:F48" si="33">E50</f>
        <v>0</v>
      </c>
      <c r="F48" s="9">
        <f t="shared" si="33"/>
        <v>0</v>
      </c>
      <c r="G48" s="9">
        <f>G50</f>
        <v>16429.545165</v>
      </c>
      <c r="H48" s="9">
        <f>H50</f>
        <v>113677.06329300001</v>
      </c>
      <c r="I48" s="83">
        <f>I50</f>
        <v>102343.420713</v>
      </c>
      <c r="J48" s="9">
        <f t="shared" ref="J48:Q48" si="34">J50</f>
        <v>48892.530517620682</v>
      </c>
      <c r="K48" s="9">
        <f t="shared" si="34"/>
        <v>151235.95123062067</v>
      </c>
      <c r="L48" s="9">
        <f t="shared" si="34"/>
        <v>243373.88778536257</v>
      </c>
      <c r="M48" s="9">
        <f t="shared" si="34"/>
        <v>279254.50667163654</v>
      </c>
      <c r="N48" s="9">
        <f t="shared" si="34"/>
        <v>305225.20587697491</v>
      </c>
      <c r="O48" s="9">
        <f t="shared" si="34"/>
        <v>320369.54841945297</v>
      </c>
      <c r="P48" s="9">
        <f t="shared" si="34"/>
        <v>335480.43210849876</v>
      </c>
      <c r="Q48" s="9">
        <f t="shared" si="34"/>
        <v>338835.23642958375</v>
      </c>
    </row>
    <row r="49" spans="2:17">
      <c r="B49" s="108" t="s">
        <v>58</v>
      </c>
      <c r="C49" s="98" t="s">
        <v>277</v>
      </c>
      <c r="D49" s="85"/>
      <c r="E49" s="85">
        <f>E60</f>
        <v>0</v>
      </c>
      <c r="F49" s="85">
        <f t="shared" ref="F49:Q49" si="35">F60</f>
        <v>0</v>
      </c>
      <c r="G49" s="85">
        <f t="shared" si="35"/>
        <v>24358.324561000001</v>
      </c>
      <c r="H49" s="85">
        <f t="shared" si="35"/>
        <v>41408.970654000004</v>
      </c>
      <c r="I49" s="86">
        <f t="shared" si="35"/>
        <v>37750.513744000003</v>
      </c>
      <c r="J49" s="85">
        <f t="shared" si="35"/>
        <v>12583.504581333334</v>
      </c>
      <c r="K49" s="85">
        <f t="shared" si="35"/>
        <v>50334.018325333338</v>
      </c>
      <c r="L49" s="85">
        <f t="shared" si="35"/>
        <v>57320.76725364595</v>
      </c>
      <c r="M49" s="85">
        <f t="shared" si="35"/>
        <v>76057.740121954121</v>
      </c>
      <c r="N49" s="85">
        <f t="shared" si="35"/>
        <v>95395.296270607811</v>
      </c>
      <c r="O49" s="85">
        <f t="shared" si="35"/>
        <v>117372.3642093291</v>
      </c>
      <c r="P49" s="85">
        <f t="shared" si="35"/>
        <v>142060.19292016409</v>
      </c>
      <c r="Q49" s="85">
        <f t="shared" si="35"/>
        <v>143480.79484936572</v>
      </c>
    </row>
    <row r="50" spans="2:17">
      <c r="B50" s="9" t="s">
        <v>279</v>
      </c>
      <c r="C50" s="93" t="s">
        <v>277</v>
      </c>
      <c r="E50" s="9">
        <v>0</v>
      </c>
      <c r="F50" s="9">
        <v>0</v>
      </c>
      <c r="G50" s="377">
        <v>16429.545165</v>
      </c>
      <c r="H50" s="377">
        <v>113677.06329300001</v>
      </c>
      <c r="I50" s="378">
        <v>102343.420713</v>
      </c>
      <c r="J50" s="377">
        <f>J54*J55/4</f>
        <v>48892.530517620682</v>
      </c>
      <c r="K50" s="385">
        <f>SUM(I50:J50)</f>
        <v>151235.95123062067</v>
      </c>
      <c r="L50" s="377">
        <f>L54*L55</f>
        <v>243373.88778536257</v>
      </c>
      <c r="M50" s="377">
        <f t="shared" ref="M50:P50" si="36">M54*M55</f>
        <v>279254.50667163654</v>
      </c>
      <c r="N50" s="377">
        <f t="shared" si="36"/>
        <v>305225.20587697491</v>
      </c>
      <c r="O50" s="377">
        <f t="shared" si="36"/>
        <v>320369.54841945297</v>
      </c>
      <c r="P50" s="377">
        <f t="shared" si="36"/>
        <v>335480.43210849876</v>
      </c>
      <c r="Q50" s="377">
        <f>P50*(1+DCF!$F$44)</f>
        <v>338835.23642958375</v>
      </c>
    </row>
    <row r="51" spans="2:17">
      <c r="B51" s="89" t="s">
        <v>280</v>
      </c>
      <c r="C51" s="93" t="s">
        <v>175</v>
      </c>
      <c r="G51" s="377">
        <v>803</v>
      </c>
      <c r="H51" s="377">
        <v>2392</v>
      </c>
      <c r="I51" s="378">
        <v>2535</v>
      </c>
      <c r="J51" s="377">
        <f>K51</f>
        <v>3633.1372549019607</v>
      </c>
      <c r="K51" s="385">
        <v>3633.1372549019607</v>
      </c>
      <c r="L51" s="385">
        <f>L53*L54</f>
        <v>4364.0882352941171</v>
      </c>
      <c r="M51" s="385">
        <f>M53*M54</f>
        <v>4914.1176470588225</v>
      </c>
      <c r="N51" s="385">
        <f>N53*N54</f>
        <v>5250.3725490196066</v>
      </c>
      <c r="O51" s="385">
        <f>O53*O54</f>
        <v>5340</v>
      </c>
      <c r="P51" s="385">
        <f>P53*P54</f>
        <v>5408</v>
      </c>
      <c r="Q51" s="377"/>
    </row>
    <row r="52" spans="2:17">
      <c r="B52" s="82" t="s">
        <v>176</v>
      </c>
      <c r="C52" s="93" t="s">
        <v>175</v>
      </c>
      <c r="G52" s="377"/>
      <c r="H52" s="377">
        <f>H51-G51</f>
        <v>1589</v>
      </c>
      <c r="I52" s="378">
        <f>I51-H51</f>
        <v>143</v>
      </c>
      <c r="J52" s="377"/>
      <c r="K52" s="377">
        <f>K51-H51</f>
        <v>1241.1372549019607</v>
      </c>
      <c r="L52" s="377">
        <f>L51-K51</f>
        <v>730.95098039215645</v>
      </c>
      <c r="M52" s="377">
        <f t="shared" ref="M52:P52" si="37">M51-L51</f>
        <v>550.0294117647054</v>
      </c>
      <c r="N52" s="377">
        <f t="shared" si="37"/>
        <v>336.25490196078408</v>
      </c>
      <c r="O52" s="377">
        <f t="shared" si="37"/>
        <v>89.627450980393405</v>
      </c>
      <c r="P52" s="377">
        <f t="shared" si="37"/>
        <v>68</v>
      </c>
      <c r="Q52" s="377"/>
    </row>
    <row r="53" spans="2:17">
      <c r="B53" s="82" t="s">
        <v>281</v>
      </c>
      <c r="C53" s="93" t="s">
        <v>175</v>
      </c>
      <c r="G53" s="377">
        <f>G51/G54</f>
        <v>267.66666666666669</v>
      </c>
      <c r="H53" s="377">
        <f>H51/H54</f>
        <v>28.141176470588235</v>
      </c>
      <c r="I53" s="378">
        <f>I51/I54</f>
        <v>22.043478260869566</v>
      </c>
      <c r="J53" s="377">
        <f>J51/J54</f>
        <v>25.950980392156861</v>
      </c>
      <c r="K53" s="377">
        <f t="shared" ref="K53" si="38">K51/K54</f>
        <v>25.950980392156861</v>
      </c>
      <c r="L53" s="377">
        <f>K53-($K53-$O53)/4</f>
        <v>23.213235294117645</v>
      </c>
      <c r="M53" s="377">
        <f>L53-($K53-$O53)/4</f>
        <v>20.475490196078429</v>
      </c>
      <c r="N53" s="377">
        <f>M53-($K53-$O53)/4</f>
        <v>17.737745098039213</v>
      </c>
      <c r="O53" s="377">
        <v>15</v>
      </c>
      <c r="P53" s="377">
        <v>13</v>
      </c>
      <c r="Q53" s="377"/>
    </row>
    <row r="54" spans="2:17">
      <c r="B54" s="115" t="s">
        <v>282</v>
      </c>
      <c r="C54" s="93" t="s">
        <v>175</v>
      </c>
      <c r="G54" s="377">
        <f t="shared" ref="G54:P54" si="39">G71</f>
        <v>3</v>
      </c>
      <c r="H54" s="377">
        <f t="shared" si="39"/>
        <v>85</v>
      </c>
      <c r="I54" s="378">
        <f t="shared" si="39"/>
        <v>115</v>
      </c>
      <c r="J54" s="377">
        <f t="shared" si="39"/>
        <v>140</v>
      </c>
      <c r="K54" s="377">
        <f t="shared" si="39"/>
        <v>140</v>
      </c>
      <c r="L54" s="377">
        <f t="shared" si="39"/>
        <v>188</v>
      </c>
      <c r="M54" s="377">
        <f t="shared" si="39"/>
        <v>240</v>
      </c>
      <c r="N54" s="377">
        <f t="shared" si="39"/>
        <v>296</v>
      </c>
      <c r="O54" s="377">
        <f t="shared" si="39"/>
        <v>356</v>
      </c>
      <c r="P54" s="377">
        <f t="shared" si="39"/>
        <v>416</v>
      </c>
      <c r="Q54" s="377"/>
    </row>
    <row r="55" spans="2:17">
      <c r="B55" s="89" t="s">
        <v>283</v>
      </c>
      <c r="C55" s="93" t="s">
        <v>172</v>
      </c>
      <c r="G55" s="390">
        <f>G50/G54</f>
        <v>5476.5150549999998</v>
      </c>
      <c r="H55" s="390">
        <f>H50/H54</f>
        <v>1337.3772152117649</v>
      </c>
      <c r="I55" s="378">
        <f>I50*4/3/I54</f>
        <v>1186.5903850782609</v>
      </c>
      <c r="J55" s="377">
        <f>J58*(1+J59)</f>
        <v>1396.929443360591</v>
      </c>
      <c r="K55" s="390">
        <f>J55</f>
        <v>1396.929443360591</v>
      </c>
      <c r="L55" s="390">
        <f>L58*(1+L59)</f>
        <v>1294.54195630512</v>
      </c>
      <c r="M55" s="390">
        <f t="shared" ref="M55:P55" si="40">M58*(1+M59)</f>
        <v>1163.5604444651522</v>
      </c>
      <c r="N55" s="390">
        <f t="shared" si="40"/>
        <v>1031.1662360708613</v>
      </c>
      <c r="O55" s="390">
        <f t="shared" si="40"/>
        <v>899.91446185239602</v>
      </c>
      <c r="P55" s="390">
        <f t="shared" si="40"/>
        <v>806.44334641466048</v>
      </c>
      <c r="Q55" s="377"/>
    </row>
    <row r="56" spans="2:17">
      <c r="B56" s="82" t="s">
        <v>195</v>
      </c>
      <c r="C56" s="93" t="s">
        <v>172</v>
      </c>
      <c r="G56" s="390">
        <f>G113</f>
        <v>19.365472372353675</v>
      </c>
      <c r="H56" s="390">
        <f t="shared" ref="H56:P56" si="41">H113</f>
        <v>45.881031531354509</v>
      </c>
      <c r="I56" s="378">
        <f t="shared" si="41"/>
        <v>48.863298580892547</v>
      </c>
      <c r="J56" s="377">
        <f t="shared" si="41"/>
        <v>48.863298580892547</v>
      </c>
      <c r="K56" s="405">
        <f t="shared" si="41"/>
        <v>48.863298580892547</v>
      </c>
      <c r="L56" s="390">
        <f t="shared" si="41"/>
        <v>50.622377329804678</v>
      </c>
      <c r="M56" s="390">
        <f t="shared" si="41"/>
        <v>51.584202499070962</v>
      </c>
      <c r="N56" s="390">
        <f t="shared" si="41"/>
        <v>52.770639156549592</v>
      </c>
      <c r="O56" s="390">
        <f t="shared" si="41"/>
        <v>54.459299609559181</v>
      </c>
      <c r="P56" s="390">
        <f t="shared" si="41"/>
        <v>56.310915796284192</v>
      </c>
      <c r="Q56" s="377"/>
    </row>
    <row r="57" spans="2:17">
      <c r="B57" s="115" t="s">
        <v>178</v>
      </c>
      <c r="C57" s="93" t="s">
        <v>179</v>
      </c>
      <c r="G57" s="377"/>
      <c r="H57" s="377"/>
      <c r="I57" s="378"/>
      <c r="J57" s="377"/>
      <c r="K57" s="377"/>
      <c r="L57" s="148">
        <f>L56/K56-1</f>
        <v>3.6000000000000032E-2</v>
      </c>
      <c r="M57" s="148">
        <f>M56/L56-1</f>
        <v>1.8999999999999906E-2</v>
      </c>
      <c r="N57" s="148">
        <f t="shared" ref="N57:P57" si="42">N56/M56-1</f>
        <v>2.2999999999999909E-2</v>
      </c>
      <c r="O57" s="148">
        <f t="shared" si="42"/>
        <v>3.2000000000000028E-2</v>
      </c>
      <c r="P57" s="148">
        <f t="shared" si="42"/>
        <v>3.400000000000003E-2</v>
      </c>
      <c r="Q57" s="377"/>
    </row>
    <row r="58" spans="2:17">
      <c r="B58" s="82" t="s">
        <v>284</v>
      </c>
      <c r="G58" s="377">
        <f>G53*G56</f>
        <v>5183.4914383333344</v>
      </c>
      <c r="H58" s="377">
        <f>H53*H56</f>
        <v>1291.1462049764705</v>
      </c>
      <c r="I58" s="378">
        <f>I53*I56</f>
        <v>1077.1170600222836</v>
      </c>
      <c r="J58" s="377">
        <f>J53*J56</f>
        <v>1268.0505033688487</v>
      </c>
      <c r="K58" s="377">
        <f>J58</f>
        <v>1268.0505033688487</v>
      </c>
      <c r="L58" s="377">
        <f>L53*L56</f>
        <v>1175.1091561043629</v>
      </c>
      <c r="M58" s="377">
        <f>M53*M56</f>
        <v>1056.2118325422518</v>
      </c>
      <c r="N58" s="377">
        <f>N53*N56</f>
        <v>936.03214601948366</v>
      </c>
      <c r="O58" s="377">
        <f>O53*O56</f>
        <v>816.88949414338776</v>
      </c>
      <c r="P58" s="377">
        <f>P53*P56</f>
        <v>732.04190535169448</v>
      </c>
      <c r="Q58" s="377"/>
    </row>
    <row r="59" spans="2:17">
      <c r="B59" s="110" t="s">
        <v>193</v>
      </c>
      <c r="C59" s="98" t="s">
        <v>179</v>
      </c>
      <c r="D59" s="85"/>
      <c r="E59" s="85"/>
      <c r="F59" s="85"/>
      <c r="G59" s="388">
        <f>G55/G58-1</f>
        <v>5.6530163144415724E-2</v>
      </c>
      <c r="H59" s="388">
        <f>H55/H58-1</f>
        <v>3.5806177532107464E-2</v>
      </c>
      <c r="I59" s="352">
        <f>I55/I58-1</f>
        <v>0.10163549452434872</v>
      </c>
      <c r="J59" s="353">
        <f>I59</f>
        <v>0.10163549452434872</v>
      </c>
      <c r="K59" s="388">
        <f>J59</f>
        <v>0.10163549452434872</v>
      </c>
      <c r="L59" s="388">
        <f>K59</f>
        <v>0.10163549452434872</v>
      </c>
      <c r="M59" s="388">
        <f t="shared" ref="M59:P59" si="43">L59</f>
        <v>0.10163549452434872</v>
      </c>
      <c r="N59" s="388">
        <f t="shared" si="43"/>
        <v>0.10163549452434872</v>
      </c>
      <c r="O59" s="388">
        <f t="shared" si="43"/>
        <v>0.10163549452434872</v>
      </c>
      <c r="P59" s="388">
        <f t="shared" si="43"/>
        <v>0.10163549452434872</v>
      </c>
      <c r="Q59" s="383"/>
    </row>
    <row r="60" spans="2:17">
      <c r="B60" s="9" t="s">
        <v>285</v>
      </c>
      <c r="C60" s="93" t="s">
        <v>172</v>
      </c>
      <c r="E60" s="9">
        <v>0</v>
      </c>
      <c r="F60" s="9">
        <v>0</v>
      </c>
      <c r="G60" s="377">
        <v>24358.324561000001</v>
      </c>
      <c r="H60" s="377">
        <v>41408.970654000004</v>
      </c>
      <c r="I60" s="378">
        <v>37750.513744000003</v>
      </c>
      <c r="J60" s="377">
        <f>J61*J66</f>
        <v>12583.504581333334</v>
      </c>
      <c r="K60" s="377">
        <f>SUM(I60:J60)</f>
        <v>50334.018325333338</v>
      </c>
      <c r="L60" s="377">
        <f t="shared" ref="L60:P60" si="44">L61*L66</f>
        <v>57320.76725364595</v>
      </c>
      <c r="M60" s="377">
        <f t="shared" si="44"/>
        <v>76057.740121954121</v>
      </c>
      <c r="N60" s="377">
        <f t="shared" si="44"/>
        <v>95395.296270607811</v>
      </c>
      <c r="O60" s="377">
        <f t="shared" si="44"/>
        <v>117372.3642093291</v>
      </c>
      <c r="P60" s="377">
        <f t="shared" si="44"/>
        <v>142060.19292016409</v>
      </c>
      <c r="Q60" s="377">
        <f>P60*(1+DCF!$F$44)</f>
        <v>143480.79484936572</v>
      </c>
    </row>
    <row r="61" spans="2:17">
      <c r="B61" s="89" t="s">
        <v>286</v>
      </c>
      <c r="C61" s="93" t="s">
        <v>175</v>
      </c>
      <c r="G61" s="377">
        <v>246</v>
      </c>
      <c r="H61" s="377">
        <v>491</v>
      </c>
      <c r="I61" s="378">
        <v>312</v>
      </c>
      <c r="J61" s="377">
        <f>I61/3</f>
        <v>104</v>
      </c>
      <c r="K61" s="377">
        <f>SUM(I61:J61)</f>
        <v>416</v>
      </c>
      <c r="L61" s="377">
        <f t="shared" ref="L61:P61" si="45">ROUND(L62*L64,)</f>
        <v>464</v>
      </c>
      <c r="M61" s="377">
        <f t="shared" si="45"/>
        <v>612</v>
      </c>
      <c r="N61" s="377">
        <f t="shared" si="45"/>
        <v>760</v>
      </c>
      <c r="O61" s="377">
        <f t="shared" si="45"/>
        <v>924</v>
      </c>
      <c r="P61" s="377">
        <f t="shared" si="45"/>
        <v>1104</v>
      </c>
      <c r="Q61" s="377"/>
    </row>
    <row r="62" spans="2:17">
      <c r="B62" s="82" t="s">
        <v>287</v>
      </c>
      <c r="C62" s="93" t="s">
        <v>175</v>
      </c>
      <c r="G62" s="390"/>
      <c r="H62" s="390"/>
      <c r="I62" s="378"/>
      <c r="J62" s="377"/>
      <c r="K62" s="390">
        <v>14</v>
      </c>
      <c r="L62" s="390">
        <f>K62+L63</f>
        <v>16</v>
      </c>
      <c r="M62" s="390">
        <f>L62+M63</f>
        <v>18</v>
      </c>
      <c r="N62" s="390">
        <f t="shared" ref="N62:P62" si="46">M62+N63</f>
        <v>20</v>
      </c>
      <c r="O62" s="390">
        <f t="shared" si="46"/>
        <v>22</v>
      </c>
      <c r="P62" s="390">
        <f t="shared" si="46"/>
        <v>24</v>
      </c>
      <c r="Q62" s="377"/>
    </row>
    <row r="63" spans="2:17">
      <c r="B63" s="115" t="s">
        <v>176</v>
      </c>
      <c r="C63" s="93" t="s">
        <v>175</v>
      </c>
      <c r="G63" s="377"/>
      <c r="H63" s="377"/>
      <c r="I63" s="378"/>
      <c r="J63" s="377"/>
      <c r="K63" s="385">
        <v>0</v>
      </c>
      <c r="L63" s="385">
        <v>2</v>
      </c>
      <c r="M63" s="385">
        <v>2</v>
      </c>
      <c r="N63" s="385">
        <v>2</v>
      </c>
      <c r="O63" s="385">
        <v>2</v>
      </c>
      <c r="P63" s="385">
        <v>2</v>
      </c>
      <c r="Q63" s="377"/>
    </row>
    <row r="64" spans="2:17">
      <c r="B64" s="82" t="s">
        <v>282</v>
      </c>
      <c r="C64" s="93" t="s">
        <v>175</v>
      </c>
      <c r="D64" s="140"/>
      <c r="G64" s="377"/>
      <c r="H64" s="377"/>
      <c r="I64" s="378"/>
      <c r="J64" s="377"/>
      <c r="K64" s="377">
        <f>K76</f>
        <v>24</v>
      </c>
      <c r="L64" s="377">
        <f t="shared" ref="L64:P64" si="47">L76</f>
        <v>29</v>
      </c>
      <c r="M64" s="377">
        <f t="shared" si="47"/>
        <v>34</v>
      </c>
      <c r="N64" s="377">
        <f t="shared" si="47"/>
        <v>38</v>
      </c>
      <c r="O64" s="377">
        <f t="shared" si="47"/>
        <v>42</v>
      </c>
      <c r="P64" s="377">
        <f t="shared" si="47"/>
        <v>46</v>
      </c>
      <c r="Q64" s="377"/>
    </row>
    <row r="65" spans="2:17">
      <c r="B65" s="115" t="s">
        <v>176</v>
      </c>
      <c r="C65" s="140" t="s">
        <v>175</v>
      </c>
      <c r="G65" s="377"/>
      <c r="H65" s="377"/>
      <c r="I65" s="378"/>
      <c r="J65" s="377"/>
      <c r="K65" s="377">
        <f>K64-H65</f>
        <v>24</v>
      </c>
      <c r="L65" s="377">
        <f>L64-K64</f>
        <v>5</v>
      </c>
      <c r="M65" s="377">
        <f t="shared" ref="M65:P65" si="48">M64-L64</f>
        <v>5</v>
      </c>
      <c r="N65" s="377">
        <f t="shared" si="48"/>
        <v>4</v>
      </c>
      <c r="O65" s="377">
        <f t="shared" si="48"/>
        <v>4</v>
      </c>
      <c r="P65" s="377">
        <f t="shared" si="48"/>
        <v>4</v>
      </c>
      <c r="Q65" s="377"/>
    </row>
    <row r="66" spans="2:17">
      <c r="B66" s="89" t="s">
        <v>288</v>
      </c>
      <c r="C66" s="93" t="s">
        <v>172</v>
      </c>
      <c r="G66" s="9">
        <f>G60/G61</f>
        <v>99.01757951626017</v>
      </c>
      <c r="H66" s="9">
        <f>H60/H61</f>
        <v>84.335989112016307</v>
      </c>
      <c r="I66" s="378">
        <f>I60/I61</f>
        <v>120.99523635897437</v>
      </c>
      <c r="J66" s="377">
        <f>I66</f>
        <v>120.99523635897437</v>
      </c>
      <c r="K66" s="377">
        <f>J66</f>
        <v>120.99523635897437</v>
      </c>
      <c r="L66" s="377">
        <f>K66*(1+L67)</f>
        <v>123.53613632251282</v>
      </c>
      <c r="M66" s="377">
        <f t="shared" ref="M66:P66" si="49">L66*(1+M67)</f>
        <v>124.2773531404479</v>
      </c>
      <c r="N66" s="377">
        <f t="shared" si="49"/>
        <v>125.52012667185238</v>
      </c>
      <c r="O66" s="377">
        <f t="shared" si="49"/>
        <v>127.02636819191461</v>
      </c>
      <c r="P66" s="377">
        <f t="shared" si="49"/>
        <v>128.67771097840949</v>
      </c>
    </row>
    <row r="67" spans="2:17">
      <c r="B67" s="110" t="s">
        <v>178</v>
      </c>
      <c r="C67" s="98" t="s">
        <v>179</v>
      </c>
      <c r="D67" s="85"/>
      <c r="E67" s="85"/>
      <c r="F67" s="85"/>
      <c r="G67" s="85"/>
      <c r="H67" s="85"/>
      <c r="I67" s="384"/>
      <c r="J67" s="383"/>
      <c r="K67" s="389">
        <f>K66/H66-1</f>
        <v>0.4346809426550593</v>
      </c>
      <c r="L67" s="389">
        <v>2.1000000000000001E-2</v>
      </c>
      <c r="M67" s="389">
        <v>6.0000000000000001E-3</v>
      </c>
      <c r="N67" s="389">
        <v>0.01</v>
      </c>
      <c r="O67" s="389">
        <v>1.2E-2</v>
      </c>
      <c r="P67" s="389">
        <v>1.3000000000000001E-2</v>
      </c>
      <c r="Q67" s="85"/>
    </row>
    <row r="68" spans="2:17">
      <c r="I68" s="377"/>
      <c r="J68" s="377"/>
      <c r="K68" s="377"/>
      <c r="L68" s="377"/>
      <c r="M68" s="377"/>
      <c r="N68" s="377"/>
      <c r="O68" s="377"/>
      <c r="P68" s="377"/>
    </row>
    <row r="69" spans="2:17">
      <c r="B69" s="106" t="s">
        <v>289</v>
      </c>
      <c r="I69" s="377"/>
      <c r="J69" s="377"/>
      <c r="K69" s="377"/>
      <c r="L69" s="377"/>
      <c r="M69" s="377"/>
      <c r="N69" s="377"/>
      <c r="O69" s="377"/>
      <c r="P69" s="377"/>
    </row>
    <row r="70" spans="2:17">
      <c r="B70" s="85"/>
      <c r="C70" s="98"/>
      <c r="D70" s="85"/>
      <c r="E70" s="85"/>
      <c r="F70" s="85"/>
      <c r="G70" s="85"/>
      <c r="H70" s="85"/>
      <c r="I70" s="383"/>
      <c r="J70" s="383"/>
      <c r="K70" s="383"/>
      <c r="L70" s="393"/>
      <c r="M70" s="393"/>
      <c r="N70" s="393"/>
      <c r="O70" s="393"/>
      <c r="P70" s="393"/>
      <c r="Q70" s="85"/>
    </row>
    <row r="71" spans="2:17">
      <c r="B71" s="9" t="s">
        <v>282</v>
      </c>
      <c r="C71" s="93" t="s">
        <v>175</v>
      </c>
      <c r="G71" s="109">
        <v>3</v>
      </c>
      <c r="H71" s="109">
        <v>85</v>
      </c>
      <c r="I71" s="377">
        <v>115</v>
      </c>
      <c r="J71" s="377">
        <f>K71</f>
        <v>140</v>
      </c>
      <c r="K71" s="385">
        <f>H71+K72</f>
        <v>140</v>
      </c>
      <c r="L71" s="377">
        <f>K71+L72</f>
        <v>188</v>
      </c>
      <c r="M71" s="377">
        <f t="shared" ref="M71:P71" si="50">L71+M72</f>
        <v>240</v>
      </c>
      <c r="N71" s="377">
        <f t="shared" si="50"/>
        <v>296</v>
      </c>
      <c r="O71" s="377">
        <f t="shared" si="50"/>
        <v>356</v>
      </c>
      <c r="P71" s="377">
        <f t="shared" si="50"/>
        <v>416</v>
      </c>
    </row>
    <row r="72" spans="2:17">
      <c r="B72" s="89" t="s">
        <v>176</v>
      </c>
      <c r="C72" s="93" t="s">
        <v>175</v>
      </c>
      <c r="G72" s="9">
        <f>G71-F71</f>
        <v>3</v>
      </c>
      <c r="H72" s="9">
        <f t="shared" ref="H72:I72" si="51">H71-G71</f>
        <v>82</v>
      </c>
      <c r="I72" s="377">
        <f t="shared" si="51"/>
        <v>30</v>
      </c>
      <c r="J72" s="377"/>
      <c r="K72" s="377">
        <f>K73+K74</f>
        <v>55</v>
      </c>
      <c r="L72" s="377">
        <f t="shared" ref="L72:P72" si="52">L73+L74</f>
        <v>48</v>
      </c>
      <c r="M72" s="377">
        <f t="shared" si="52"/>
        <v>52</v>
      </c>
      <c r="N72" s="377">
        <f t="shared" si="52"/>
        <v>56</v>
      </c>
      <c r="O72" s="377">
        <f t="shared" si="52"/>
        <v>60</v>
      </c>
      <c r="P72" s="377">
        <f t="shared" si="52"/>
        <v>60</v>
      </c>
    </row>
    <row r="73" spans="2:17">
      <c r="B73" s="82" t="s">
        <v>290</v>
      </c>
      <c r="C73" s="93" t="s">
        <v>175</v>
      </c>
      <c r="I73" s="377"/>
      <c r="J73" s="377"/>
      <c r="K73" s="377">
        <v>50</v>
      </c>
      <c r="L73" s="377">
        <v>40</v>
      </c>
      <c r="M73" s="377">
        <v>40</v>
      </c>
      <c r="N73" s="377">
        <v>40</v>
      </c>
      <c r="O73" s="377">
        <v>40</v>
      </c>
      <c r="P73" s="385">
        <f>O73</f>
        <v>40</v>
      </c>
    </row>
    <row r="74" spans="2:17">
      <c r="B74" s="82" t="s">
        <v>291</v>
      </c>
      <c r="C74" s="93" t="s">
        <v>175</v>
      </c>
      <c r="I74" s="377"/>
      <c r="J74" s="377"/>
      <c r="K74" s="377">
        <f>K73*K75</f>
        <v>5</v>
      </c>
      <c r="L74" s="377">
        <f t="shared" ref="L74:P74" si="53">L73*L75</f>
        <v>8</v>
      </c>
      <c r="M74" s="377">
        <f t="shared" si="53"/>
        <v>12.000000000000002</v>
      </c>
      <c r="N74" s="377">
        <f t="shared" si="53"/>
        <v>16</v>
      </c>
      <c r="O74" s="377">
        <f t="shared" si="53"/>
        <v>20</v>
      </c>
      <c r="P74" s="377">
        <f t="shared" si="53"/>
        <v>20</v>
      </c>
    </row>
    <row r="75" spans="2:17">
      <c r="B75" s="115" t="s">
        <v>292</v>
      </c>
      <c r="C75" s="93" t="s">
        <v>293</v>
      </c>
      <c r="I75" s="377"/>
      <c r="J75" s="377"/>
      <c r="K75" s="390">
        <v>0.1</v>
      </c>
      <c r="L75" s="390">
        <v>0.2</v>
      </c>
      <c r="M75" s="390">
        <v>0.30000000000000004</v>
      </c>
      <c r="N75" s="390">
        <v>0.4</v>
      </c>
      <c r="O75" s="390">
        <v>0.5</v>
      </c>
      <c r="P75" s="390">
        <f>O75</f>
        <v>0.5</v>
      </c>
    </row>
    <row r="76" spans="2:17">
      <c r="B76" s="141" t="s">
        <v>294</v>
      </c>
      <c r="C76" s="98" t="s">
        <v>185</v>
      </c>
      <c r="D76" s="85"/>
      <c r="E76" s="142">
        <v>5</v>
      </c>
      <c r="F76" s="85"/>
      <c r="G76" s="85"/>
      <c r="H76" s="85">
        <f>ROUNDDOWN(H71/$E76,)</f>
        <v>17</v>
      </c>
      <c r="I76" s="383"/>
      <c r="J76" s="383"/>
      <c r="K76" s="383">
        <f>ROUNDDOWN(((K71-SUM($H76:J76))/$E76),)</f>
        <v>24</v>
      </c>
      <c r="L76" s="383">
        <f>ROUNDDOWN(((L71-SUM($H76:K76))/$E76),)</f>
        <v>29</v>
      </c>
      <c r="M76" s="383">
        <f>ROUNDDOWN(((M71-SUM($H76:L76))/$E76),)</f>
        <v>34</v>
      </c>
      <c r="N76" s="383">
        <f>ROUNDDOWN(((N71-SUM($H76:M76))/$E76),)</f>
        <v>38</v>
      </c>
      <c r="O76" s="383">
        <f>ROUNDDOWN(((O71-SUM($H76:N76))/$E76),)</f>
        <v>42</v>
      </c>
      <c r="P76" s="383">
        <f>ROUNDDOWN(((P71-SUM($H76:O76))/$E76),)</f>
        <v>46</v>
      </c>
      <c r="Q76" s="85"/>
    </row>
    <row r="77" spans="2:17">
      <c r="I77" s="377"/>
      <c r="J77" s="377"/>
      <c r="K77" s="377"/>
      <c r="L77" s="377"/>
      <c r="M77" s="377"/>
      <c r="N77" s="377"/>
      <c r="O77" s="377"/>
      <c r="P77" s="377"/>
    </row>
    <row r="78" spans="2:17">
      <c r="B78" s="106" t="s">
        <v>295</v>
      </c>
      <c r="I78" s="377"/>
      <c r="J78" s="377"/>
      <c r="K78" s="377"/>
      <c r="L78" s="377"/>
      <c r="M78" s="377"/>
      <c r="N78" s="377"/>
      <c r="O78" s="377"/>
      <c r="P78" s="377"/>
    </row>
    <row r="79" spans="2:17">
      <c r="B79" s="85"/>
      <c r="C79" s="98"/>
      <c r="D79" s="85"/>
      <c r="E79" s="85"/>
      <c r="F79" s="85"/>
      <c r="G79" s="85"/>
      <c r="H79" s="85"/>
      <c r="I79" s="383"/>
      <c r="J79" s="383"/>
      <c r="K79" s="383"/>
      <c r="L79" s="388"/>
      <c r="M79" s="388"/>
      <c r="N79" s="388"/>
      <c r="O79" s="388"/>
      <c r="P79" s="388"/>
      <c r="Q79" s="85"/>
    </row>
    <row r="80" spans="2:17">
      <c r="B80" s="9" t="s">
        <v>296</v>
      </c>
      <c r="C80" s="93" t="s">
        <v>172</v>
      </c>
      <c r="E80" s="9">
        <v>0</v>
      </c>
      <c r="F80" s="9">
        <v>0</v>
      </c>
      <c r="G80" s="9">
        <v>7238.990033</v>
      </c>
      <c r="H80" s="9">
        <v>10923.271363000002</v>
      </c>
      <c r="I80" s="402">
        <v>10060.648226000001</v>
      </c>
      <c r="J80" s="377">
        <f>J81*J83/4</f>
        <v>3685.8841857574698</v>
      </c>
      <c r="K80" s="377">
        <f>SUM(I80:J80)</f>
        <v>13746.532411757471</v>
      </c>
      <c r="L80" s="377">
        <f>L81*L83</f>
        <v>23876.444997285595</v>
      </c>
      <c r="M80" s="377">
        <f t="shared" ref="M80:P80" si="54">M81*M83</f>
        <v>35447.770901115568</v>
      </c>
      <c r="N80" s="377">
        <f t="shared" si="54"/>
        <v>49538.342234318552</v>
      </c>
      <c r="O80" s="377">
        <f t="shared" si="54"/>
        <v>66723.984836871285</v>
      </c>
      <c r="P80" s="377">
        <f t="shared" si="54"/>
        <v>77402.741514936512</v>
      </c>
      <c r="Q80" s="9">
        <f>P80*(1+DCF!$F$44)</f>
        <v>78176.768930085876</v>
      </c>
    </row>
    <row r="81" spans="2:17">
      <c r="B81" s="89" t="s">
        <v>297</v>
      </c>
      <c r="C81" s="93" t="s">
        <v>172</v>
      </c>
      <c r="E81" s="9">
        <v>0</v>
      </c>
      <c r="F81" s="9">
        <v>0</v>
      </c>
      <c r="G81" s="9">
        <v>196305</v>
      </c>
      <c r="H81" s="9">
        <v>261740</v>
      </c>
      <c r="I81" s="378">
        <v>330395</v>
      </c>
      <c r="J81" s="377">
        <v>353280</v>
      </c>
      <c r="K81" s="377">
        <f>J81</f>
        <v>353280</v>
      </c>
      <c r="L81" s="377">
        <f>K81*(1+L82)</f>
        <v>459310.00000000006</v>
      </c>
      <c r="M81" s="377">
        <f t="shared" ref="M81:P81" si="55">L81*(1+M82)</f>
        <v>569595.00000000012</v>
      </c>
      <c r="N81" s="377">
        <f t="shared" si="55"/>
        <v>683445.00000000012</v>
      </c>
      <c r="O81" s="377">
        <f t="shared" si="55"/>
        <v>806495</v>
      </c>
      <c r="P81" s="377">
        <f t="shared" si="55"/>
        <v>935569.48330809339</v>
      </c>
    </row>
    <row r="82" spans="2:17">
      <c r="B82" s="82" t="s">
        <v>178</v>
      </c>
      <c r="C82" s="93" t="s">
        <v>179</v>
      </c>
      <c r="I82" s="378"/>
      <c r="J82" s="377"/>
      <c r="K82" s="143"/>
      <c r="L82" s="143">
        <v>0.30013020833333348</v>
      </c>
      <c r="M82" s="143">
        <v>0.24011016524787188</v>
      </c>
      <c r="N82" s="143">
        <v>0.19987886129618415</v>
      </c>
      <c r="O82" s="143">
        <v>0.18004374894834241</v>
      </c>
      <c r="P82" s="143">
        <f>O82-2%</f>
        <v>0.16004374894834242</v>
      </c>
    </row>
    <row r="83" spans="2:17">
      <c r="B83" s="82" t="s">
        <v>298</v>
      </c>
      <c r="C83" s="93" t="s">
        <v>179</v>
      </c>
      <c r="D83" s="37">
        <f>(O83-K83)/4</f>
        <v>1.0250000000000002E-2</v>
      </c>
      <c r="G83" s="10">
        <f>G80/G81</f>
        <v>3.6876238674511605E-2</v>
      </c>
      <c r="H83" s="10">
        <f>H80/H81</f>
        <v>4.1733290146710483E-2</v>
      </c>
      <c r="I83" s="149">
        <f>I80*4/3/I81</f>
        <v>4.0600486189762766E-2</v>
      </c>
      <c r="J83" s="144">
        <f>H83</f>
        <v>4.1733290146710483E-2</v>
      </c>
      <c r="K83" s="144">
        <f>J83</f>
        <v>4.1733290146710483E-2</v>
      </c>
      <c r="L83" s="144">
        <f>K83+$D83</f>
        <v>5.1983290146710485E-2</v>
      </c>
      <c r="M83" s="144">
        <f t="shared" ref="M83:N83" si="56">L83+$D83</f>
        <v>6.2233290146710488E-2</v>
      </c>
      <c r="N83" s="144">
        <f t="shared" si="56"/>
        <v>7.2483290146710483E-2</v>
      </c>
      <c r="O83" s="144">
        <v>8.2733290146710492E-2</v>
      </c>
      <c r="P83" s="144">
        <v>8.2733290146710492E-2</v>
      </c>
    </row>
    <row r="84" spans="2:17">
      <c r="B84" s="131" t="s">
        <v>176</v>
      </c>
      <c r="C84" s="98" t="s">
        <v>179</v>
      </c>
      <c r="D84" s="85"/>
      <c r="E84" s="85"/>
      <c r="F84" s="85"/>
      <c r="G84" s="85"/>
      <c r="H84" s="85"/>
      <c r="I84" s="384"/>
      <c r="J84" s="383"/>
      <c r="K84" s="145"/>
      <c r="L84" s="145">
        <f t="shared" ref="L84:M84" si="57">L83-K83</f>
        <v>1.0250000000000002E-2</v>
      </c>
      <c r="M84" s="145">
        <f t="shared" si="57"/>
        <v>1.0250000000000002E-2</v>
      </c>
      <c r="N84" s="145">
        <f>N83-M83</f>
        <v>1.0249999999999995E-2</v>
      </c>
      <c r="O84" s="145">
        <v>3.0000000000000001E-3</v>
      </c>
      <c r="P84" s="145">
        <v>0</v>
      </c>
      <c r="Q84" s="85"/>
    </row>
    <row r="86" spans="2:17">
      <c r="B86" s="16" t="s">
        <v>299</v>
      </c>
    </row>
    <row r="87" spans="2:17">
      <c r="B87" s="85"/>
      <c r="C87" s="98"/>
      <c r="D87" s="85"/>
      <c r="E87" s="85"/>
      <c r="F87" s="85"/>
      <c r="G87" s="85"/>
      <c r="H87" s="85"/>
      <c r="I87" s="85"/>
      <c r="J87" s="85"/>
      <c r="K87" s="85"/>
      <c r="L87" s="107">
        <f t="shared" ref="L87:P87" si="58">L88/K88-1</f>
        <v>-0.19051052004442004</v>
      </c>
      <c r="M87" s="107">
        <f t="shared" si="58"/>
        <v>0.10170440928133728</v>
      </c>
      <c r="N87" s="107">
        <f t="shared" si="58"/>
        <v>8.3354344753713727E-2</v>
      </c>
      <c r="O87" s="107">
        <f t="shared" si="58"/>
        <v>8.3989329080175423E-2</v>
      </c>
      <c r="P87" s="107">
        <f t="shared" si="58"/>
        <v>8.4864008174128092E-2</v>
      </c>
      <c r="Q87" s="85"/>
    </row>
    <row r="88" spans="2:17">
      <c r="B88" s="9" t="s">
        <v>300</v>
      </c>
      <c r="E88" s="9">
        <v>53997.946956</v>
      </c>
      <c r="F88" s="9">
        <f t="shared" ref="F88:H88" si="59">F89+F91+F93</f>
        <v>69147.807591000004</v>
      </c>
      <c r="G88" s="9">
        <f t="shared" si="59"/>
        <v>83218.734069467144</v>
      </c>
      <c r="H88" s="9">
        <f t="shared" si="59"/>
        <v>82063.814054297589</v>
      </c>
      <c r="I88" s="137">
        <f>I89+I91+I93</f>
        <v>71813.738677325382</v>
      </c>
      <c r="J88" s="9">
        <f>J89+J91+J93</f>
        <v>23937.912892441793</v>
      </c>
      <c r="K88" s="9">
        <f>K89+K91+K93</f>
        <v>95751.651569767171</v>
      </c>
      <c r="L88" s="9">
        <f t="shared" ref="L88:Q88" si="60">L89+L91+L93</f>
        <v>77509.954634098714</v>
      </c>
      <c r="M88" s="9">
        <f t="shared" si="60"/>
        <v>85393.058783582979</v>
      </c>
      <c r="N88" s="9">
        <f t="shared" si="60"/>
        <v>92510.941245003894</v>
      </c>
      <c r="O88" s="9">
        <f t="shared" si="60"/>
        <v>100280.87313274729</v>
      </c>
      <c r="P88" s="9">
        <f t="shared" si="60"/>
        <v>108791.10996999346</v>
      </c>
      <c r="Q88" s="9">
        <f t="shared" si="60"/>
        <v>109879.02106969338</v>
      </c>
    </row>
    <row r="89" spans="2:17">
      <c r="B89" s="89" t="s">
        <v>272</v>
      </c>
      <c r="E89" s="9">
        <v>46368.062598000004</v>
      </c>
      <c r="F89" s="9">
        <v>49365.457892000006</v>
      </c>
      <c r="G89" s="9">
        <v>61609.892890000003</v>
      </c>
      <c r="H89" s="9">
        <v>58344.823697999993</v>
      </c>
      <c r="I89" s="83">
        <v>49572.482785</v>
      </c>
      <c r="J89" s="9">
        <f>I89/3</f>
        <v>16524.160928333335</v>
      </c>
      <c r="K89" s="9">
        <f>SUM(I89:J89)</f>
        <v>66096.643713333338</v>
      </c>
      <c r="L89" s="9">
        <f>K89*(1+L90)</f>
        <v>73374.735327010669</v>
      </c>
      <c r="M89" s="9">
        <f t="shared" ref="M89:P89" si="61">L89*(1+M90)</f>
        <v>80698.505339937037</v>
      </c>
      <c r="N89" s="9">
        <f t="shared" si="61"/>
        <v>87154.385767131986</v>
      </c>
      <c r="O89" s="9">
        <f t="shared" si="61"/>
        <v>94127.954719149202</v>
      </c>
      <c r="P89" s="9">
        <f t="shared" si="61"/>
        <v>101659.50665160385</v>
      </c>
      <c r="Q89" s="9">
        <f>P89*(1+DCF!$F$44)</f>
        <v>102676.10171811988</v>
      </c>
    </row>
    <row r="90" spans="2:17">
      <c r="B90" s="82" t="s">
        <v>178</v>
      </c>
      <c r="F90" s="10">
        <f>F89/E89-1</f>
        <v>6.4643531043914848E-2</v>
      </c>
      <c r="G90" s="10">
        <f>G89/F89-1</f>
        <v>0.2480364919289908</v>
      </c>
      <c r="H90" s="10">
        <f>H89/G89-1</f>
        <v>-5.299585892527936E-2</v>
      </c>
      <c r="I90" s="146">
        <f>I89*4/3/H89-1</f>
        <v>0.13286217223755314</v>
      </c>
      <c r="K90" s="120">
        <f>K89/H89-1</f>
        <v>0.13286217223755314</v>
      </c>
      <c r="L90" s="120">
        <v>0.11011287721723084</v>
      </c>
      <c r="M90" s="120">
        <v>9.9813239261257625E-2</v>
      </c>
      <c r="N90" s="120">
        <v>7.9999999999999849E-2</v>
      </c>
      <c r="O90" s="120">
        <v>8.0013976240391527E-2</v>
      </c>
      <c r="P90" s="120">
        <f>O90</f>
        <v>8.0013976240391527E-2</v>
      </c>
    </row>
    <row r="91" spans="2:17">
      <c r="B91" s="89" t="s">
        <v>273</v>
      </c>
      <c r="E91" s="9">
        <v>7629.8843580000002</v>
      </c>
      <c r="F91" s="9">
        <v>19331.070672999998</v>
      </c>
      <c r="G91" s="9">
        <v>18405.437600467132</v>
      </c>
      <c r="H91" s="9">
        <v>21008.850175297601</v>
      </c>
      <c r="I91" s="83">
        <v>19633.572346325382</v>
      </c>
      <c r="J91" s="9">
        <f>I91/3</f>
        <v>6544.5241154417936</v>
      </c>
      <c r="K91" s="9">
        <f>SUM(I91:J91)</f>
        <v>26178.096461767174</v>
      </c>
    </row>
    <row r="92" spans="2:17">
      <c r="B92" s="82" t="s">
        <v>178</v>
      </c>
      <c r="F92" s="10">
        <f>F91/E91-1</f>
        <v>1.5335994316520933</v>
      </c>
      <c r="G92" s="10">
        <f>G91/F91-1</f>
        <v>-4.7883176684347495E-2</v>
      </c>
      <c r="H92" s="10">
        <f>H91/G91-1</f>
        <v>0.14144801288312725</v>
      </c>
      <c r="I92" s="146">
        <f>I91*4/3/H91-1</f>
        <v>0.24605089014093795</v>
      </c>
      <c r="K92" s="120"/>
      <c r="L92" s="120"/>
      <c r="M92" s="120"/>
      <c r="N92" s="120"/>
      <c r="O92" s="120"/>
      <c r="P92" s="120"/>
    </row>
    <row r="93" spans="2:17">
      <c r="B93" s="89" t="s">
        <v>274</v>
      </c>
      <c r="E93" s="9">
        <f t="shared" ref="E93:J93" si="62">E94+E96</f>
        <v>0</v>
      </c>
      <c r="F93" s="9">
        <f t="shared" si="62"/>
        <v>451.27902600000004</v>
      </c>
      <c r="G93" s="9">
        <f t="shared" si="62"/>
        <v>3203.4035789999998</v>
      </c>
      <c r="H93" s="9">
        <f t="shared" si="62"/>
        <v>2710.1401809999998</v>
      </c>
      <c r="I93" s="83">
        <f t="shared" si="62"/>
        <v>2607.6835460000002</v>
      </c>
      <c r="J93" s="9">
        <f t="shared" si="62"/>
        <v>869.22784866666677</v>
      </c>
      <c r="K93" s="9">
        <f>K94+K96</f>
        <v>3476.9113946666671</v>
      </c>
      <c r="L93" s="9">
        <f t="shared" ref="L93:P93" si="63">L94+L96</f>
        <v>4135.2193070880521</v>
      </c>
      <c r="M93" s="9">
        <f t="shared" si="63"/>
        <v>4694.5534436459429</v>
      </c>
      <c r="N93" s="9">
        <f t="shared" si="63"/>
        <v>5356.5554778719061</v>
      </c>
      <c r="O93" s="9">
        <f t="shared" si="63"/>
        <v>6152.9184135980922</v>
      </c>
      <c r="P93" s="9">
        <f t="shared" si="63"/>
        <v>7131.6033183896061</v>
      </c>
      <c r="Q93" s="9">
        <f>P93*(1+DCF!$F$44)</f>
        <v>7202.9193515735024</v>
      </c>
    </row>
    <row r="94" spans="2:17">
      <c r="B94" s="82" t="s">
        <v>301</v>
      </c>
      <c r="E94" s="9">
        <v>0</v>
      </c>
      <c r="F94" s="9">
        <v>451.27902600000004</v>
      </c>
      <c r="G94" s="9">
        <v>2457.8761479999998</v>
      </c>
      <c r="H94" s="9">
        <v>433.98341000000005</v>
      </c>
      <c r="I94" s="83">
        <v>0</v>
      </c>
      <c r="J94" s="9">
        <v>0</v>
      </c>
      <c r="K94" s="9">
        <f>SUM(I94:J94)</f>
        <v>0</v>
      </c>
    </row>
    <row r="95" spans="2:17">
      <c r="B95" s="115" t="s">
        <v>178</v>
      </c>
      <c r="F95" s="10"/>
      <c r="G95" s="10">
        <f>G94/F94-1</f>
        <v>4.4464666124323706</v>
      </c>
      <c r="H95" s="10">
        <f>H94/G94-1</f>
        <v>-0.82343153850403039</v>
      </c>
      <c r="I95" s="83"/>
    </row>
    <row r="96" spans="2:17">
      <c r="B96" s="82" t="s">
        <v>302</v>
      </c>
      <c r="E96" s="9">
        <v>0</v>
      </c>
      <c r="F96" s="9">
        <v>0</v>
      </c>
      <c r="G96" s="9">
        <v>745.52743099999998</v>
      </c>
      <c r="H96" s="9">
        <v>2276.1567709999999</v>
      </c>
      <c r="I96" s="83">
        <v>2607.6835460000002</v>
      </c>
      <c r="J96" s="9">
        <f>I96/3</f>
        <v>869.22784866666677</v>
      </c>
      <c r="K96" s="9">
        <f>SUM(I96:J96)</f>
        <v>3476.9113946666671</v>
      </c>
      <c r="L96" s="9">
        <f>K96*(1+L97)</f>
        <v>4135.2193070880521</v>
      </c>
      <c r="M96" s="9">
        <f t="shared" ref="M96:P96" si="64">L96*(1+M97)</f>
        <v>4694.5534436459429</v>
      </c>
      <c r="N96" s="9">
        <f t="shared" si="64"/>
        <v>5356.5554778719061</v>
      </c>
      <c r="O96" s="9">
        <f t="shared" si="64"/>
        <v>6152.9184135980922</v>
      </c>
      <c r="P96" s="9">
        <f t="shared" si="64"/>
        <v>7131.6033183896061</v>
      </c>
    </row>
    <row r="97" spans="2:17">
      <c r="B97" s="131" t="s">
        <v>178</v>
      </c>
      <c r="C97" s="98"/>
      <c r="D97" s="85"/>
      <c r="E97" s="85"/>
      <c r="F97" s="107"/>
      <c r="G97" s="107"/>
      <c r="H97" s="107"/>
      <c r="I97" s="86"/>
      <c r="J97" s="85"/>
      <c r="K97" s="147">
        <f>K96/H96-1</f>
        <v>0.52753599355071268</v>
      </c>
      <c r="L97" s="129">
        <f>CyberSecurity!L40</f>
        <v>0.18933698265396748</v>
      </c>
      <c r="M97" s="129">
        <f>CyberSecurity!M40</f>
        <v>0.13526105752097672</v>
      </c>
      <c r="N97" s="129">
        <f>CyberSecurity!N40</f>
        <v>0.14101491061348548</v>
      </c>
      <c r="O97" s="129">
        <f>CyberSecurity!O40</f>
        <v>0.14867071554023581</v>
      </c>
      <c r="P97" s="129">
        <f>CyberSecurity!P40</f>
        <v>0.15906027660444799</v>
      </c>
      <c r="Q97" s="129"/>
    </row>
    <row r="99" spans="2:17">
      <c r="B99" s="11" t="s">
        <v>77</v>
      </c>
      <c r="C99" s="94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1" spans="2:17">
      <c r="B101" s="85"/>
      <c r="C101" s="98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</row>
    <row r="102" spans="2:17">
      <c r="B102" s="89" t="s">
        <v>86</v>
      </c>
      <c r="C102" s="93" t="s">
        <v>172</v>
      </c>
      <c r="E102" s="9">
        <f t="shared" ref="E102:P105" si="65">SUMIFS(E$110:E$192,$B$110:$B$192,$B102)</f>
        <v>37805.601717999998</v>
      </c>
      <c r="F102" s="9">
        <f t="shared" si="65"/>
        <v>47588.229123999998</v>
      </c>
      <c r="G102" s="9">
        <f t="shared" si="65"/>
        <v>70499.1898039808</v>
      </c>
      <c r="H102" s="9">
        <f t="shared" si="65"/>
        <v>76514.997457477904</v>
      </c>
      <c r="I102" s="9">
        <f t="shared" si="65"/>
        <v>69028.110652734278</v>
      </c>
      <c r="J102" s="9">
        <f t="shared" si="65"/>
        <v>23203.834767218334</v>
      </c>
      <c r="K102" s="9">
        <f t="shared" si="65"/>
        <v>92231.945419952608</v>
      </c>
      <c r="L102" s="9">
        <f t="shared" si="65"/>
        <v>86257.40883422771</v>
      </c>
      <c r="M102" s="9">
        <f t="shared" si="65"/>
        <v>104269.0714794091</v>
      </c>
      <c r="N102" s="9">
        <f t="shared" si="65"/>
        <v>123012.92746149258</v>
      </c>
      <c r="O102" s="9">
        <f t="shared" si="65"/>
        <v>144451.13606643112</v>
      </c>
      <c r="P102" s="9">
        <f t="shared" si="65"/>
        <v>163173.24537670196</v>
      </c>
      <c r="Q102" s="9">
        <f>P102*(1+DCF!$F$44)</f>
        <v>164804.97783046897</v>
      </c>
    </row>
    <row r="103" spans="2:17">
      <c r="B103" s="89" t="s">
        <v>79</v>
      </c>
      <c r="C103" s="93" t="s">
        <v>171</v>
      </c>
      <c r="E103" s="9">
        <f t="shared" si="65"/>
        <v>2336.378346</v>
      </c>
      <c r="F103" s="9">
        <f t="shared" si="65"/>
        <v>3014.6998319999993</v>
      </c>
      <c r="G103" s="9">
        <f t="shared" si="65"/>
        <v>20184.344063456989</v>
      </c>
      <c r="H103" s="9">
        <f t="shared" si="65"/>
        <v>118751.73978339479</v>
      </c>
      <c r="I103" s="9">
        <f t="shared" si="65"/>
        <v>101808.15354094992</v>
      </c>
      <c r="J103" s="9">
        <f t="shared" si="65"/>
        <v>47350.703322585694</v>
      </c>
      <c r="K103" s="9">
        <f t="shared" si="65"/>
        <v>149158.85686353562</v>
      </c>
      <c r="L103" s="9">
        <f t="shared" si="65"/>
        <v>232674.23107313699</v>
      </c>
      <c r="M103" s="9">
        <f t="shared" si="65"/>
        <v>268293.60371279606</v>
      </c>
      <c r="N103" s="9">
        <f t="shared" si="65"/>
        <v>295212.54940810602</v>
      </c>
      <c r="O103" s="9">
        <f t="shared" si="65"/>
        <v>313000.3462768363</v>
      </c>
      <c r="P103" s="9">
        <f t="shared" si="65"/>
        <v>330216.63862323383</v>
      </c>
      <c r="Q103" s="9">
        <f>P103*(1+DCF!$F$44)</f>
        <v>333518.80500946619</v>
      </c>
    </row>
    <row r="104" spans="2:17">
      <c r="B104" s="89" t="s">
        <v>87</v>
      </c>
      <c r="C104" s="93" t="s">
        <v>171</v>
      </c>
      <c r="E104" s="9">
        <f t="shared" si="65"/>
        <v>1166.0313740000001</v>
      </c>
      <c r="F104" s="9">
        <f t="shared" si="65"/>
        <v>1814.6412210000001</v>
      </c>
      <c r="G104" s="9">
        <f t="shared" si="65"/>
        <v>16644.434363169803</v>
      </c>
      <c r="H104" s="9">
        <f t="shared" si="65"/>
        <v>20197.896804479202</v>
      </c>
      <c r="I104" s="9">
        <f t="shared" si="65"/>
        <v>15987.616621436802</v>
      </c>
      <c r="J104" s="9">
        <f t="shared" si="65"/>
        <v>5369.6497615532344</v>
      </c>
      <c r="K104" s="9">
        <f t="shared" si="65"/>
        <v>21357.266382990034</v>
      </c>
      <c r="L104" s="9">
        <f t="shared" si="65"/>
        <v>22585.858923998254</v>
      </c>
      <c r="M104" s="9">
        <f t="shared" si="65"/>
        <v>27543.164135665807</v>
      </c>
      <c r="N104" s="9">
        <f t="shared" si="65"/>
        <v>32418.766774247997</v>
      </c>
      <c r="O104" s="9">
        <f t="shared" si="65"/>
        <v>37749.287183910506</v>
      </c>
      <c r="P104" s="9">
        <f t="shared" si="65"/>
        <v>42529.925069714751</v>
      </c>
      <c r="Q104" s="9">
        <f>P104*(1+DCF!$F$44)</f>
        <v>42955.2243204119</v>
      </c>
    </row>
    <row r="105" spans="2:17">
      <c r="B105" s="89" t="s">
        <v>83</v>
      </c>
      <c r="C105" s="93" t="s">
        <v>171</v>
      </c>
      <c r="E105" s="9">
        <f t="shared" si="65"/>
        <v>259.53648300000003</v>
      </c>
      <c r="F105" s="9">
        <f t="shared" si="65"/>
        <v>905.41324100000008</v>
      </c>
      <c r="G105" s="9">
        <f t="shared" si="65"/>
        <v>2501.6916994182334</v>
      </c>
      <c r="H105" s="9">
        <f t="shared" si="65"/>
        <v>4082.1538786035553</v>
      </c>
      <c r="I105" s="9">
        <f t="shared" si="65"/>
        <v>5918.6194958149999</v>
      </c>
      <c r="J105" s="9">
        <f t="shared" si="65"/>
        <v>1948.9201986049998</v>
      </c>
      <c r="K105" s="9">
        <f t="shared" si="65"/>
        <v>7867.5396944199993</v>
      </c>
      <c r="L105" s="9">
        <f t="shared" si="65"/>
        <v>7920.4116871307215</v>
      </c>
      <c r="M105" s="9">
        <f t="shared" si="65"/>
        <v>7952.0933338792438</v>
      </c>
      <c r="N105" s="9">
        <f t="shared" si="65"/>
        <v>8079.3268272213118</v>
      </c>
      <c r="O105" s="9">
        <f t="shared" si="65"/>
        <v>8232.8340369385151</v>
      </c>
      <c r="P105" s="9">
        <f t="shared" si="65"/>
        <v>8422.1892197881007</v>
      </c>
      <c r="Q105" s="9">
        <f>P105*(1+DCF!$F$44)</f>
        <v>8506.4111119859826</v>
      </c>
    </row>
    <row r="106" spans="2:17">
      <c r="B106" s="108" t="s">
        <v>94</v>
      </c>
      <c r="C106" s="98" t="s">
        <v>171</v>
      </c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</row>
    <row r="108" spans="2:17">
      <c r="B108" s="106" t="s">
        <v>275</v>
      </c>
      <c r="G108" s="377"/>
      <c r="H108" s="377"/>
      <c r="I108" s="377"/>
      <c r="J108" s="377"/>
      <c r="K108" s="377"/>
      <c r="L108" s="377"/>
      <c r="M108" s="377"/>
      <c r="N108" s="377"/>
      <c r="O108" s="377"/>
    </row>
    <row r="109" spans="2:17">
      <c r="B109" s="85"/>
      <c r="C109" s="98"/>
      <c r="D109" s="85"/>
      <c r="E109" s="85"/>
      <c r="F109" s="85"/>
      <c r="G109" s="393"/>
      <c r="H109" s="393"/>
      <c r="I109" s="393"/>
      <c r="J109" s="393"/>
      <c r="K109" s="393"/>
      <c r="L109" s="393"/>
      <c r="M109" s="393"/>
      <c r="N109" s="393"/>
      <c r="O109" s="393"/>
      <c r="P109" s="133"/>
      <c r="Q109" s="133"/>
    </row>
    <row r="110" spans="2:17">
      <c r="B110" s="9" t="s">
        <v>303</v>
      </c>
      <c r="C110" s="93" t="s">
        <v>172</v>
      </c>
      <c r="E110" s="9">
        <f>E111+E119</f>
        <v>0</v>
      </c>
      <c r="F110" s="9">
        <f t="shared" ref="F110:H110" si="66">F111+F119</f>
        <v>0</v>
      </c>
      <c r="G110" s="377">
        <f t="shared" si="66"/>
        <v>35327.637405000001</v>
      </c>
      <c r="H110" s="377">
        <f t="shared" si="66"/>
        <v>142226.29402268078</v>
      </c>
      <c r="I110" s="402">
        <f>I111+I119</f>
        <v>122503.46615815919</v>
      </c>
      <c r="J110" s="377">
        <f t="shared" ref="J110:P110" si="67">J111+J119</f>
        <v>54249.140861655455</v>
      </c>
      <c r="K110" s="377">
        <f t="shared" si="67"/>
        <v>176752.60701981466</v>
      </c>
      <c r="L110" s="377">
        <f t="shared" si="67"/>
        <v>264629.90901496675</v>
      </c>
      <c r="M110" s="377">
        <f t="shared" si="67"/>
        <v>308885.61390211812</v>
      </c>
      <c r="N110" s="377">
        <f t="shared" si="67"/>
        <v>344161.84094611445</v>
      </c>
      <c r="O110" s="377">
        <f t="shared" si="67"/>
        <v>370932.72203197388</v>
      </c>
      <c r="P110" s="9">
        <f t="shared" si="67"/>
        <v>398920.43541156489</v>
      </c>
      <c r="Q110" s="9">
        <f>P110*(1+DCF!$F$44)</f>
        <v>402909.63976568053</v>
      </c>
    </row>
    <row r="111" spans="2:17">
      <c r="B111" s="89" t="s">
        <v>304</v>
      </c>
      <c r="C111" s="93" t="s">
        <v>172</v>
      </c>
      <c r="E111" s="9">
        <f t="shared" ref="E111:F111" si="68">E112+E117</f>
        <v>0</v>
      </c>
      <c r="F111" s="9">
        <f t="shared" si="68"/>
        <v>0</v>
      </c>
      <c r="G111" s="377">
        <f>G112+G117</f>
        <v>15550.474315000001</v>
      </c>
      <c r="H111" s="377">
        <f>H112+H117</f>
        <v>110013.65805599999</v>
      </c>
      <c r="I111" s="378">
        <f>I112+I117</f>
        <v>93263.553991921959</v>
      </c>
      <c r="J111" s="377">
        <f>J112+J117</f>
        <v>44502.503472909702</v>
      </c>
      <c r="K111" s="377">
        <f>SUM(I111:J111)</f>
        <v>137766.05746483165</v>
      </c>
      <c r="L111" s="377">
        <f t="shared" ref="L111:P111" si="69">L112+L117</f>
        <v>221411.1918623402</v>
      </c>
      <c r="M111" s="377">
        <f t="shared" si="69"/>
        <v>253983.47300691932</v>
      </c>
      <c r="N111" s="377">
        <f t="shared" si="69"/>
        <v>277566.03054969449</v>
      </c>
      <c r="O111" s="377">
        <f t="shared" si="69"/>
        <v>291322.68503420398</v>
      </c>
      <c r="P111" s="9">
        <f t="shared" si="69"/>
        <v>305051.18832320353</v>
      </c>
      <c r="Q111" s="9">
        <f>P111*(1+DCF!$F$44)</f>
        <v>308101.70020643558</v>
      </c>
    </row>
    <row r="112" spans="2:17">
      <c r="B112" s="82" t="s">
        <v>106</v>
      </c>
      <c r="C112" s="93" t="s">
        <v>172</v>
      </c>
      <c r="E112" s="9">
        <v>0</v>
      </c>
      <c r="F112" s="9">
        <v>0</v>
      </c>
      <c r="G112" s="377">
        <v>15550.474315000001</v>
      </c>
      <c r="H112" s="377">
        <v>109747.42742299999</v>
      </c>
      <c r="I112" s="378">
        <f>I115*I113*3/4</f>
        <v>92901.346426921955</v>
      </c>
      <c r="J112" s="377">
        <f>J115*J113/4</f>
        <v>44381.767617909703</v>
      </c>
      <c r="K112" s="385">
        <f>SUM(I112:J112)</f>
        <v>137283.11404483166</v>
      </c>
      <c r="L112" s="377">
        <f>L115*L113</f>
        <v>220920.5213476202</v>
      </c>
      <c r="M112" s="377">
        <f t="shared" ref="M112:P112" si="70">M115*M113</f>
        <v>253490.83981014043</v>
      </c>
      <c r="N112" s="377">
        <f t="shared" si="70"/>
        <v>277065.51522176713</v>
      </c>
      <c r="O112" s="377">
        <f t="shared" si="70"/>
        <v>290812.65991504601</v>
      </c>
      <c r="P112" s="9">
        <f t="shared" si="70"/>
        <v>304529.43262630492</v>
      </c>
    </row>
    <row r="113" spans="2:17">
      <c r="B113" s="115" t="s">
        <v>305</v>
      </c>
      <c r="C113" s="93" t="s">
        <v>172</v>
      </c>
      <c r="G113" s="390">
        <f>G112/G115</f>
        <v>19.365472372353675</v>
      </c>
      <c r="H113" s="390">
        <f>H112/H115</f>
        <v>45.881031531354509</v>
      </c>
      <c r="I113" s="391">
        <f>K113</f>
        <v>48.863298580892547</v>
      </c>
      <c r="J113" s="390">
        <f>K113</f>
        <v>48.863298580892547</v>
      </c>
      <c r="K113" s="390">
        <f>H113*(1+K114)</f>
        <v>48.863298580892547</v>
      </c>
      <c r="L113" s="390">
        <f>K113*(1+L114)</f>
        <v>50.622377329804678</v>
      </c>
      <c r="M113" s="390">
        <f t="shared" ref="M113:P113" si="71">L113*(1+M114)</f>
        <v>51.584202499070962</v>
      </c>
      <c r="N113" s="390">
        <f t="shared" si="71"/>
        <v>52.770639156549592</v>
      </c>
      <c r="O113" s="390">
        <f t="shared" si="71"/>
        <v>54.459299609559181</v>
      </c>
      <c r="P113" s="127">
        <f t="shared" si="71"/>
        <v>56.310915796284192</v>
      </c>
    </row>
    <row r="114" spans="2:17">
      <c r="B114" s="116" t="s">
        <v>178</v>
      </c>
      <c r="C114" s="93" t="s">
        <v>179</v>
      </c>
      <c r="G114" s="377"/>
      <c r="H114" s="377"/>
      <c r="I114" s="378"/>
      <c r="J114" s="377"/>
      <c r="K114" s="148">
        <v>6.5000000000000002E-2</v>
      </c>
      <c r="L114" s="148">
        <v>3.6000000000000004E-2</v>
      </c>
      <c r="M114" s="148">
        <v>1.9E-2</v>
      </c>
      <c r="N114" s="148">
        <v>2.3E-2</v>
      </c>
      <c r="O114" s="148">
        <v>3.2000000000000001E-2</v>
      </c>
      <c r="P114" s="148">
        <v>3.4000000000000002E-2</v>
      </c>
    </row>
    <row r="115" spans="2:17">
      <c r="B115" s="115" t="s">
        <v>306</v>
      </c>
      <c r="C115" s="93" t="s">
        <v>175</v>
      </c>
      <c r="G115" s="377">
        <f t="shared" ref="G115:P115" si="72">G51</f>
        <v>803</v>
      </c>
      <c r="H115" s="377">
        <f t="shared" si="72"/>
        <v>2392</v>
      </c>
      <c r="I115" s="378">
        <f t="shared" si="72"/>
        <v>2535</v>
      </c>
      <c r="J115" s="377">
        <f t="shared" si="72"/>
        <v>3633.1372549019607</v>
      </c>
      <c r="K115" s="377">
        <f t="shared" si="72"/>
        <v>3633.1372549019607</v>
      </c>
      <c r="L115" s="377">
        <f t="shared" si="72"/>
        <v>4364.0882352941171</v>
      </c>
      <c r="M115" s="377">
        <f t="shared" si="72"/>
        <v>4914.1176470588225</v>
      </c>
      <c r="N115" s="377">
        <f t="shared" si="72"/>
        <v>5250.3725490196066</v>
      </c>
      <c r="O115" s="377">
        <f t="shared" si="72"/>
        <v>5340</v>
      </c>
      <c r="P115" s="9">
        <f t="shared" si="72"/>
        <v>5408</v>
      </c>
    </row>
    <row r="116" spans="2:17">
      <c r="B116" s="116" t="s">
        <v>281</v>
      </c>
      <c r="C116" s="93" t="s">
        <v>175</v>
      </c>
      <c r="G116" s="377"/>
      <c r="H116" s="377"/>
      <c r="I116" s="378"/>
      <c r="J116" s="377"/>
      <c r="K116" s="377">
        <f>K115-H115</f>
        <v>1241.1372549019607</v>
      </c>
      <c r="L116" s="377">
        <f>L115-K115</f>
        <v>730.95098039215645</v>
      </c>
      <c r="M116" s="377">
        <f t="shared" ref="M116:P116" si="73">M115-L115</f>
        <v>550.0294117647054</v>
      </c>
      <c r="N116" s="377">
        <f t="shared" si="73"/>
        <v>336.25490196078408</v>
      </c>
      <c r="O116" s="377">
        <f t="shared" si="73"/>
        <v>89.627450980393405</v>
      </c>
      <c r="P116" s="9">
        <f t="shared" si="73"/>
        <v>68</v>
      </c>
    </row>
    <row r="117" spans="2:17">
      <c r="B117" s="82" t="s">
        <v>83</v>
      </c>
      <c r="C117" s="93" t="s">
        <v>172</v>
      </c>
      <c r="G117" s="377">
        <v>0</v>
      </c>
      <c r="H117" s="377">
        <v>266.23063300000638</v>
      </c>
      <c r="I117" s="378">
        <v>362.20756499999999</v>
      </c>
      <c r="J117" s="377">
        <f>I117/3</f>
        <v>120.735855</v>
      </c>
      <c r="K117" s="377">
        <f>SUM(I117:J117)</f>
        <v>482.94342</v>
      </c>
      <c r="L117" s="377">
        <f>K117*(1+L118)</f>
        <v>490.67051472000003</v>
      </c>
      <c r="M117" s="377">
        <f t="shared" ref="M117:P117" si="74">L117*(1+M118)</f>
        <v>492.63319677888001</v>
      </c>
      <c r="N117" s="377">
        <f t="shared" si="74"/>
        <v>500.51532792734207</v>
      </c>
      <c r="O117" s="377">
        <f t="shared" si="74"/>
        <v>510.02511915796151</v>
      </c>
      <c r="P117" s="9">
        <f t="shared" si="74"/>
        <v>521.75569689859458</v>
      </c>
    </row>
    <row r="118" spans="2:17">
      <c r="B118" s="115" t="s">
        <v>178</v>
      </c>
      <c r="C118" s="93" t="s">
        <v>179</v>
      </c>
      <c r="G118" s="377"/>
      <c r="H118" s="377"/>
      <c r="I118" s="378"/>
      <c r="J118" s="377"/>
      <c r="K118" s="148">
        <f>K117/H117-1</f>
        <v>0.81400395047698515</v>
      </c>
      <c r="L118" s="148">
        <v>1.6E-2</v>
      </c>
      <c r="M118" s="148">
        <v>4.0000000000000001E-3</v>
      </c>
      <c r="N118" s="148">
        <v>1.6E-2</v>
      </c>
      <c r="O118" s="148">
        <v>1.9E-2</v>
      </c>
      <c r="P118" s="130">
        <v>2.3E-2</v>
      </c>
    </row>
    <row r="119" spans="2:17">
      <c r="B119" s="89" t="s">
        <v>307</v>
      </c>
      <c r="C119" s="93" t="s">
        <v>172</v>
      </c>
      <c r="E119" s="9">
        <f>E120+E122+E128+E131</f>
        <v>0</v>
      </c>
      <c r="F119" s="9">
        <f t="shared" ref="F119:P119" si="75">F120+F122+F128+F131</f>
        <v>0</v>
      </c>
      <c r="G119" s="377">
        <f t="shared" si="75"/>
        <v>19777.163090000002</v>
      </c>
      <c r="H119" s="377">
        <f t="shared" si="75"/>
        <v>32212.635966680784</v>
      </c>
      <c r="I119" s="378">
        <f t="shared" si="75"/>
        <v>29239.912166237242</v>
      </c>
      <c r="J119" s="377">
        <f t="shared" si="75"/>
        <v>9746.6373887457485</v>
      </c>
      <c r="K119" s="377">
        <f t="shared" si="75"/>
        <v>38986.549554982994</v>
      </c>
      <c r="L119" s="377">
        <f t="shared" si="75"/>
        <v>43218.71715262653</v>
      </c>
      <c r="M119" s="377">
        <f t="shared" si="75"/>
        <v>54902.140895198798</v>
      </c>
      <c r="N119" s="377">
        <f t="shared" si="75"/>
        <v>66595.810396419954</v>
      </c>
      <c r="O119" s="377">
        <f t="shared" si="75"/>
        <v>79610.036997769887</v>
      </c>
      <c r="P119" s="9">
        <f t="shared" si="75"/>
        <v>93869.247088361371</v>
      </c>
      <c r="Q119" s="9">
        <f>P119*(1+DCF!$F$44)</f>
        <v>94807.939559244987</v>
      </c>
    </row>
    <row r="120" spans="2:17">
      <c r="B120" s="82" t="s">
        <v>86</v>
      </c>
      <c r="C120" s="93" t="s">
        <v>172</v>
      </c>
      <c r="G120" s="377">
        <v>11744.660269</v>
      </c>
      <c r="H120" s="377">
        <v>19110.516540000001</v>
      </c>
      <c r="I120" s="378">
        <v>14742.198907</v>
      </c>
      <c r="J120" s="377">
        <f>J49*J121</f>
        <v>4914.0663023333336</v>
      </c>
      <c r="K120" s="377">
        <f>SUM(I120:J120)</f>
        <v>19656.265209333334</v>
      </c>
      <c r="L120" s="377">
        <f>L49*L121</f>
        <v>22098.102186160642</v>
      </c>
      <c r="M120" s="377">
        <f>M49*M121</f>
        <v>28941.225888092591</v>
      </c>
      <c r="N120" s="377">
        <f>N49*N121</f>
        <v>35822.508799202304</v>
      </c>
      <c r="O120" s="377">
        <f>O49*O121</f>
        <v>43488.398847411889</v>
      </c>
      <c r="P120" s="9">
        <f>P49*P121</f>
        <v>51925.346035183575</v>
      </c>
    </row>
    <row r="121" spans="2:17">
      <c r="B121" s="115" t="s">
        <v>212</v>
      </c>
      <c r="C121" s="93" t="s">
        <v>179</v>
      </c>
      <c r="D121" s="37">
        <v>5.0000000000000001E-3</v>
      </c>
      <c r="G121" s="144">
        <f>G120/G49</f>
        <v>0.48216207315852588</v>
      </c>
      <c r="H121" s="144">
        <f>H120/H49</f>
        <v>0.46150667930582745</v>
      </c>
      <c r="I121" s="149">
        <f>I120/I49</f>
        <v>0.39051651076783289</v>
      </c>
      <c r="J121" s="144">
        <f>I121</f>
        <v>0.39051651076783289</v>
      </c>
      <c r="K121" s="143">
        <f>J121</f>
        <v>0.39051651076783289</v>
      </c>
      <c r="L121" s="143">
        <f>K121-$D121</f>
        <v>0.38551651076783289</v>
      </c>
      <c r="M121" s="143">
        <f t="shared" ref="M121:P121" si="76">L121-$D121</f>
        <v>0.38051651076783288</v>
      </c>
      <c r="N121" s="143">
        <f t="shared" si="76"/>
        <v>0.37551651076783288</v>
      </c>
      <c r="O121" s="143">
        <f t="shared" si="76"/>
        <v>0.37051651076783287</v>
      </c>
      <c r="P121" s="120">
        <f t="shared" si="76"/>
        <v>0.36551651076783287</v>
      </c>
    </row>
    <row r="122" spans="2:17">
      <c r="B122" s="82" t="s">
        <v>79</v>
      </c>
      <c r="C122" s="93" t="s">
        <v>172</v>
      </c>
      <c r="G122" s="377">
        <v>512.44114300000001</v>
      </c>
      <c r="H122" s="377">
        <v>3599.6276251446266</v>
      </c>
      <c r="I122" s="378">
        <f>I123*I126*3/4</f>
        <v>3106.6807382372408</v>
      </c>
      <c r="J122" s="377">
        <f>J123*J126/4</f>
        <v>1035.5602460790803</v>
      </c>
      <c r="K122" s="377">
        <f>SUM(I122:J122)</f>
        <v>4142.2409843163214</v>
      </c>
      <c r="L122" s="377">
        <f t="shared" ref="L122:P122" si="77">L123*L126</f>
        <v>4715.782043683198</v>
      </c>
      <c r="M122" s="377">
        <f t="shared" si="77"/>
        <v>6189.5830337799389</v>
      </c>
      <c r="N122" s="377">
        <f t="shared" si="77"/>
        <v>7649.0250392653206</v>
      </c>
      <c r="O122" s="377">
        <f t="shared" si="77"/>
        <v>9335.7893567506562</v>
      </c>
      <c r="P122" s="9">
        <f t="shared" si="77"/>
        <v>11208.650056529181</v>
      </c>
    </row>
    <row r="123" spans="2:17">
      <c r="B123" s="115" t="s">
        <v>239</v>
      </c>
      <c r="C123" s="93" t="s">
        <v>175</v>
      </c>
      <c r="D123" s="136"/>
      <c r="G123" s="390">
        <v>7.24</v>
      </c>
      <c r="H123" s="390">
        <v>47.2</v>
      </c>
      <c r="I123" s="391">
        <v>51</v>
      </c>
      <c r="J123" s="390">
        <f>I123</f>
        <v>51</v>
      </c>
      <c r="K123" s="394">
        <v>12</v>
      </c>
      <c r="L123" s="390">
        <f>L61/L124</f>
        <v>56.043956043956058</v>
      </c>
      <c r="M123" s="390">
        <f t="shared" ref="M123:P123" si="78">M61/M124</f>
        <v>72.187544406025012</v>
      </c>
      <c r="N123" s="390">
        <f t="shared" si="78"/>
        <v>87.202979560188922</v>
      </c>
      <c r="O123" s="390">
        <f t="shared" si="78"/>
        <v>103.13274768791541</v>
      </c>
      <c r="P123" s="127">
        <f t="shared" si="78"/>
        <v>119.75077035185112</v>
      </c>
    </row>
    <row r="124" spans="2:17">
      <c r="B124" s="116" t="s">
        <v>308</v>
      </c>
      <c r="C124" s="93" t="s">
        <v>175</v>
      </c>
      <c r="G124" s="377">
        <f>G61/G123</f>
        <v>33.97790055248619</v>
      </c>
      <c r="H124" s="377">
        <f t="shared" ref="H124" si="79">H61/H123</f>
        <v>10.402542372881355</v>
      </c>
      <c r="I124" s="378">
        <f>I61*4/3/I123</f>
        <v>8.1568627450980387</v>
      </c>
      <c r="J124" s="377">
        <f>I124</f>
        <v>8.1568627450980387</v>
      </c>
      <c r="K124" s="377">
        <f>J124</f>
        <v>8.1568627450980387</v>
      </c>
      <c r="L124" s="377">
        <f>K124*(1+L125)</f>
        <v>8.2792156862745081</v>
      </c>
      <c r="M124" s="377">
        <f t="shared" ref="M124:P124" si="80">L124*(1+M125)</f>
        <v>8.4779168627450971</v>
      </c>
      <c r="N124" s="377">
        <f t="shared" si="80"/>
        <v>8.7152985349019598</v>
      </c>
      <c r="O124" s="377">
        <f t="shared" si="80"/>
        <v>8.959326893879215</v>
      </c>
      <c r="P124" s="9">
        <f t="shared" si="80"/>
        <v>9.2191473738017109</v>
      </c>
    </row>
    <row r="125" spans="2:17">
      <c r="B125" s="117" t="s">
        <v>178</v>
      </c>
      <c r="C125" s="93" t="s">
        <v>179</v>
      </c>
      <c r="G125" s="377"/>
      <c r="H125" s="377"/>
      <c r="I125" s="378"/>
      <c r="J125" s="377"/>
      <c r="K125" s="148">
        <v>0</v>
      </c>
      <c r="L125" s="148">
        <v>1.4999999999999999E-2</v>
      </c>
      <c r="M125" s="148">
        <v>2.4E-2</v>
      </c>
      <c r="N125" s="148">
        <v>2.7999999999999997E-2</v>
      </c>
      <c r="O125" s="148">
        <v>2.7999999999999997E-2</v>
      </c>
      <c r="P125" s="130">
        <v>2.8999999999999998E-2</v>
      </c>
    </row>
    <row r="126" spans="2:17">
      <c r="B126" s="115" t="s">
        <v>240</v>
      </c>
      <c r="C126" s="93" t="s">
        <v>172</v>
      </c>
      <c r="G126" s="390">
        <f>G122/G123</f>
        <v>70.779163397790057</v>
      </c>
      <c r="H126" s="390">
        <f>H122/H123</f>
        <v>76.263297142894629</v>
      </c>
      <c r="I126" s="378">
        <f>K126</f>
        <v>81.220411457182777</v>
      </c>
      <c r="J126" s="377">
        <f>K126</f>
        <v>81.220411457182777</v>
      </c>
      <c r="K126" s="390">
        <f>H126*(1+K127)</f>
        <v>81.220411457182777</v>
      </c>
      <c r="L126" s="390">
        <f t="shared" ref="L126:P126" si="81">K126*(1+L127)</f>
        <v>84.14434626964136</v>
      </c>
      <c r="M126" s="390">
        <f t="shared" si="81"/>
        <v>85.743088848764543</v>
      </c>
      <c r="N126" s="390">
        <f t="shared" si="81"/>
        <v>87.715179892286116</v>
      </c>
      <c r="O126" s="390">
        <f t="shared" si="81"/>
        <v>90.522065648839273</v>
      </c>
      <c r="P126" s="390">
        <f t="shared" si="81"/>
        <v>93.599815880899811</v>
      </c>
    </row>
    <row r="127" spans="2:17">
      <c r="B127" s="116" t="s">
        <v>178</v>
      </c>
      <c r="C127" s="93" t="s">
        <v>179</v>
      </c>
      <c r="G127" s="377"/>
      <c r="H127" s="377"/>
      <c r="I127" s="378"/>
      <c r="J127" s="377"/>
      <c r="K127" s="148">
        <v>6.5000000000000002E-2</v>
      </c>
      <c r="L127" s="148">
        <v>3.6000000000000004E-2</v>
      </c>
      <c r="M127" s="148">
        <v>1.9E-2</v>
      </c>
      <c r="N127" s="148">
        <v>2.3E-2</v>
      </c>
      <c r="O127" s="148">
        <v>3.2000000000000001E-2</v>
      </c>
      <c r="P127" s="148">
        <v>3.4000000000000002E-2</v>
      </c>
    </row>
    <row r="128" spans="2:17">
      <c r="B128" s="82" t="s">
        <v>87</v>
      </c>
      <c r="C128" s="93" t="s">
        <v>172</v>
      </c>
      <c r="G128" s="377">
        <v>7212.9798840000003</v>
      </c>
      <c r="H128" s="377">
        <v>8326.2138689999992</v>
      </c>
      <c r="I128" s="378">
        <v>7697.3071490000002</v>
      </c>
      <c r="J128" s="377">
        <f>J49*J129</f>
        <v>2565.7690496666669</v>
      </c>
      <c r="K128" s="377">
        <f>SUM(I128:J128)</f>
        <v>10263.076198666668</v>
      </c>
      <c r="L128" s="377">
        <f>L49*L129</f>
        <v>11401.06628551336</v>
      </c>
      <c r="M128" s="377">
        <f>M49*M129</f>
        <v>14747.550269507861</v>
      </c>
      <c r="N128" s="377">
        <f>N49*N129</f>
        <v>18020.114346872833</v>
      </c>
      <c r="O128" s="377">
        <f>O49*O129</f>
        <v>21584.707500517332</v>
      </c>
      <c r="P128" s="377">
        <f>P49*P129</f>
        <v>25414.483453817535</v>
      </c>
    </row>
    <row r="129" spans="2:17">
      <c r="B129" s="115" t="s">
        <v>212</v>
      </c>
      <c r="C129" s="93" t="s">
        <v>179</v>
      </c>
      <c r="D129" s="37">
        <v>5.0000000000000001E-3</v>
      </c>
      <c r="G129" s="144">
        <f>G128/G49</f>
        <v>0.29611970502883717</v>
      </c>
      <c r="H129" s="144">
        <f>H128/H49</f>
        <v>0.201072708099198</v>
      </c>
      <c r="I129" s="149">
        <f>I128/I49</f>
        <v>0.20389940124254324</v>
      </c>
      <c r="J129" s="144">
        <f>I129</f>
        <v>0.20389940124254324</v>
      </c>
      <c r="K129" s="144">
        <f>J129</f>
        <v>0.20389940124254324</v>
      </c>
      <c r="L129" s="144">
        <f>K129-$D129</f>
        <v>0.19889940124254324</v>
      </c>
      <c r="M129" s="144">
        <f t="shared" ref="M129:P129" si="82">L129-$D129</f>
        <v>0.19389940124254323</v>
      </c>
      <c r="N129" s="144">
        <f t="shared" si="82"/>
        <v>0.18889940124254323</v>
      </c>
      <c r="O129" s="144">
        <f t="shared" si="82"/>
        <v>0.18389940124254323</v>
      </c>
      <c r="P129" s="144">
        <f t="shared" si="82"/>
        <v>0.17889940124254322</v>
      </c>
    </row>
    <row r="130" spans="2:17">
      <c r="B130" s="116" t="s">
        <v>309</v>
      </c>
      <c r="C130" s="93" t="s">
        <v>179</v>
      </c>
      <c r="G130" s="377"/>
      <c r="H130" s="377"/>
      <c r="I130" s="378"/>
      <c r="J130" s="377"/>
      <c r="K130" s="143">
        <v>-0.01</v>
      </c>
      <c r="L130" s="143">
        <v>-5.0000000000000001E-3</v>
      </c>
      <c r="M130" s="143">
        <v>-5.0000000000000001E-3</v>
      </c>
      <c r="N130" s="143">
        <v>-5.0000000000000001E-3</v>
      </c>
      <c r="O130" s="143">
        <v>-5.0000000000000001E-3</v>
      </c>
      <c r="P130" s="143">
        <f>O130</f>
        <v>-5.0000000000000001E-3</v>
      </c>
    </row>
    <row r="131" spans="2:17">
      <c r="B131" s="82" t="s">
        <v>83</v>
      </c>
      <c r="C131" s="93" t="s">
        <v>172</v>
      </c>
      <c r="G131" s="377">
        <v>307.08179400000125</v>
      </c>
      <c r="H131" s="377">
        <v>1176.2779325361601</v>
      </c>
      <c r="I131" s="378">
        <v>3693.7253719999999</v>
      </c>
      <c r="J131" s="377">
        <f>I131/3</f>
        <v>1231.2417906666667</v>
      </c>
      <c r="K131" s="390">
        <f>SUM(I131:J131)</f>
        <v>4924.9671626666668</v>
      </c>
      <c r="L131" s="390">
        <f t="shared" ref="L131:P131" si="83">K131*(1+L132)</f>
        <v>5003.7666372693338</v>
      </c>
      <c r="M131" s="390">
        <f t="shared" si="83"/>
        <v>5023.7817038184112</v>
      </c>
      <c r="N131" s="390">
        <f t="shared" si="83"/>
        <v>5104.1622110795061</v>
      </c>
      <c r="O131" s="390">
        <f t="shared" si="83"/>
        <v>5201.141293090016</v>
      </c>
      <c r="P131" s="390">
        <f t="shared" si="83"/>
        <v>5320.7675428310858</v>
      </c>
    </row>
    <row r="132" spans="2:17">
      <c r="B132" s="131" t="s">
        <v>178</v>
      </c>
      <c r="C132" s="98" t="s">
        <v>179</v>
      </c>
      <c r="D132" s="85"/>
      <c r="E132" s="85"/>
      <c r="F132" s="85"/>
      <c r="G132" s="383"/>
      <c r="H132" s="383"/>
      <c r="I132" s="384"/>
      <c r="J132" s="383"/>
      <c r="K132" s="389">
        <f>K131/H131-1</f>
        <v>3.1869077251564164</v>
      </c>
      <c r="L132" s="389">
        <v>1.6E-2</v>
      </c>
      <c r="M132" s="389">
        <v>4.0000000000000001E-3</v>
      </c>
      <c r="N132" s="389">
        <v>1.6E-2</v>
      </c>
      <c r="O132" s="389">
        <v>1.9E-2</v>
      </c>
      <c r="P132" s="389">
        <v>2.3E-2</v>
      </c>
      <c r="Q132" s="85"/>
    </row>
    <row r="133" spans="2:17">
      <c r="G133" s="377"/>
      <c r="H133" s="377"/>
      <c r="I133" s="377"/>
      <c r="J133" s="377"/>
      <c r="K133" s="377"/>
      <c r="L133" s="377"/>
      <c r="M133" s="377"/>
      <c r="N133" s="377"/>
      <c r="O133" s="377"/>
    </row>
    <row r="134" spans="2:17">
      <c r="B134" s="106" t="s">
        <v>295</v>
      </c>
      <c r="G134" s="377"/>
      <c r="H134" s="377"/>
      <c r="I134" s="377"/>
      <c r="J134" s="377"/>
      <c r="K134" s="377"/>
      <c r="L134" s="377"/>
      <c r="M134" s="377"/>
      <c r="N134" s="377"/>
      <c r="O134" s="377"/>
    </row>
    <row r="135" spans="2:17">
      <c r="B135" s="85"/>
      <c r="C135" s="98"/>
      <c r="D135" s="85"/>
      <c r="E135" s="85"/>
      <c r="F135" s="85"/>
      <c r="G135" s="393"/>
      <c r="H135" s="393"/>
      <c r="I135" s="393"/>
      <c r="J135" s="393"/>
      <c r="K135" s="393"/>
      <c r="L135" s="393"/>
      <c r="M135" s="393"/>
      <c r="N135" s="393"/>
      <c r="O135" s="393"/>
      <c r="P135" s="133"/>
      <c r="Q135" s="85"/>
    </row>
    <row r="136" spans="2:17">
      <c r="B136" s="9" t="s">
        <v>310</v>
      </c>
      <c r="C136" s="93" t="s">
        <v>172</v>
      </c>
      <c r="E136" s="9">
        <f t="shared" ref="E136:P136" si="84">E137+E139+E145+E147</f>
        <v>0</v>
      </c>
      <c r="F136" s="9">
        <f t="shared" si="84"/>
        <v>0</v>
      </c>
      <c r="G136" s="377">
        <f t="shared" si="84"/>
        <v>5949.5391149999996</v>
      </c>
      <c r="H136" s="377">
        <f t="shared" si="84"/>
        <v>9125.8647930000006</v>
      </c>
      <c r="I136" s="402">
        <f t="shared" si="84"/>
        <v>8440.3913643575015</v>
      </c>
      <c r="J136" s="377">
        <f t="shared" si="84"/>
        <v>3048.372558833707</v>
      </c>
      <c r="K136" s="377">
        <f t="shared" si="84"/>
        <v>11488.763923191207</v>
      </c>
      <c r="L136" s="377">
        <f t="shared" si="84"/>
        <v>19696.223935315633</v>
      </c>
      <c r="M136" s="377">
        <f t="shared" si="84"/>
        <v>28768.063232225373</v>
      </c>
      <c r="N136" s="377">
        <f t="shared" si="84"/>
        <v>39600.94231765197</v>
      </c>
      <c r="O136" s="377">
        <f t="shared" si="84"/>
        <v>52634.110056637524</v>
      </c>
      <c r="P136" s="9">
        <f t="shared" si="84"/>
        <v>60299.345462591176</v>
      </c>
      <c r="Q136" s="9">
        <f>P136*(1+DCF!$F$44)</f>
        <v>60902.338917217086</v>
      </c>
    </row>
    <row r="137" spans="2:17">
      <c r="B137" s="89" t="s">
        <v>86</v>
      </c>
      <c r="C137" s="93" t="s">
        <v>172</v>
      </c>
      <c r="E137" s="9">
        <v>0</v>
      </c>
      <c r="F137" s="9">
        <v>0</v>
      </c>
      <c r="G137" s="377">
        <v>3667.1479959999997</v>
      </c>
      <c r="H137" s="377">
        <v>6064.9991410000002</v>
      </c>
      <c r="I137" s="378">
        <v>5886.9536420000004</v>
      </c>
      <c r="J137" s="377">
        <f>J80*J138</f>
        <v>2156.782430306906</v>
      </c>
      <c r="K137" s="385">
        <f>SUM(I137:J137)</f>
        <v>8043.7360723069069</v>
      </c>
      <c r="L137" s="377">
        <f>L80*L138</f>
        <v>13851.837290624047</v>
      </c>
      <c r="M137" s="377">
        <f>M80*M138</f>
        <v>20387.663286218976</v>
      </c>
      <c r="N137" s="377">
        <f>N80*N138</f>
        <v>28244.115123400981</v>
      </c>
      <c r="O137" s="377">
        <f>O80*O138</f>
        <v>37708.830109985181</v>
      </c>
      <c r="P137" s="9">
        <f>P80*P138</f>
        <v>43356.878941668656</v>
      </c>
    </row>
    <row r="138" spans="2:17">
      <c r="B138" s="82" t="s">
        <v>212</v>
      </c>
      <c r="C138" s="93" t="s">
        <v>179</v>
      </c>
      <c r="D138" s="37">
        <v>5.0000000000000001E-3</v>
      </c>
      <c r="G138" s="144">
        <f>G137/G80</f>
        <v>0.50658282153764078</v>
      </c>
      <c r="H138" s="144">
        <f t="shared" ref="H138:I138" si="85">H137/H80</f>
        <v>0.55523651655709572</v>
      </c>
      <c r="I138" s="149">
        <f t="shared" si="85"/>
        <v>0.58514655415405437</v>
      </c>
      <c r="J138" s="144">
        <f>I138</f>
        <v>0.58514655415405437</v>
      </c>
      <c r="K138" s="144">
        <f>J138</f>
        <v>0.58514655415405437</v>
      </c>
      <c r="L138" s="143">
        <f>K138-$D138</f>
        <v>0.58014655415405436</v>
      </c>
      <c r="M138" s="143">
        <f t="shared" ref="M138:P138" si="86">L138-$D138</f>
        <v>0.57514655415405436</v>
      </c>
      <c r="N138" s="143">
        <f t="shared" si="86"/>
        <v>0.57014655415405435</v>
      </c>
      <c r="O138" s="143">
        <f t="shared" si="86"/>
        <v>0.56514655415405435</v>
      </c>
      <c r="P138" s="143">
        <f t="shared" si="86"/>
        <v>0.56014655415405434</v>
      </c>
    </row>
    <row r="139" spans="2:17">
      <c r="B139" s="89" t="s">
        <v>79</v>
      </c>
      <c r="C139" s="93" t="s">
        <v>172</v>
      </c>
      <c r="E139" s="9">
        <v>0</v>
      </c>
      <c r="F139" s="9">
        <v>0</v>
      </c>
      <c r="G139" s="9">
        <v>773.52751099999989</v>
      </c>
      <c r="H139" s="9">
        <v>1271.7829259999999</v>
      </c>
      <c r="I139" s="83">
        <v>1177.878755</v>
      </c>
      <c r="J139" s="9">
        <f>J140*J143/4</f>
        <v>392.62625166666663</v>
      </c>
      <c r="K139" s="9">
        <f>SUM(I139:J139)</f>
        <v>1570.5050066666665</v>
      </c>
      <c r="L139" s="9">
        <f>L140*L143</f>
        <v>2853.2380185953348</v>
      </c>
      <c r="M139" s="9">
        <f>M140*M143</f>
        <v>4215.3291846993598</v>
      </c>
      <c r="N139" s="9">
        <f>N140*N143</f>
        <v>5862.2799397258541</v>
      </c>
      <c r="O139" s="9">
        <f>O140*O143</f>
        <v>7926.7222667195601</v>
      </c>
      <c r="P139" s="9">
        <f>P140*P143</f>
        <v>9240.0255899640633</v>
      </c>
    </row>
    <row r="140" spans="2:17">
      <c r="B140" s="82" t="s">
        <v>239</v>
      </c>
      <c r="C140" s="93" t="s">
        <v>175</v>
      </c>
      <c r="D140" s="136"/>
      <c r="E140" s="127">
        <v>0</v>
      </c>
      <c r="F140" s="127">
        <v>0</v>
      </c>
      <c r="G140" s="127">
        <v>7</v>
      </c>
      <c r="H140" s="127">
        <v>12</v>
      </c>
      <c r="I140" s="83">
        <v>12.341061823893336</v>
      </c>
      <c r="J140" s="9">
        <f>I140</f>
        <v>12.341061823893336</v>
      </c>
      <c r="K140" s="9">
        <f>J140</f>
        <v>12.341061823893336</v>
      </c>
      <c r="L140" s="9">
        <f>L80/L141</f>
        <v>21.641703839904185</v>
      </c>
      <c r="M140" s="9">
        <f t="shared" ref="M140:P140" si="87">M80/M141</f>
        <v>31.37695238322268</v>
      </c>
      <c r="N140" s="9">
        <f t="shared" si="87"/>
        <v>42.65502324197886</v>
      </c>
      <c r="O140" s="9">
        <f t="shared" si="87"/>
        <v>55.887872064676039</v>
      </c>
      <c r="P140" s="9">
        <f t="shared" si="87"/>
        <v>63.005225102674565</v>
      </c>
    </row>
    <row r="141" spans="2:17">
      <c r="B141" s="116" t="s">
        <v>269</v>
      </c>
      <c r="C141" s="93" t="s">
        <v>172</v>
      </c>
      <c r="G141" s="9">
        <f>G80/G140</f>
        <v>1034.1414332857144</v>
      </c>
      <c r="H141" s="9">
        <f t="shared" ref="H141" si="88">H80/H140</f>
        <v>910.27261358333351</v>
      </c>
      <c r="I141" s="83">
        <f>I80*4/3/I140</f>
        <v>1086.9565217391305</v>
      </c>
      <c r="J141" s="9">
        <f>I141</f>
        <v>1086.9565217391305</v>
      </c>
      <c r="K141" s="9">
        <f>J141</f>
        <v>1086.9565217391305</v>
      </c>
      <c r="L141" s="9">
        <f>K141*(1+L142)</f>
        <v>1103.2608695652173</v>
      </c>
      <c r="M141" s="9">
        <f t="shared" ref="M141:P141" si="89">L141*(1+M142)</f>
        <v>1129.7391304347825</v>
      </c>
      <c r="N141" s="9">
        <f t="shared" si="89"/>
        <v>1161.3718260869564</v>
      </c>
      <c r="O141" s="9">
        <f t="shared" si="89"/>
        <v>1193.8902372173911</v>
      </c>
      <c r="P141" s="9">
        <f t="shared" si="89"/>
        <v>1228.5130540966954</v>
      </c>
    </row>
    <row r="142" spans="2:17">
      <c r="B142" s="117" t="s">
        <v>178</v>
      </c>
      <c r="C142" s="93" t="s">
        <v>179</v>
      </c>
      <c r="I142" s="83"/>
      <c r="K142" s="130">
        <f>K141/H141-1</f>
        <v>0.19409999325396821</v>
      </c>
      <c r="L142" s="130">
        <v>1.4999999999999999E-2</v>
      </c>
      <c r="M142" s="130">
        <v>2.4E-2</v>
      </c>
      <c r="N142" s="130">
        <v>2.7999999999999997E-2</v>
      </c>
      <c r="O142" s="130">
        <v>2.7999999999999997E-2</v>
      </c>
      <c r="P142" s="130">
        <v>2.8999999999999998E-2</v>
      </c>
    </row>
    <row r="143" spans="2:17">
      <c r="B143" s="82" t="s">
        <v>240</v>
      </c>
      <c r="C143" s="93" t="s">
        <v>172</v>
      </c>
      <c r="G143" s="127">
        <f>G139/G140</f>
        <v>110.50393014285713</v>
      </c>
      <c r="H143" s="127">
        <f>H139/H140</f>
        <v>105.98191049999998</v>
      </c>
      <c r="I143" s="83">
        <f>I139*4/3/I140</f>
        <v>127.2584992343233</v>
      </c>
      <c r="J143" s="9">
        <f>I143</f>
        <v>127.2584992343233</v>
      </c>
      <c r="K143" s="127">
        <f>J143</f>
        <v>127.2584992343233</v>
      </c>
      <c r="L143" s="127">
        <f t="shared" ref="L143:P143" si="90">K143*(1+L144)</f>
        <v>131.83980520675894</v>
      </c>
      <c r="M143" s="127">
        <f t="shared" si="90"/>
        <v>134.34476150568736</v>
      </c>
      <c r="N143" s="127">
        <f t="shared" si="90"/>
        <v>137.43469102031816</v>
      </c>
      <c r="O143" s="127">
        <f t="shared" si="90"/>
        <v>141.83260113296834</v>
      </c>
      <c r="P143" s="127">
        <f t="shared" si="90"/>
        <v>146.65490957148927</v>
      </c>
    </row>
    <row r="144" spans="2:17">
      <c r="B144" s="115" t="s">
        <v>178</v>
      </c>
      <c r="C144" s="93" t="s">
        <v>179</v>
      </c>
      <c r="I144" s="83"/>
      <c r="K144" s="130">
        <f>K143/H143-1</f>
        <v>0.20075679551297876</v>
      </c>
      <c r="L144" s="130">
        <v>3.6000000000000004E-2</v>
      </c>
      <c r="M144" s="130">
        <v>1.9E-2</v>
      </c>
      <c r="N144" s="130">
        <v>2.3E-2</v>
      </c>
      <c r="O144" s="130">
        <v>3.2000000000000001E-2</v>
      </c>
      <c r="P144" s="130">
        <v>3.4000000000000002E-2</v>
      </c>
    </row>
    <row r="145" spans="2:18">
      <c r="B145" s="89" t="s">
        <v>87</v>
      </c>
      <c r="C145" s="93" t="s">
        <v>172</v>
      </c>
      <c r="E145" s="9">
        <v>0</v>
      </c>
      <c r="F145" s="9">
        <v>0</v>
      </c>
      <c r="G145" s="377">
        <v>1352.4009239999998</v>
      </c>
      <c r="H145" s="377">
        <v>1603.2689399999999</v>
      </c>
      <c r="I145" s="378">
        <v>1224.352999</v>
      </c>
      <c r="J145" s="377">
        <f>J80*J146</f>
        <v>448.56188740763457</v>
      </c>
      <c r="K145" s="385">
        <f>SUM(I145:J145)</f>
        <v>1672.9148864076346</v>
      </c>
      <c r="L145" s="377">
        <f>L80*L146</f>
        <v>2786.3149409612925</v>
      </c>
      <c r="M145" s="377">
        <f>M80*M146</f>
        <v>3959.4177414315391</v>
      </c>
      <c r="N145" s="377">
        <f>N80*N146</f>
        <v>5285.6037863316205</v>
      </c>
      <c r="O145" s="377">
        <f>O80*O146</f>
        <v>6785.6442858436012</v>
      </c>
      <c r="P145" s="377">
        <f>P80*P146</f>
        <v>7484.6305288052245</v>
      </c>
      <c r="Q145" s="377"/>
      <c r="R145" s="377"/>
    </row>
    <row r="146" spans="2:18">
      <c r="B146" s="82" t="s">
        <v>212</v>
      </c>
      <c r="C146" s="93" t="s">
        <v>179</v>
      </c>
      <c r="D146" s="37">
        <v>5.0000000000000001E-3</v>
      </c>
      <c r="G146" s="144">
        <f>G145/G80</f>
        <v>0.18682176903613368</v>
      </c>
      <c r="H146" s="144">
        <f t="shared" ref="H146:I146" si="91">H145/H80</f>
        <v>0.14677552966693608</v>
      </c>
      <c r="I146" s="149">
        <f t="shared" si="91"/>
        <v>0.12169722780246624</v>
      </c>
      <c r="J146" s="144">
        <f>I146</f>
        <v>0.12169722780246624</v>
      </c>
      <c r="K146" s="144">
        <f>J146</f>
        <v>0.12169722780246624</v>
      </c>
      <c r="L146" s="143">
        <f>K146-$D146</f>
        <v>0.11669722780246623</v>
      </c>
      <c r="M146" s="143">
        <f t="shared" ref="M146:P146" si="92">L146-$D146</f>
        <v>0.11169722780246623</v>
      </c>
      <c r="N146" s="143">
        <f t="shared" si="92"/>
        <v>0.10669722780246622</v>
      </c>
      <c r="O146" s="143">
        <f t="shared" si="92"/>
        <v>0.10169722780246622</v>
      </c>
      <c r="P146" s="143">
        <f t="shared" si="92"/>
        <v>9.6697227802466215E-2</v>
      </c>
      <c r="Q146" s="377"/>
      <c r="R146" s="377"/>
    </row>
    <row r="147" spans="2:18">
      <c r="B147" s="89" t="s">
        <v>83</v>
      </c>
      <c r="C147" s="93" t="s">
        <v>172</v>
      </c>
      <c r="E147" s="9">
        <v>0</v>
      </c>
      <c r="F147" s="9">
        <v>0</v>
      </c>
      <c r="G147" s="377">
        <v>156.46268400000002</v>
      </c>
      <c r="H147" s="377">
        <v>185.81378600000002</v>
      </c>
      <c r="I147" s="378">
        <f>K147*3/4</f>
        <v>151.20596835750001</v>
      </c>
      <c r="J147" s="377">
        <f>K147-I147</f>
        <v>50.401989452500004</v>
      </c>
      <c r="K147" s="377">
        <f>H147*(1+K148)</f>
        <v>201.60795781000002</v>
      </c>
      <c r="L147" s="390">
        <f t="shared" ref="L147:P147" si="93">K147*(1+L148)</f>
        <v>204.83368513496001</v>
      </c>
      <c r="M147" s="390">
        <f t="shared" si="93"/>
        <v>205.65301987549984</v>
      </c>
      <c r="N147" s="390">
        <f t="shared" si="93"/>
        <v>208.94346819350784</v>
      </c>
      <c r="O147" s="390">
        <f t="shared" si="93"/>
        <v>212.91339408918446</v>
      </c>
      <c r="P147" s="390">
        <f t="shared" si="93"/>
        <v>217.81040215323569</v>
      </c>
      <c r="Q147" s="377"/>
      <c r="R147" s="377"/>
    </row>
    <row r="148" spans="2:18">
      <c r="B148" s="110" t="s">
        <v>178</v>
      </c>
      <c r="C148" s="98" t="s">
        <v>179</v>
      </c>
      <c r="D148" s="85"/>
      <c r="E148" s="85"/>
      <c r="F148" s="85"/>
      <c r="G148" s="383"/>
      <c r="H148" s="353">
        <f>H147/G147-1</f>
        <v>0.18759170717025397</v>
      </c>
      <c r="I148" s="384"/>
      <c r="J148" s="383"/>
      <c r="K148" s="389">
        <v>8.5000000000000006E-2</v>
      </c>
      <c r="L148" s="389">
        <v>1.6E-2</v>
      </c>
      <c r="M148" s="389">
        <v>4.0000000000000001E-3</v>
      </c>
      <c r="N148" s="389">
        <v>1.6E-2</v>
      </c>
      <c r="O148" s="389">
        <v>1.9E-2</v>
      </c>
      <c r="P148" s="389">
        <v>2.3E-2</v>
      </c>
      <c r="Q148" s="383"/>
      <c r="R148" s="377"/>
    </row>
    <row r="149" spans="2:18">
      <c r="G149" s="377"/>
      <c r="H149" s="377"/>
      <c r="I149" s="377"/>
      <c r="J149" s="377"/>
      <c r="K149" s="377"/>
      <c r="L149" s="377"/>
      <c r="M149" s="377"/>
      <c r="N149" s="377"/>
      <c r="O149" s="377"/>
      <c r="P149" s="377"/>
      <c r="Q149" s="377"/>
      <c r="R149" s="377"/>
    </row>
    <row r="150" spans="2:18">
      <c r="B150" s="16" t="s">
        <v>311</v>
      </c>
      <c r="G150" s="377"/>
      <c r="H150" s="377"/>
      <c r="I150" s="377"/>
      <c r="J150" s="377"/>
      <c r="K150" s="377"/>
      <c r="L150" s="377"/>
      <c r="M150" s="377"/>
      <c r="N150" s="377"/>
      <c r="O150" s="377"/>
      <c r="P150" s="377"/>
      <c r="Q150" s="377"/>
      <c r="R150" s="377"/>
    </row>
    <row r="151" spans="2:18">
      <c r="B151" s="85"/>
      <c r="C151" s="98"/>
      <c r="D151" s="85"/>
      <c r="E151" s="85"/>
      <c r="F151" s="85"/>
      <c r="G151" s="383"/>
      <c r="H151" s="383"/>
      <c r="I151" s="393"/>
      <c r="J151" s="393"/>
      <c r="K151" s="393"/>
      <c r="L151" s="393"/>
      <c r="M151" s="393"/>
      <c r="N151" s="393"/>
      <c r="O151" s="393"/>
      <c r="P151" s="393"/>
      <c r="Q151" s="383"/>
      <c r="R151" s="377"/>
    </row>
    <row r="152" spans="2:18">
      <c r="B152" s="9" t="s">
        <v>312</v>
      </c>
      <c r="C152" s="93" t="s">
        <v>172</v>
      </c>
      <c r="E152" s="9">
        <f t="shared" ref="E152:P152" si="94">E153+E155+E160+E162</f>
        <v>35572.167608999996</v>
      </c>
      <c r="F152" s="9">
        <f t="shared" si="94"/>
        <v>37438.224409999995</v>
      </c>
      <c r="G152" s="377">
        <f t="shared" si="94"/>
        <v>51116.00877800001</v>
      </c>
      <c r="H152" s="377">
        <f t="shared" si="94"/>
        <v>47275.776812203098</v>
      </c>
      <c r="I152" s="402">
        <f t="shared" si="94"/>
        <v>42763.864682398234</v>
      </c>
      <c r="J152" s="377">
        <f t="shared" si="94"/>
        <v>14254.621560799411</v>
      </c>
      <c r="K152" s="377">
        <f t="shared" si="94"/>
        <v>57018.486243197643</v>
      </c>
      <c r="L152" s="377">
        <f t="shared" si="94"/>
        <v>62344.646653272859</v>
      </c>
      <c r="M152" s="377">
        <f t="shared" si="94"/>
        <v>67494.970825128083</v>
      </c>
      <c r="N152" s="377">
        <f t="shared" si="94"/>
        <v>71868.635505644343</v>
      </c>
      <c r="O152" s="377">
        <f t="shared" si="94"/>
        <v>76556.468191393811</v>
      </c>
      <c r="P152" s="377">
        <f t="shared" si="94"/>
        <v>81546.954278661142</v>
      </c>
      <c r="Q152" s="377">
        <f>P152*(1+DCF!$F$44)</f>
        <v>82362.423821447752</v>
      </c>
      <c r="R152" s="377"/>
    </row>
    <row r="153" spans="2:18">
      <c r="B153" s="89" t="s">
        <v>86</v>
      </c>
      <c r="C153" s="93" t="s">
        <v>172</v>
      </c>
      <c r="E153" s="9">
        <v>34776.563271999999</v>
      </c>
      <c r="F153" s="9">
        <v>36660.422876999997</v>
      </c>
      <c r="G153" s="377">
        <v>43155.86593</v>
      </c>
      <c r="H153" s="377">
        <v>37156.698053999993</v>
      </c>
      <c r="I153" s="378">
        <v>33505.462070000001</v>
      </c>
      <c r="J153" s="377">
        <f>J89*J154</f>
        <v>11168.487356666667</v>
      </c>
      <c r="K153" s="377">
        <f>SUM(I153:J153)</f>
        <v>44673.949426666666</v>
      </c>
      <c r="L153" s="377">
        <f>L89*L154</f>
        <v>49226.252858058942</v>
      </c>
      <c r="M153" s="377">
        <f>M89*M154</f>
        <v>53736.192085815863</v>
      </c>
      <c r="N153" s="377">
        <f>N89*N154</f>
        <v>57599.315523845464</v>
      </c>
      <c r="O153" s="377">
        <f>O89*O154</f>
        <v>61737.426014037505</v>
      </c>
      <c r="P153" s="377">
        <f>P89*P154</f>
        <v>66168.985419009608</v>
      </c>
      <c r="Q153" s="377"/>
      <c r="R153" s="377"/>
    </row>
    <row r="154" spans="2:18">
      <c r="B154" s="82" t="s">
        <v>212</v>
      </c>
      <c r="C154" s="93" t="s">
        <v>179</v>
      </c>
      <c r="D154" s="37">
        <v>5.0000000000000001E-3</v>
      </c>
      <c r="E154" s="10">
        <f>E153/E89</f>
        <v>0.75001113532615049</v>
      </c>
      <c r="F154" s="10">
        <f>F153/F89</f>
        <v>0.74263309695626378</v>
      </c>
      <c r="G154" s="144">
        <f>G153/G89</f>
        <v>0.70046974447840171</v>
      </c>
      <c r="H154" s="144">
        <f>H153/H89</f>
        <v>0.63684652208956272</v>
      </c>
      <c r="I154" s="149">
        <f>I153/I89</f>
        <v>0.67588831923783177</v>
      </c>
      <c r="J154" s="144">
        <f>I154</f>
        <v>0.67588831923783177</v>
      </c>
      <c r="K154" s="144">
        <f>J154</f>
        <v>0.67588831923783177</v>
      </c>
      <c r="L154" s="144">
        <f>K154-$D154</f>
        <v>0.67088831923783177</v>
      </c>
      <c r="M154" s="144">
        <f t="shared" ref="M154:P154" si="95">L154-$D154</f>
        <v>0.66588831923783176</v>
      </c>
      <c r="N154" s="144">
        <f t="shared" si="95"/>
        <v>0.66088831923783176</v>
      </c>
      <c r="O154" s="144">
        <f t="shared" si="95"/>
        <v>0.65588831923783175</v>
      </c>
      <c r="P154" s="144">
        <f t="shared" si="95"/>
        <v>0.65088831923783175</v>
      </c>
      <c r="Q154" s="377"/>
      <c r="R154" s="377"/>
    </row>
    <row r="155" spans="2:18">
      <c r="B155" s="89" t="s">
        <v>79</v>
      </c>
      <c r="C155" s="93" t="s">
        <v>172</v>
      </c>
      <c r="E155" s="9">
        <v>795.60433699999999</v>
      </c>
      <c r="F155" s="9">
        <v>777.80153299999995</v>
      </c>
      <c r="G155" s="377">
        <v>1643.7945070000003</v>
      </c>
      <c r="H155" s="377">
        <v>2567.7258117392576</v>
      </c>
      <c r="I155" s="378">
        <f>I156*I158*3/4</f>
        <v>2848.5708223982383</v>
      </c>
      <c r="J155" s="377">
        <f>J156*J158/4</f>
        <v>949.52360746607951</v>
      </c>
      <c r="K155" s="385">
        <f>SUM(I155:J155)</f>
        <v>3798.094429864318</v>
      </c>
      <c r="L155" s="377">
        <f>L156*L158</f>
        <v>4065.9866903174147</v>
      </c>
      <c r="M155" s="377">
        <f>M156*M158</f>
        <v>4276.893354770008</v>
      </c>
      <c r="N155" s="377">
        <f>N156*N158</f>
        <v>4511.9888363650216</v>
      </c>
      <c r="O155" s="377">
        <f>O156*O158</f>
        <v>4797.4746754659354</v>
      </c>
      <c r="P155" s="377">
        <f>P156*P158</f>
        <v>5106.4884854444772</v>
      </c>
      <c r="Q155" s="377"/>
      <c r="R155" s="377"/>
    </row>
    <row r="156" spans="2:18">
      <c r="B156" s="82" t="s">
        <v>239</v>
      </c>
      <c r="C156" s="93" t="s">
        <v>175</v>
      </c>
      <c r="E156" s="9">
        <v>10</v>
      </c>
      <c r="F156" s="9">
        <v>10</v>
      </c>
      <c r="G156" s="377">
        <v>19.759999999999998</v>
      </c>
      <c r="H156" s="377">
        <v>21.6</v>
      </c>
      <c r="I156" s="378">
        <v>30</v>
      </c>
      <c r="J156" s="377">
        <f>I156</f>
        <v>30</v>
      </c>
      <c r="K156" s="385">
        <f>J156</f>
        <v>30</v>
      </c>
      <c r="L156" s="377">
        <f>K156+L157</f>
        <v>31</v>
      </c>
      <c r="M156" s="377">
        <f>L156+M157</f>
        <v>32</v>
      </c>
      <c r="N156" s="377">
        <f>M156+N157</f>
        <v>33</v>
      </c>
      <c r="O156" s="377">
        <f>N156+O157</f>
        <v>34</v>
      </c>
      <c r="P156" s="377">
        <f>O156+P157</f>
        <v>35</v>
      </c>
      <c r="Q156" s="377"/>
      <c r="R156" s="377"/>
    </row>
    <row r="157" spans="2:18">
      <c r="B157" s="115" t="s">
        <v>176</v>
      </c>
      <c r="C157" s="93" t="s">
        <v>175</v>
      </c>
      <c r="F157" s="9">
        <f>F156-E156</f>
        <v>0</v>
      </c>
      <c r="G157" s="377">
        <f>G156-F156</f>
        <v>9.759999999999998</v>
      </c>
      <c r="H157" s="377"/>
      <c r="I157" s="378"/>
      <c r="J157" s="377"/>
      <c r="K157" s="377">
        <f>K156-H156</f>
        <v>8.3999999999999986</v>
      </c>
      <c r="L157" s="385">
        <v>1</v>
      </c>
      <c r="M157" s="385">
        <v>1</v>
      </c>
      <c r="N157" s="385">
        <v>1</v>
      </c>
      <c r="O157" s="385">
        <v>1</v>
      </c>
      <c r="P157" s="385">
        <f>O157</f>
        <v>1</v>
      </c>
      <c r="Q157" s="377"/>
      <c r="R157" s="377"/>
    </row>
    <row r="158" spans="2:18">
      <c r="B158" s="82" t="s">
        <v>240</v>
      </c>
      <c r="C158" s="93" t="s">
        <v>172</v>
      </c>
      <c r="E158" s="127">
        <f>E155/E156</f>
        <v>79.560433700000004</v>
      </c>
      <c r="F158" s="127">
        <f>F155/F156</f>
        <v>77.780153299999995</v>
      </c>
      <c r="G158" s="390">
        <f>G155/G156</f>
        <v>83.187981123481805</v>
      </c>
      <c r="H158" s="390">
        <f>H155/H156</f>
        <v>118.87619498792859</v>
      </c>
      <c r="I158" s="391">
        <f>K158</f>
        <v>126.60314766214394</v>
      </c>
      <c r="J158" s="390">
        <f>K158</f>
        <v>126.60314766214394</v>
      </c>
      <c r="K158" s="390">
        <f>H158*(1+K159)</f>
        <v>126.60314766214394</v>
      </c>
      <c r="L158" s="390">
        <f t="shared" ref="L158:P158" si="96">K158*(1+L159)</f>
        <v>131.16086097798112</v>
      </c>
      <c r="M158" s="390">
        <f t="shared" si="96"/>
        <v>133.65291733656275</v>
      </c>
      <c r="N158" s="390">
        <f t="shared" si="96"/>
        <v>136.72693443530369</v>
      </c>
      <c r="O158" s="390">
        <f t="shared" si="96"/>
        <v>141.10219633723341</v>
      </c>
      <c r="P158" s="390">
        <f t="shared" si="96"/>
        <v>145.89967101269934</v>
      </c>
      <c r="Q158" s="377"/>
      <c r="R158" s="377"/>
    </row>
    <row r="159" spans="2:18">
      <c r="B159" s="115" t="s">
        <v>178</v>
      </c>
      <c r="C159" s="93" t="s">
        <v>179</v>
      </c>
      <c r="F159" s="10">
        <f>F158/E158-1</f>
        <v>-2.2376454189691142E-2</v>
      </c>
      <c r="G159" s="144">
        <f t="shared" ref="G159" si="97">G158/F158-1</f>
        <v>6.952709134711621E-2</v>
      </c>
      <c r="H159" s="144"/>
      <c r="I159" s="378"/>
      <c r="J159" s="377"/>
      <c r="K159" s="148">
        <v>6.5000000000000002E-2</v>
      </c>
      <c r="L159" s="148">
        <v>3.6000000000000004E-2</v>
      </c>
      <c r="M159" s="148">
        <v>1.9E-2</v>
      </c>
      <c r="N159" s="148">
        <v>2.3E-2</v>
      </c>
      <c r="O159" s="148">
        <v>3.2000000000000001E-2</v>
      </c>
      <c r="P159" s="148">
        <v>3.4000000000000002E-2</v>
      </c>
      <c r="Q159" s="377"/>
      <c r="R159" s="377"/>
    </row>
    <row r="160" spans="2:18">
      <c r="B160" s="89" t="s">
        <v>87</v>
      </c>
      <c r="C160" s="93" t="s">
        <v>172</v>
      </c>
      <c r="E160" s="9">
        <v>0</v>
      </c>
      <c r="F160" s="9">
        <v>0</v>
      </c>
      <c r="G160" s="377">
        <v>5655.2951699999994</v>
      </c>
      <c r="H160" s="377">
        <v>7521.1235350000006</v>
      </c>
      <c r="I160" s="378">
        <v>5866.0568439999997</v>
      </c>
      <c r="J160" s="377">
        <f t="shared" ref="J160:P160" si="98">J89*J161</f>
        <v>1955.3522813333334</v>
      </c>
      <c r="K160" s="377">
        <f t="shared" si="98"/>
        <v>7821.4091253333336</v>
      </c>
      <c r="L160" s="377">
        <f t="shared" si="98"/>
        <v>8315.7733113818376</v>
      </c>
      <c r="M160" s="377">
        <f t="shared" si="98"/>
        <v>8742.3050558534887</v>
      </c>
      <c r="N160" s="377">
        <f t="shared" si="98"/>
        <v>9005.9175314861059</v>
      </c>
      <c r="O160" s="377">
        <f t="shared" si="98"/>
        <v>9255.8770292776153</v>
      </c>
      <c r="P160" s="377">
        <f t="shared" si="98"/>
        <v>9488.1790207241993</v>
      </c>
      <c r="Q160" s="377"/>
      <c r="R160" s="377"/>
    </row>
    <row r="161" spans="2:18">
      <c r="B161" s="82" t="s">
        <v>212</v>
      </c>
      <c r="C161" s="93" t="s">
        <v>179</v>
      </c>
      <c r="D161" s="37">
        <v>5.0000000000000001E-3</v>
      </c>
      <c r="E161" s="9">
        <f>IFERROR(E160/E89,0)</f>
        <v>0</v>
      </c>
      <c r="F161" s="9">
        <f>IFERROR(F160/F89,0)</f>
        <v>0</v>
      </c>
      <c r="G161" s="144">
        <f>IFERROR(G160/G89,0)</f>
        <v>9.179199808214436E-2</v>
      </c>
      <c r="H161" s="144">
        <f>IFERROR(H160/H89,0)</f>
        <v>0.12890815428512156</v>
      </c>
      <c r="I161" s="149">
        <f>IFERROR(I160/I89,0)</f>
        <v>0.11833292412327981</v>
      </c>
      <c r="J161" s="144">
        <f>I161</f>
        <v>0.11833292412327981</v>
      </c>
      <c r="K161" s="143">
        <f>J161</f>
        <v>0.11833292412327981</v>
      </c>
      <c r="L161" s="144">
        <f>K161-$D161</f>
        <v>0.1133329241232798</v>
      </c>
      <c r="M161" s="144">
        <f t="shared" ref="M161:P161" si="99">L161-$D161</f>
        <v>0.1083329241232798</v>
      </c>
      <c r="N161" s="144">
        <f t="shared" si="99"/>
        <v>0.1033329241232798</v>
      </c>
      <c r="O161" s="144">
        <f t="shared" si="99"/>
        <v>9.8332924123279791E-2</v>
      </c>
      <c r="P161" s="144">
        <f t="shared" si="99"/>
        <v>9.3332924123279787E-2</v>
      </c>
      <c r="Q161" s="377"/>
      <c r="R161" s="377"/>
    </row>
    <row r="162" spans="2:18">
      <c r="B162" s="89" t="s">
        <v>83</v>
      </c>
      <c r="C162" s="93" t="s">
        <v>172</v>
      </c>
      <c r="E162" s="9">
        <v>0</v>
      </c>
      <c r="F162" s="9">
        <v>0</v>
      </c>
      <c r="G162" s="377">
        <v>661.05317100001105</v>
      </c>
      <c r="H162" s="377">
        <v>30.22941146384861</v>
      </c>
      <c r="I162" s="378">
        <v>543.774946</v>
      </c>
      <c r="J162" s="377">
        <f>I162/3</f>
        <v>181.25831533333334</v>
      </c>
      <c r="K162" s="385">
        <f>SUM(I162:J162)</f>
        <v>725.03326133333337</v>
      </c>
      <c r="L162" s="377">
        <f t="shared" ref="L162:P162" si="100">K162*(1+L163)</f>
        <v>736.63379351466676</v>
      </c>
      <c r="M162" s="377">
        <f t="shared" si="100"/>
        <v>739.58032868872544</v>
      </c>
      <c r="N162" s="377">
        <f t="shared" si="100"/>
        <v>751.41361394774503</v>
      </c>
      <c r="O162" s="377">
        <f t="shared" si="100"/>
        <v>765.69047261275216</v>
      </c>
      <c r="P162" s="377">
        <f t="shared" si="100"/>
        <v>783.30135348284534</v>
      </c>
      <c r="Q162" s="377"/>
      <c r="R162" s="377"/>
    </row>
    <row r="163" spans="2:18">
      <c r="B163" s="110" t="s">
        <v>178</v>
      </c>
      <c r="C163" s="98" t="s">
        <v>179</v>
      </c>
      <c r="D163" s="85"/>
      <c r="E163" s="85"/>
      <c r="F163" s="85"/>
      <c r="G163" s="383"/>
      <c r="H163" s="383"/>
      <c r="I163" s="384"/>
      <c r="J163" s="383"/>
      <c r="K163" s="389">
        <f>K162/H162-1</f>
        <v>22.984365762476109</v>
      </c>
      <c r="L163" s="389">
        <v>1.6E-2</v>
      </c>
      <c r="M163" s="389">
        <v>4.0000000000000001E-3</v>
      </c>
      <c r="N163" s="389">
        <v>1.6E-2</v>
      </c>
      <c r="O163" s="389">
        <v>1.9E-2</v>
      </c>
      <c r="P163" s="389">
        <v>2.3E-2</v>
      </c>
      <c r="Q163" s="383"/>
      <c r="R163" s="377"/>
    </row>
    <row r="164" spans="2:18">
      <c r="G164" s="377"/>
      <c r="H164" s="377"/>
      <c r="I164" s="377"/>
      <c r="J164" s="377"/>
      <c r="K164" s="377"/>
      <c r="L164" s="377"/>
      <c r="M164" s="377"/>
      <c r="N164" s="377"/>
      <c r="O164" s="377"/>
      <c r="P164" s="377"/>
      <c r="Q164" s="377"/>
      <c r="R164" s="377"/>
    </row>
    <row r="165" spans="2:18">
      <c r="B165" s="16" t="s">
        <v>313</v>
      </c>
      <c r="G165" s="377"/>
      <c r="H165" s="377"/>
      <c r="I165" s="377"/>
      <c r="J165" s="377"/>
      <c r="K165" s="377"/>
      <c r="L165" s="377"/>
      <c r="M165" s="377"/>
      <c r="N165" s="377"/>
      <c r="O165" s="377"/>
      <c r="P165" s="377"/>
      <c r="Q165" s="377"/>
      <c r="R165" s="377"/>
    </row>
    <row r="166" spans="2:18">
      <c r="B166" s="85"/>
      <c r="C166" s="98"/>
      <c r="D166" s="85"/>
      <c r="E166" s="85"/>
      <c r="F166" s="85"/>
      <c r="G166" s="383"/>
      <c r="H166" s="383"/>
      <c r="I166" s="393"/>
      <c r="J166" s="393"/>
      <c r="K166" s="393"/>
      <c r="L166" s="393"/>
      <c r="M166" s="393"/>
      <c r="N166" s="393"/>
      <c r="O166" s="393"/>
      <c r="P166" s="393"/>
      <c r="Q166" s="383"/>
      <c r="R166" s="377"/>
    </row>
    <row r="167" spans="2:18">
      <c r="B167" s="9" t="s">
        <v>314</v>
      </c>
      <c r="C167" s="93" t="s">
        <v>172</v>
      </c>
      <c r="E167" s="9">
        <f t="shared" ref="E167:P167" si="101">E168+E170+E174+E176</f>
        <v>5995.3803120000002</v>
      </c>
      <c r="F167" s="9">
        <f t="shared" si="101"/>
        <v>15555.205752000002</v>
      </c>
      <c r="G167" s="377">
        <f t="shared" si="101"/>
        <v>15060.935018025819</v>
      </c>
      <c r="H167" s="377">
        <f t="shared" si="101"/>
        <v>18710.092674071555</v>
      </c>
      <c r="I167" s="402">
        <f t="shared" si="101"/>
        <v>17105.986802880001</v>
      </c>
      <c r="J167" s="377">
        <f t="shared" si="101"/>
        <v>5678.0426342933333</v>
      </c>
      <c r="K167" s="377">
        <f t="shared" si="101"/>
        <v>22784.029437173333</v>
      </c>
      <c r="L167" s="377">
        <f t="shared" si="101"/>
        <v>0</v>
      </c>
      <c r="M167" s="377">
        <f t="shared" si="101"/>
        <v>0</v>
      </c>
      <c r="N167" s="377">
        <f t="shared" si="101"/>
        <v>0</v>
      </c>
      <c r="O167" s="377">
        <f t="shared" si="101"/>
        <v>0</v>
      </c>
      <c r="P167" s="377">
        <f t="shared" si="101"/>
        <v>0</v>
      </c>
      <c r="Q167" s="377">
        <f>P167*(1+DCF!$F$44)</f>
        <v>0</v>
      </c>
      <c r="R167" s="377"/>
    </row>
    <row r="168" spans="2:18">
      <c r="B168" s="89" t="s">
        <v>86</v>
      </c>
      <c r="C168" s="93" t="s">
        <v>172</v>
      </c>
      <c r="E168" s="9">
        <v>3029.038446</v>
      </c>
      <c r="F168" s="9">
        <v>10732.583239000001</v>
      </c>
      <c r="G168" s="377">
        <v>10554.9999069808</v>
      </c>
      <c r="H168" s="377">
        <v>13903.0252924779</v>
      </c>
      <c r="I168" s="378">
        <v>14198.638765363201</v>
      </c>
      <c r="J168" s="377">
        <f t="shared" ref="J168:P168" si="102">J91*J169</f>
        <v>4732.8795884543997</v>
      </c>
      <c r="K168" s="377">
        <f t="shared" si="102"/>
        <v>18931.518353817599</v>
      </c>
      <c r="L168" s="377">
        <f t="shared" si="102"/>
        <v>0</v>
      </c>
      <c r="M168" s="377">
        <f t="shared" si="102"/>
        <v>0</v>
      </c>
      <c r="N168" s="377">
        <f t="shared" si="102"/>
        <v>0</v>
      </c>
      <c r="O168" s="377">
        <f t="shared" si="102"/>
        <v>0</v>
      </c>
      <c r="P168" s="377">
        <f t="shared" si="102"/>
        <v>0</v>
      </c>
      <c r="Q168" s="377"/>
      <c r="R168" s="377"/>
    </row>
    <row r="169" spans="2:18">
      <c r="B169" s="82" t="s">
        <v>212</v>
      </c>
      <c r="C169" s="93" t="s">
        <v>179</v>
      </c>
      <c r="D169" s="37">
        <v>5.0000000000000001E-3</v>
      </c>
      <c r="E169" s="10">
        <f>E168/E91</f>
        <v>0.39699663898890247</v>
      </c>
      <c r="F169" s="10">
        <f>F168/F91</f>
        <v>0.55519859300863061</v>
      </c>
      <c r="G169" s="144">
        <f>G168/G91</f>
        <v>0.57347182588654744</v>
      </c>
      <c r="H169" s="144">
        <f>H168/H91</f>
        <v>0.66176992917133581</v>
      </c>
      <c r="I169" s="149">
        <f>I168/I91</f>
        <v>0.72318162558025856</v>
      </c>
      <c r="J169" s="144">
        <f>I169</f>
        <v>0.72318162558025856</v>
      </c>
      <c r="K169" s="143">
        <f>J169</f>
        <v>0.72318162558025856</v>
      </c>
      <c r="L169" s="144">
        <f>K169-$D169</f>
        <v>0.71818162558025855</v>
      </c>
      <c r="M169" s="144">
        <f t="shared" ref="M169:P169" si="103">L169-$D169</f>
        <v>0.71318162558025855</v>
      </c>
      <c r="N169" s="144">
        <f t="shared" si="103"/>
        <v>0.70818162558025854</v>
      </c>
      <c r="O169" s="144">
        <f t="shared" si="103"/>
        <v>0.70318162558025854</v>
      </c>
      <c r="P169" s="144">
        <f t="shared" si="103"/>
        <v>0.69818162558025854</v>
      </c>
      <c r="Q169" s="377"/>
      <c r="R169" s="377"/>
    </row>
    <row r="170" spans="2:18">
      <c r="B170" s="89" t="s">
        <v>79</v>
      </c>
      <c r="C170" s="93" t="s">
        <v>172</v>
      </c>
      <c r="E170" s="9">
        <v>1540.774009</v>
      </c>
      <c r="F170" s="9">
        <v>2109.8357539999997</v>
      </c>
      <c r="G170" s="377">
        <v>1495.210680456993</v>
      </c>
      <c r="H170" s="377">
        <v>1457.5908715109151</v>
      </c>
      <c r="I170" s="378">
        <v>1687.7431790000003</v>
      </c>
      <c r="J170" s="377">
        <f>J171*J172/4</f>
        <v>562.58105966666676</v>
      </c>
      <c r="K170" s="377">
        <f>SUM(I170:J170)</f>
        <v>2250.324238666667</v>
      </c>
      <c r="L170" s="377">
        <f>L171*L172</f>
        <v>0</v>
      </c>
      <c r="M170" s="377">
        <f>M171*M172</f>
        <v>0</v>
      </c>
      <c r="N170" s="377">
        <f>N171*N172</f>
        <v>0</v>
      </c>
      <c r="O170" s="377">
        <f>O171*O172</f>
        <v>0</v>
      </c>
      <c r="P170" s="377">
        <f>P171*P172</f>
        <v>0</v>
      </c>
      <c r="Q170" s="377"/>
      <c r="R170" s="377"/>
    </row>
    <row r="171" spans="2:18">
      <c r="B171" s="82" t="s">
        <v>239</v>
      </c>
      <c r="C171" s="93" t="s">
        <v>175</v>
      </c>
      <c r="E171" s="9">
        <v>50</v>
      </c>
      <c r="F171" s="9">
        <v>50</v>
      </c>
      <c r="G171" s="377">
        <v>30</v>
      </c>
      <c r="H171" s="377">
        <v>34</v>
      </c>
      <c r="I171" s="378">
        <v>56.368569883068382</v>
      </c>
      <c r="J171" s="377">
        <f>I171</f>
        <v>56.368569883068382</v>
      </c>
      <c r="K171" s="377">
        <f>J171</f>
        <v>56.368569883068382</v>
      </c>
      <c r="L171" s="377">
        <v>0</v>
      </c>
      <c r="M171" s="377">
        <v>0</v>
      </c>
      <c r="N171" s="377">
        <v>0</v>
      </c>
      <c r="O171" s="377">
        <v>0</v>
      </c>
      <c r="P171" s="377">
        <v>0</v>
      </c>
      <c r="Q171" s="377"/>
      <c r="R171" s="377"/>
    </row>
    <row r="172" spans="2:18">
      <c r="B172" s="82" t="s">
        <v>240</v>
      </c>
      <c r="C172" s="93" t="s">
        <v>172</v>
      </c>
      <c r="E172" s="127">
        <f>E170/E171</f>
        <v>30.815480179999998</v>
      </c>
      <c r="F172" s="127">
        <f>F170/F171</f>
        <v>42.196715079999997</v>
      </c>
      <c r="G172" s="390">
        <f>G170/G171</f>
        <v>49.840356015233098</v>
      </c>
      <c r="H172" s="390">
        <f>H170/H171</f>
        <v>42.87031975032103</v>
      </c>
      <c r="I172" s="378">
        <f>I170*4/3/I171</f>
        <v>39.921613114094711</v>
      </c>
      <c r="J172" s="377">
        <f>I172</f>
        <v>39.921613114094711</v>
      </c>
      <c r="K172" s="390">
        <f>J172</f>
        <v>39.921613114094711</v>
      </c>
      <c r="L172" s="390">
        <f>K172*(1+L173)</f>
        <v>41.358791186202119</v>
      </c>
      <c r="M172" s="390">
        <f t="shared" ref="M172:P172" si="104">L172*(1+M173)</f>
        <v>42.144608218739954</v>
      </c>
      <c r="N172" s="390">
        <f t="shared" si="104"/>
        <v>43.113934207770967</v>
      </c>
      <c r="O172" s="390">
        <f t="shared" si="104"/>
        <v>44.493580102419642</v>
      </c>
      <c r="P172" s="390">
        <f t="shared" si="104"/>
        <v>46.006361825901912</v>
      </c>
      <c r="Q172" s="377"/>
      <c r="R172" s="377"/>
    </row>
    <row r="173" spans="2:18">
      <c r="B173" s="115" t="s">
        <v>178</v>
      </c>
      <c r="C173" s="93" t="s">
        <v>179</v>
      </c>
      <c r="F173" s="10">
        <f>F172/E172-1</f>
        <v>0.36933498467392689</v>
      </c>
      <c r="G173" s="144">
        <f>G172/F172-1</f>
        <v>0.18114303259724496</v>
      </c>
      <c r="H173" s="144"/>
      <c r="I173" s="378"/>
      <c r="J173" s="377"/>
      <c r="K173" s="148">
        <f>K172/H172-1</f>
        <v>-6.878200707155302E-2</v>
      </c>
      <c r="L173" s="148">
        <v>3.6000000000000004E-2</v>
      </c>
      <c r="M173" s="148">
        <v>1.9E-2</v>
      </c>
      <c r="N173" s="148">
        <v>2.3E-2</v>
      </c>
      <c r="O173" s="148">
        <v>3.2000000000000001E-2</v>
      </c>
      <c r="P173" s="148">
        <v>3.4000000000000002E-2</v>
      </c>
      <c r="Q173" s="377"/>
      <c r="R173" s="377"/>
    </row>
    <row r="174" spans="2:18">
      <c r="B174" s="89" t="s">
        <v>87</v>
      </c>
      <c r="C174" s="93" t="s">
        <v>172</v>
      </c>
      <c r="E174" s="9">
        <v>1166.0313740000001</v>
      </c>
      <c r="F174" s="9">
        <v>1807.866221</v>
      </c>
      <c r="G174" s="377">
        <v>1879.7033851698059</v>
      </c>
      <c r="H174" s="377">
        <v>2272.5370604791997</v>
      </c>
      <c r="I174" s="378">
        <v>1147.7459585167999</v>
      </c>
      <c r="J174" s="377">
        <f>J91*J175</f>
        <v>382.58198617226662</v>
      </c>
      <c r="K174" s="385">
        <f>SUM(I174:J174)</f>
        <v>1530.3279446890665</v>
      </c>
      <c r="L174" s="377">
        <f>L91*L175</f>
        <v>0</v>
      </c>
      <c r="M174" s="377">
        <f>M91*M175</f>
        <v>0</v>
      </c>
      <c r="N174" s="377">
        <f>N91*N175</f>
        <v>0</v>
      </c>
      <c r="O174" s="377">
        <f>O91*O175</f>
        <v>0</v>
      </c>
      <c r="P174" s="377">
        <f>P91*P175</f>
        <v>0</v>
      </c>
      <c r="Q174" s="377"/>
      <c r="R174" s="377"/>
    </row>
    <row r="175" spans="2:18">
      <c r="B175" s="82" t="s">
        <v>212</v>
      </c>
      <c r="C175" s="93" t="s">
        <v>179</v>
      </c>
      <c r="E175" s="10">
        <f>E174/E91</f>
        <v>0.15282425254288501</v>
      </c>
      <c r="F175" s="10">
        <f>F174/F91</f>
        <v>9.3521266958331198E-2</v>
      </c>
      <c r="G175" s="144">
        <f>G174/G91</f>
        <v>0.10212761174024457</v>
      </c>
      <c r="H175" s="144">
        <f>H174/H91</f>
        <v>0.1081704634721642</v>
      </c>
      <c r="I175" s="149">
        <f>I174/I91</f>
        <v>5.8458335460872556E-2</v>
      </c>
      <c r="J175" s="144">
        <f>I175</f>
        <v>5.8458335460872556E-2</v>
      </c>
      <c r="K175" s="144">
        <f>J175</f>
        <v>5.8458335460872556E-2</v>
      </c>
      <c r="L175" s="143"/>
      <c r="M175" s="143"/>
      <c r="N175" s="143"/>
      <c r="O175" s="143"/>
      <c r="P175" s="143"/>
      <c r="Q175" s="377"/>
      <c r="R175" s="377"/>
    </row>
    <row r="176" spans="2:18">
      <c r="B176" s="89" t="s">
        <v>83</v>
      </c>
      <c r="C176" s="93" t="s">
        <v>172</v>
      </c>
      <c r="E176" s="9">
        <v>259.53648300000003</v>
      </c>
      <c r="F176" s="9">
        <v>904.92053800000008</v>
      </c>
      <c r="G176" s="377">
        <v>1131.0210454182209</v>
      </c>
      <c r="H176" s="377">
        <v>1076.9394496035404</v>
      </c>
      <c r="I176" s="378">
        <v>71.858900000000006</v>
      </c>
      <c r="J176" s="377">
        <v>0</v>
      </c>
      <c r="K176" s="385">
        <f>SUM(I176:J176)</f>
        <v>71.858900000000006</v>
      </c>
      <c r="L176" s="377">
        <v>0</v>
      </c>
      <c r="M176" s="377">
        <v>0</v>
      </c>
      <c r="N176" s="377">
        <v>0</v>
      </c>
      <c r="O176" s="377">
        <v>0</v>
      </c>
      <c r="P176" s="377">
        <v>0</v>
      </c>
      <c r="Q176" s="377"/>
      <c r="R176" s="377"/>
    </row>
    <row r="177" spans="2:18">
      <c r="B177" s="110" t="s">
        <v>178</v>
      </c>
      <c r="C177" s="98" t="s">
        <v>179</v>
      </c>
      <c r="D177" s="85"/>
      <c r="E177" s="85"/>
      <c r="F177" s="107">
        <f>F176/E176-1</f>
        <v>2.4866795124136747</v>
      </c>
      <c r="G177" s="388">
        <f>G176/F176-1</f>
        <v>0.24985675307793787</v>
      </c>
      <c r="H177" s="388">
        <f>H176/G176-1</f>
        <v>-4.7816613168928712E-2</v>
      </c>
      <c r="I177" s="352">
        <f>I176/H176-1</f>
        <v>-0.93327489300679456</v>
      </c>
      <c r="J177" s="383"/>
      <c r="K177" s="388">
        <f>K176/H176-1</f>
        <v>-0.93327489300679456</v>
      </c>
      <c r="L177" s="389">
        <v>1.6E-2</v>
      </c>
      <c r="M177" s="389">
        <v>4.0000000000000001E-3</v>
      </c>
      <c r="N177" s="389">
        <v>1.6E-2</v>
      </c>
      <c r="O177" s="389">
        <v>1.9E-2</v>
      </c>
      <c r="P177" s="389">
        <v>2.3E-2</v>
      </c>
      <c r="Q177" s="383"/>
      <c r="R177" s="377"/>
    </row>
    <row r="179" spans="2:18">
      <c r="B179" s="16" t="s">
        <v>315</v>
      </c>
      <c r="H179" s="377"/>
      <c r="I179" s="377"/>
      <c r="J179" s="377"/>
      <c r="K179" s="377"/>
      <c r="L179" s="377"/>
      <c r="M179" s="377"/>
      <c r="N179" s="377"/>
      <c r="O179" s="377"/>
      <c r="P179" s="377"/>
      <c r="Q179" s="377"/>
    </row>
    <row r="180" spans="2:18">
      <c r="B180" s="85"/>
      <c r="C180" s="98"/>
      <c r="D180" s="85"/>
      <c r="E180" s="85"/>
      <c r="F180" s="85"/>
      <c r="G180" s="85"/>
      <c r="H180" s="383"/>
      <c r="I180" s="393"/>
      <c r="J180" s="393"/>
      <c r="K180" s="393"/>
      <c r="L180" s="393"/>
      <c r="M180" s="393"/>
      <c r="N180" s="393"/>
      <c r="O180" s="393"/>
      <c r="P180" s="393"/>
      <c r="Q180" s="383"/>
    </row>
    <row r="181" spans="2:18">
      <c r="B181" s="9" t="s">
        <v>316</v>
      </c>
      <c r="C181" s="93" t="s">
        <v>172</v>
      </c>
      <c r="E181" s="9">
        <f>E182+E184+E189+E191</f>
        <v>0</v>
      </c>
      <c r="F181" s="9">
        <f t="shared" ref="F181:P181" si="105">F182+F184+F189+F191</f>
        <v>329.55325599999992</v>
      </c>
      <c r="G181" s="9">
        <f t="shared" si="105"/>
        <v>2375.5396139999998</v>
      </c>
      <c r="H181" s="377">
        <f t="shared" si="105"/>
        <v>2208.759622</v>
      </c>
      <c r="I181" s="402">
        <f t="shared" si="105"/>
        <v>1928.7913031410847</v>
      </c>
      <c r="J181" s="377">
        <f t="shared" si="105"/>
        <v>642.93043438036148</v>
      </c>
      <c r="K181" s="377">
        <f t="shared" si="105"/>
        <v>2571.7217375214464</v>
      </c>
      <c r="L181" s="377">
        <f t="shared" si="105"/>
        <v>2767.130914938446</v>
      </c>
      <c r="M181" s="377">
        <f t="shared" si="105"/>
        <v>2909.2847022786573</v>
      </c>
      <c r="N181" s="377">
        <f t="shared" si="105"/>
        <v>3092.1517016571624</v>
      </c>
      <c r="O181" s="377">
        <f t="shared" si="105"/>
        <v>3310.3032841112208</v>
      </c>
      <c r="P181" s="377">
        <f t="shared" si="105"/>
        <v>3575.2631366214455</v>
      </c>
      <c r="Q181" s="377">
        <f>P181*(1+DCF!$F$44)</f>
        <v>3611.0157679876602</v>
      </c>
    </row>
    <row r="182" spans="2:18">
      <c r="B182" s="89" t="s">
        <v>86</v>
      </c>
      <c r="C182" s="93" t="s">
        <v>172</v>
      </c>
      <c r="E182" s="9">
        <v>0</v>
      </c>
      <c r="F182" s="9">
        <v>195.22300799999996</v>
      </c>
      <c r="G182" s="9">
        <v>1376.5157019999999</v>
      </c>
      <c r="H182" s="377">
        <v>279.75842999999992</v>
      </c>
      <c r="I182" s="378">
        <f t="shared" ref="I182:P182" si="106">I93*I183</f>
        <v>694.85726837108461</v>
      </c>
      <c r="J182" s="377">
        <f t="shared" si="106"/>
        <v>231.61908945702822</v>
      </c>
      <c r="K182" s="377">
        <f t="shared" si="106"/>
        <v>926.4763578281129</v>
      </c>
      <c r="L182" s="377">
        <f t="shared" si="106"/>
        <v>1081.216499384085</v>
      </c>
      <c r="M182" s="377">
        <f t="shared" si="106"/>
        <v>1203.9902192816753</v>
      </c>
      <c r="N182" s="377">
        <f t="shared" si="106"/>
        <v>1346.9880150438319</v>
      </c>
      <c r="O182" s="377">
        <f t="shared" si="106"/>
        <v>1516.4810949965299</v>
      </c>
      <c r="P182" s="377">
        <f t="shared" si="106"/>
        <v>1722.0349808401461</v>
      </c>
      <c r="Q182" s="377"/>
    </row>
    <row r="183" spans="2:18">
      <c r="B183" s="82" t="s">
        <v>212</v>
      </c>
      <c r="C183" s="93" t="s">
        <v>179</v>
      </c>
      <c r="D183" s="37">
        <v>5.0000000000000001E-3</v>
      </c>
      <c r="E183" s="10"/>
      <c r="F183" s="10">
        <f>F182/F93</f>
        <v>0.43259933821963165</v>
      </c>
      <c r="G183" s="10">
        <f>G182/G93</f>
        <v>0.42970411565491978</v>
      </c>
      <c r="H183" s="144">
        <f>H182/H93</f>
        <v>0.10322655335738884</v>
      </c>
      <c r="I183" s="406">
        <f>AVERAGE(G183:H183)</f>
        <v>0.26646533450615428</v>
      </c>
      <c r="J183" s="407">
        <f>I183</f>
        <v>0.26646533450615428</v>
      </c>
      <c r="K183" s="143">
        <f>J183</f>
        <v>0.26646533450615428</v>
      </c>
      <c r="L183" s="144">
        <f>K183-$D183</f>
        <v>0.26146533450615428</v>
      </c>
      <c r="M183" s="144">
        <f t="shared" ref="M183:P183" si="107">L183-$D183</f>
        <v>0.25646533450615427</v>
      </c>
      <c r="N183" s="144">
        <f t="shared" si="107"/>
        <v>0.25146533450615427</v>
      </c>
      <c r="O183" s="144">
        <f t="shared" si="107"/>
        <v>0.24646533450615427</v>
      </c>
      <c r="P183" s="144">
        <f t="shared" si="107"/>
        <v>0.24146533450615426</v>
      </c>
      <c r="Q183" s="377"/>
    </row>
    <row r="184" spans="2:18">
      <c r="B184" s="89" t="s">
        <v>79</v>
      </c>
      <c r="C184" s="93" t="s">
        <v>172</v>
      </c>
      <c r="E184" s="9">
        <v>0</v>
      </c>
      <c r="F184" s="9">
        <v>127.062545</v>
      </c>
      <c r="G184" s="9">
        <v>208.89590699999997</v>
      </c>
      <c r="H184" s="377">
        <v>107.58512600000002</v>
      </c>
      <c r="I184" s="378">
        <f>I185*I187*3/4</f>
        <v>85.933619392500006</v>
      </c>
      <c r="J184" s="377">
        <f>J185*J187/4</f>
        <v>28.644539797500002</v>
      </c>
      <c r="K184" s="377">
        <f>K185*K187</f>
        <v>114.57815919000001</v>
      </c>
      <c r="L184" s="377">
        <f t="shared" ref="L184:P184" si="108">L185*L187</f>
        <v>118.70297292084003</v>
      </c>
      <c r="M184" s="377">
        <f t="shared" si="108"/>
        <v>120.95832940633598</v>
      </c>
      <c r="N184" s="377">
        <f t="shared" si="108"/>
        <v>123.74037098268168</v>
      </c>
      <c r="O184" s="377">
        <f t="shared" si="108"/>
        <v>127.70006285412749</v>
      </c>
      <c r="P184" s="377">
        <f t="shared" si="108"/>
        <v>132.04186499116784</v>
      </c>
      <c r="Q184" s="377"/>
    </row>
    <row r="185" spans="2:18">
      <c r="B185" s="82" t="s">
        <v>239</v>
      </c>
      <c r="C185" s="93" t="s">
        <v>175</v>
      </c>
      <c r="E185" s="9">
        <v>0</v>
      </c>
      <c r="F185" s="9">
        <v>5</v>
      </c>
      <c r="G185" s="9">
        <v>5</v>
      </c>
      <c r="H185" s="377">
        <v>5</v>
      </c>
      <c r="I185" s="378">
        <f>H185</f>
        <v>5</v>
      </c>
      <c r="J185" s="377">
        <f>I185</f>
        <v>5</v>
      </c>
      <c r="K185" s="385">
        <f>J185</f>
        <v>5</v>
      </c>
      <c r="L185" s="385">
        <f>K185</f>
        <v>5</v>
      </c>
      <c r="M185" s="385">
        <f t="shared" ref="M185:P185" si="109">L185</f>
        <v>5</v>
      </c>
      <c r="N185" s="385">
        <f t="shared" si="109"/>
        <v>5</v>
      </c>
      <c r="O185" s="385">
        <f t="shared" si="109"/>
        <v>5</v>
      </c>
      <c r="P185" s="385">
        <f t="shared" si="109"/>
        <v>5</v>
      </c>
      <c r="Q185" s="377"/>
    </row>
    <row r="186" spans="2:18">
      <c r="B186" s="115" t="s">
        <v>176</v>
      </c>
      <c r="C186" s="93" t="s">
        <v>175</v>
      </c>
      <c r="G186" s="9">
        <f>G185-F185</f>
        <v>0</v>
      </c>
      <c r="H186" s="377"/>
      <c r="I186" s="378"/>
      <c r="J186" s="377"/>
      <c r="K186" s="377">
        <f>K185-G185</f>
        <v>0</v>
      </c>
      <c r="L186" s="377">
        <f>L185-K185</f>
        <v>0</v>
      </c>
      <c r="M186" s="377">
        <f t="shared" ref="M186:P186" si="110">M185-L185</f>
        <v>0</v>
      </c>
      <c r="N186" s="377">
        <f t="shared" si="110"/>
        <v>0</v>
      </c>
      <c r="O186" s="377">
        <f t="shared" si="110"/>
        <v>0</v>
      </c>
      <c r="P186" s="377">
        <f t="shared" si="110"/>
        <v>0</v>
      </c>
      <c r="Q186" s="377"/>
    </row>
    <row r="187" spans="2:18">
      <c r="B187" s="82" t="s">
        <v>240</v>
      </c>
      <c r="C187" s="93" t="s">
        <v>172</v>
      </c>
      <c r="F187" s="127">
        <f>F184/F185</f>
        <v>25.412509</v>
      </c>
      <c r="G187" s="127">
        <f>G184/G185</f>
        <v>41.779181399999992</v>
      </c>
      <c r="H187" s="390">
        <f>H184/H185</f>
        <v>21.517025200000003</v>
      </c>
      <c r="I187" s="378">
        <f>K187</f>
        <v>22.915631838000003</v>
      </c>
      <c r="J187" s="377">
        <f>K187</f>
        <v>22.915631838000003</v>
      </c>
      <c r="K187" s="390">
        <f>H187*(1+K188)</f>
        <v>22.915631838000003</v>
      </c>
      <c r="L187" s="390">
        <f>K187*(1+L188)</f>
        <v>23.740594584168004</v>
      </c>
      <c r="M187" s="390">
        <f t="shared" ref="M187:P187" si="111">L187*(1+M188)</f>
        <v>24.191665881267195</v>
      </c>
      <c r="N187" s="390">
        <f t="shared" si="111"/>
        <v>24.748074196536336</v>
      </c>
      <c r="O187" s="390">
        <f t="shared" si="111"/>
        <v>25.5400125708255</v>
      </c>
      <c r="P187" s="390">
        <f t="shared" si="111"/>
        <v>26.408372998233567</v>
      </c>
      <c r="Q187" s="377"/>
    </row>
    <row r="188" spans="2:18">
      <c r="B188" s="115" t="s">
        <v>178</v>
      </c>
      <c r="C188" s="93" t="s">
        <v>179</v>
      </c>
      <c r="G188" s="10">
        <f>G187/F187-1</f>
        <v>0.64404000407830608</v>
      </c>
      <c r="H188" s="144"/>
      <c r="I188" s="378"/>
      <c r="J188" s="377"/>
      <c r="K188" s="148">
        <v>6.5000000000000002E-2</v>
      </c>
      <c r="L188" s="148">
        <v>3.6000000000000004E-2</v>
      </c>
      <c r="M188" s="148">
        <v>1.9E-2</v>
      </c>
      <c r="N188" s="148">
        <v>2.3E-2</v>
      </c>
      <c r="O188" s="148">
        <v>3.2000000000000001E-2</v>
      </c>
      <c r="P188" s="148">
        <v>3.4000000000000002E-2</v>
      </c>
      <c r="Q188" s="377"/>
    </row>
    <row r="189" spans="2:18">
      <c r="B189" s="89" t="s">
        <v>87</v>
      </c>
      <c r="C189" s="93" t="s">
        <v>172</v>
      </c>
      <c r="E189" s="9">
        <v>0</v>
      </c>
      <c r="F189" s="9">
        <v>6.7750000000000004</v>
      </c>
      <c r="G189" s="9">
        <v>544.05499999999995</v>
      </c>
      <c r="H189" s="377">
        <v>474.7534</v>
      </c>
      <c r="I189" s="378">
        <f t="shared" ref="I189:P189" si="112">I93*I190</f>
        <v>52.153670920000003</v>
      </c>
      <c r="J189" s="377">
        <f t="shared" si="112"/>
        <v>17.384556973333336</v>
      </c>
      <c r="K189" s="377">
        <f t="shared" si="112"/>
        <v>69.538227893333342</v>
      </c>
      <c r="L189" s="377">
        <f t="shared" si="112"/>
        <v>82.704386141761049</v>
      </c>
      <c r="M189" s="377">
        <f t="shared" si="112"/>
        <v>93.891068872918865</v>
      </c>
      <c r="N189" s="377">
        <f t="shared" si="112"/>
        <v>107.13110955743812</v>
      </c>
      <c r="O189" s="377">
        <f t="shared" si="112"/>
        <v>123.05836827196185</v>
      </c>
      <c r="P189" s="377">
        <f t="shared" si="112"/>
        <v>142.63206636779213</v>
      </c>
      <c r="Q189" s="377"/>
    </row>
    <row r="190" spans="2:18">
      <c r="B190" s="82" t="s">
        <v>212</v>
      </c>
      <c r="C190" s="93" t="s">
        <v>179</v>
      </c>
      <c r="D190" s="37">
        <v>5.0000000000000001E-3</v>
      </c>
      <c r="F190" s="10">
        <f>F189/F93</f>
        <v>1.5012884733535122E-2</v>
      </c>
      <c r="G190" s="10">
        <f>G189/G93</f>
        <v>0.16983654621808111</v>
      </c>
      <c r="H190" s="144">
        <f>H189/H93</f>
        <v>0.1751766950390084</v>
      </c>
      <c r="I190" s="406">
        <f>K190</f>
        <v>0.02</v>
      </c>
      <c r="J190" s="407">
        <f>K190</f>
        <v>0.02</v>
      </c>
      <c r="K190" s="143">
        <v>0.02</v>
      </c>
      <c r="L190" s="144">
        <f>K190</f>
        <v>0.02</v>
      </c>
      <c r="M190" s="144">
        <f t="shared" ref="M190:P190" si="113">L190</f>
        <v>0.02</v>
      </c>
      <c r="N190" s="144">
        <f t="shared" si="113"/>
        <v>0.02</v>
      </c>
      <c r="O190" s="144">
        <f t="shared" si="113"/>
        <v>0.02</v>
      </c>
      <c r="P190" s="144">
        <f t="shared" si="113"/>
        <v>0.02</v>
      </c>
      <c r="Q190" s="377"/>
    </row>
    <row r="191" spans="2:18">
      <c r="B191" s="89" t="s">
        <v>83</v>
      </c>
      <c r="C191" s="93" t="s">
        <v>172</v>
      </c>
      <c r="E191" s="9">
        <v>0</v>
      </c>
      <c r="F191" s="9">
        <v>0.49270299999999995</v>
      </c>
      <c r="G191" s="9">
        <v>246.07300499999999</v>
      </c>
      <c r="H191" s="377">
        <v>1346.6626660000002</v>
      </c>
      <c r="I191" s="378">
        <f>K191*3/4</f>
        <v>1095.8467444575001</v>
      </c>
      <c r="J191" s="377">
        <f>K191-I191</f>
        <v>365.28224815249996</v>
      </c>
      <c r="K191" s="377">
        <f>H191*(1+K192)</f>
        <v>1461.1289926100001</v>
      </c>
      <c r="L191" s="377">
        <f>K191*(1+L192)</f>
        <v>1484.5070564917601</v>
      </c>
      <c r="M191" s="377">
        <f t="shared" ref="M191:P191" si="114">L191*(1+M192)</f>
        <v>1490.445084717727</v>
      </c>
      <c r="N191" s="377">
        <f t="shared" si="114"/>
        <v>1514.2922060732108</v>
      </c>
      <c r="O191" s="377">
        <f t="shared" si="114"/>
        <v>1543.0637579886015</v>
      </c>
      <c r="P191" s="377">
        <f t="shared" si="114"/>
        <v>1578.5542244223393</v>
      </c>
      <c r="Q191" s="377"/>
    </row>
    <row r="192" spans="2:18">
      <c r="B192" s="110" t="s">
        <v>178</v>
      </c>
      <c r="C192" s="98" t="s">
        <v>179</v>
      </c>
      <c r="D192" s="85"/>
      <c r="E192" s="85"/>
      <c r="F192" s="85"/>
      <c r="G192" s="107">
        <f>G191/F191-1</f>
        <v>498.43476090058317</v>
      </c>
      <c r="H192" s="388">
        <f>H191/G191-1</f>
        <v>4.4726143812483627</v>
      </c>
      <c r="I192" s="384"/>
      <c r="J192" s="383"/>
      <c r="K192" s="389">
        <v>8.5000000000000006E-2</v>
      </c>
      <c r="L192" s="389">
        <v>1.6E-2</v>
      </c>
      <c r="M192" s="389">
        <v>4.0000000000000001E-3</v>
      </c>
      <c r="N192" s="389">
        <v>1.6E-2</v>
      </c>
      <c r="O192" s="389">
        <v>1.9E-2</v>
      </c>
      <c r="P192" s="389">
        <v>2.3E-2</v>
      </c>
      <c r="Q192" s="383"/>
    </row>
    <row r="193" spans="2:17">
      <c r="H193" s="377"/>
      <c r="I193" s="377"/>
      <c r="J193" s="377"/>
      <c r="K193" s="377"/>
      <c r="L193" s="377"/>
      <c r="M193" s="377"/>
      <c r="N193" s="377"/>
      <c r="O193" s="377"/>
      <c r="P193" s="377"/>
      <c r="Q193" s="377"/>
    </row>
    <row r="194" spans="2:17">
      <c r="B194" s="11" t="s">
        <v>99</v>
      </c>
      <c r="C194" s="94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</row>
    <row r="195" spans="2:17">
      <c r="B195" s="85"/>
      <c r="C195" s="98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</row>
    <row r="196" spans="2:17">
      <c r="B196" s="89" t="s">
        <v>79</v>
      </c>
      <c r="C196" s="93" t="s">
        <v>171</v>
      </c>
      <c r="E196" s="9">
        <f t="shared" ref="E196:P197" si="115">SUMIFS(E$202:E$264,$B$202:$B$264,$B196)</f>
        <v>5850.7023730000001</v>
      </c>
      <c r="F196" s="9">
        <f t="shared" si="115"/>
        <v>8365.2098493376016</v>
      </c>
      <c r="G196" s="9">
        <f t="shared" si="115"/>
        <v>12701.284787749863</v>
      </c>
      <c r="H196" s="9">
        <f t="shared" si="115"/>
        <v>13906.934436505642</v>
      </c>
      <c r="I196" s="9">
        <f t="shared" si="115"/>
        <v>14667.634034164004</v>
      </c>
      <c r="J196" s="9">
        <f t="shared" si="115"/>
        <v>4931.6879961653767</v>
      </c>
      <c r="K196" s="9">
        <f t="shared" si="115"/>
        <v>19599.322030329382</v>
      </c>
      <c r="L196" s="9">
        <f t="shared" si="115"/>
        <v>23859.841629280771</v>
      </c>
      <c r="M196" s="9">
        <f t="shared" si="115"/>
        <v>27325.121985148762</v>
      </c>
      <c r="N196" s="9">
        <f t="shared" si="115"/>
        <v>31308.269098142126</v>
      </c>
      <c r="O196" s="9">
        <f t="shared" si="115"/>
        <v>36253.826312629848</v>
      </c>
      <c r="P196" s="9">
        <f t="shared" si="115"/>
        <v>40027.55348598033</v>
      </c>
      <c r="Q196" s="9">
        <f>P196*(1+DCF!$F$44)</f>
        <v>40427.82902084013</v>
      </c>
    </row>
    <row r="197" spans="2:17">
      <c r="B197" s="89" t="s">
        <v>260</v>
      </c>
      <c r="C197" s="93" t="s">
        <v>171</v>
      </c>
      <c r="E197" s="9">
        <f t="shared" si="115"/>
        <v>814.75894200000005</v>
      </c>
      <c r="F197" s="9">
        <f t="shared" si="115"/>
        <v>1719.5985432193643</v>
      </c>
      <c r="G197" s="9">
        <f t="shared" si="115"/>
        <v>2983.5335516199011</v>
      </c>
      <c r="H197" s="9">
        <f t="shared" si="115"/>
        <v>3414.5872207458578</v>
      </c>
      <c r="I197" s="9">
        <f t="shared" si="115"/>
        <v>3596.1414756254367</v>
      </c>
      <c r="J197" s="9">
        <f t="shared" si="115"/>
        <v>1198.713825208479</v>
      </c>
      <c r="K197" s="9">
        <f t="shared" si="115"/>
        <v>4794.8553008339159</v>
      </c>
      <c r="L197" s="9">
        <f t="shared" si="115"/>
        <v>4218.3083385052805</v>
      </c>
      <c r="M197" s="9">
        <f t="shared" si="115"/>
        <v>4236.8912901651865</v>
      </c>
      <c r="N197" s="9">
        <f t="shared" si="115"/>
        <v>4305.7320017349666</v>
      </c>
      <c r="O197" s="9">
        <f t="shared" si="115"/>
        <v>4388.3508074327528</v>
      </c>
      <c r="P197" s="9">
        <f t="shared" si="115"/>
        <v>4489.837925869997</v>
      </c>
      <c r="Q197" s="9">
        <f>P197*(1+DCF!$F$44)</f>
        <v>4534.7363051286966</v>
      </c>
    </row>
    <row r="198" spans="2:17">
      <c r="B198" s="108" t="s">
        <v>94</v>
      </c>
      <c r="C198" s="98" t="s">
        <v>171</v>
      </c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</row>
    <row r="199" spans="2:17">
      <c r="G199" s="377"/>
      <c r="H199" s="377"/>
      <c r="I199" s="377"/>
      <c r="J199" s="377"/>
      <c r="K199" s="377"/>
      <c r="L199" s="377"/>
      <c r="M199" s="377"/>
      <c r="N199" s="377"/>
      <c r="O199" s="377"/>
      <c r="P199" s="377"/>
      <c r="Q199" s="377"/>
    </row>
    <row r="200" spans="2:17">
      <c r="B200" s="106" t="s">
        <v>317</v>
      </c>
      <c r="G200" s="377"/>
      <c r="H200" s="377"/>
      <c r="I200" s="377"/>
      <c r="J200" s="377"/>
      <c r="K200" s="377"/>
      <c r="L200" s="377"/>
      <c r="M200" s="377"/>
      <c r="N200" s="377"/>
      <c r="O200" s="377"/>
      <c r="P200" s="377"/>
      <c r="Q200" s="377"/>
    </row>
    <row r="201" spans="2:17">
      <c r="B201" s="85"/>
      <c r="C201" s="98"/>
      <c r="D201" s="85"/>
      <c r="E201" s="85"/>
      <c r="F201" s="85"/>
      <c r="G201" s="383"/>
      <c r="H201" s="383"/>
      <c r="I201" s="408"/>
      <c r="J201" s="383"/>
      <c r="K201" s="408"/>
      <c r="L201" s="408"/>
      <c r="M201" s="408"/>
      <c r="N201" s="408"/>
      <c r="O201" s="408"/>
      <c r="P201" s="408"/>
      <c r="Q201" s="383"/>
    </row>
    <row r="202" spans="2:17">
      <c r="B202" s="9" t="s">
        <v>318</v>
      </c>
      <c r="C202" s="93" t="s">
        <v>172</v>
      </c>
      <c r="E202" s="9">
        <f t="shared" ref="E202:P202" si="116">E203+E208</f>
        <v>0</v>
      </c>
      <c r="F202" s="9">
        <f t="shared" si="116"/>
        <v>0</v>
      </c>
      <c r="G202" s="377">
        <f t="shared" si="116"/>
        <v>0</v>
      </c>
      <c r="H202" s="377">
        <f t="shared" si="116"/>
        <v>697.89041200000008</v>
      </c>
      <c r="I202" s="402">
        <f t="shared" si="116"/>
        <v>907.44705599199983</v>
      </c>
      <c r="J202" s="377">
        <f t="shared" si="116"/>
        <v>302.4823519973333</v>
      </c>
      <c r="K202" s="377">
        <f>K203+K208</f>
        <v>1209.9294079893332</v>
      </c>
      <c r="L202" s="377">
        <f t="shared" si="116"/>
        <v>1951.0863066596521</v>
      </c>
      <c r="M202" s="377">
        <f t="shared" si="116"/>
        <v>2145.2147428733206</v>
      </c>
      <c r="N202" s="377">
        <f t="shared" si="116"/>
        <v>2355.942493245851</v>
      </c>
      <c r="O202" s="377">
        <f t="shared" si="116"/>
        <v>2597.3664410625624</v>
      </c>
      <c r="P202" s="377">
        <f t="shared" si="116"/>
        <v>2684.6902530348279</v>
      </c>
      <c r="Q202" s="377">
        <f>P202*(1+DCF!$F$44)</f>
        <v>2711.5371555651764</v>
      </c>
    </row>
    <row r="203" spans="2:17">
      <c r="B203" s="89" t="s">
        <v>106</v>
      </c>
      <c r="C203" s="93" t="s">
        <v>172</v>
      </c>
      <c r="E203" s="9">
        <v>0</v>
      </c>
      <c r="F203" s="9">
        <v>0</v>
      </c>
      <c r="G203" s="377">
        <v>0</v>
      </c>
      <c r="H203" s="377">
        <v>660.20946400000003</v>
      </c>
      <c r="I203" s="378">
        <f>I204*I206*3/4</f>
        <v>843.74769499199988</v>
      </c>
      <c r="J203" s="377">
        <f>J204*J206/4</f>
        <v>281.24923166399998</v>
      </c>
      <c r="K203" s="385">
        <f>SUM(I203:J203)</f>
        <v>1124.9969266559999</v>
      </c>
      <c r="L203" s="377">
        <f>L204*L206</f>
        <v>1864.7949056249854</v>
      </c>
      <c r="M203" s="377">
        <f t="shared" ref="M203:P203" si="117">M204*M206</f>
        <v>2058.578176234515</v>
      </c>
      <c r="N203" s="377">
        <f t="shared" si="117"/>
        <v>2267.9197415408248</v>
      </c>
      <c r="O203" s="377">
        <f t="shared" si="117"/>
        <v>2507.6712570751406</v>
      </c>
      <c r="P203" s="377">
        <f t="shared" si="117"/>
        <v>2592.9320798156955</v>
      </c>
      <c r="Q203" s="377"/>
    </row>
    <row r="204" spans="2:17">
      <c r="B204" s="82" t="s">
        <v>319</v>
      </c>
      <c r="C204" s="93" t="s">
        <v>175</v>
      </c>
      <c r="G204" s="377"/>
      <c r="H204" s="377">
        <v>5</v>
      </c>
      <c r="I204" s="378">
        <v>8</v>
      </c>
      <c r="J204" s="377">
        <f>I204</f>
        <v>8</v>
      </c>
      <c r="K204" s="377">
        <f>J204</f>
        <v>8</v>
      </c>
      <c r="L204" s="377">
        <f>L72/L205</f>
        <v>12.8</v>
      </c>
      <c r="M204" s="377">
        <f t="shared" ref="M204:P204" si="118">M72/M205</f>
        <v>13.866666666666667</v>
      </c>
      <c r="N204" s="377">
        <f t="shared" si="118"/>
        <v>14.933333333333334</v>
      </c>
      <c r="O204" s="377">
        <f t="shared" si="118"/>
        <v>16</v>
      </c>
      <c r="P204" s="377">
        <f t="shared" si="118"/>
        <v>16</v>
      </c>
      <c r="Q204" s="377"/>
    </row>
    <row r="205" spans="2:17">
      <c r="B205" s="115" t="s">
        <v>320</v>
      </c>
      <c r="C205" s="93" t="s">
        <v>175</v>
      </c>
      <c r="G205" s="377"/>
      <c r="H205" s="377">
        <f>H72/H204</f>
        <v>16.399999999999999</v>
      </c>
      <c r="I205" s="378">
        <f>I72/I204</f>
        <v>3.75</v>
      </c>
      <c r="J205" s="377">
        <f>I205</f>
        <v>3.75</v>
      </c>
      <c r="K205" s="377">
        <f>J205</f>
        <v>3.75</v>
      </c>
      <c r="L205" s="385">
        <f>K205</f>
        <v>3.75</v>
      </c>
      <c r="M205" s="385">
        <f>L205</f>
        <v>3.75</v>
      </c>
      <c r="N205" s="385">
        <f t="shared" ref="N205:P205" si="119">M205</f>
        <v>3.75</v>
      </c>
      <c r="O205" s="385">
        <f t="shared" si="119"/>
        <v>3.75</v>
      </c>
      <c r="P205" s="385">
        <f t="shared" si="119"/>
        <v>3.75</v>
      </c>
      <c r="Q205" s="377"/>
    </row>
    <row r="206" spans="2:17">
      <c r="B206" s="82" t="s">
        <v>321</v>
      </c>
      <c r="C206" s="93" t="s">
        <v>172</v>
      </c>
      <c r="G206" s="377"/>
      <c r="H206" s="377">
        <v>132.0418928</v>
      </c>
      <c r="I206" s="378">
        <f>J206</f>
        <v>140.62461583199999</v>
      </c>
      <c r="J206" s="377">
        <f>K206</f>
        <v>140.62461583199999</v>
      </c>
      <c r="K206" s="377">
        <f>H206*(1+K207)</f>
        <v>140.62461583199999</v>
      </c>
      <c r="L206" s="377">
        <f>K206*(1+L207)</f>
        <v>145.68710200195198</v>
      </c>
      <c r="M206" s="377">
        <f t="shared" ref="M206:P206" si="120">L206*(1+M207)</f>
        <v>148.45515693998905</v>
      </c>
      <c r="N206" s="377">
        <f t="shared" si="120"/>
        <v>151.8696255496088</v>
      </c>
      <c r="O206" s="377">
        <f t="shared" si="120"/>
        <v>156.72945356719629</v>
      </c>
      <c r="P206" s="377">
        <f t="shared" si="120"/>
        <v>162.05825498848097</v>
      </c>
      <c r="Q206" s="377"/>
    </row>
    <row r="207" spans="2:17">
      <c r="B207" s="115" t="s">
        <v>178</v>
      </c>
      <c r="C207" s="93" t="s">
        <v>179</v>
      </c>
      <c r="G207" s="377"/>
      <c r="H207" s="377"/>
      <c r="I207" s="378"/>
      <c r="J207" s="377"/>
      <c r="K207" s="148">
        <v>6.5000000000000002E-2</v>
      </c>
      <c r="L207" s="148">
        <v>3.6000000000000004E-2</v>
      </c>
      <c r="M207" s="148">
        <v>1.9E-2</v>
      </c>
      <c r="N207" s="148">
        <v>2.3E-2</v>
      </c>
      <c r="O207" s="148">
        <v>3.2000000000000001E-2</v>
      </c>
      <c r="P207" s="148">
        <v>3.4000000000000002E-2</v>
      </c>
      <c r="Q207" s="377"/>
    </row>
    <row r="208" spans="2:17">
      <c r="B208" s="89" t="s">
        <v>101</v>
      </c>
      <c r="C208" s="93" t="s">
        <v>172</v>
      </c>
      <c r="G208" s="377"/>
      <c r="H208" s="377">
        <v>37.6809480000001</v>
      </c>
      <c r="I208" s="378">
        <v>63.699360999999996</v>
      </c>
      <c r="J208" s="377">
        <f>I208/3</f>
        <v>21.233120333333332</v>
      </c>
      <c r="K208" s="377">
        <f>SUM(I208:J208)</f>
        <v>84.932481333333328</v>
      </c>
      <c r="L208" s="377">
        <f>K208*(1+L209)</f>
        <v>86.291401034666663</v>
      </c>
      <c r="M208" s="377">
        <f t="shared" ref="M208:P208" si="121">L208*(1+M209)</f>
        <v>86.636566638805334</v>
      </c>
      <c r="N208" s="377">
        <f t="shared" si="121"/>
        <v>88.022751705026224</v>
      </c>
      <c r="O208" s="377">
        <f t="shared" si="121"/>
        <v>89.695183987421714</v>
      </c>
      <c r="P208" s="377">
        <f t="shared" si="121"/>
        <v>91.758173219132402</v>
      </c>
      <c r="Q208" s="377"/>
    </row>
    <row r="209" spans="2:17">
      <c r="B209" s="110" t="s">
        <v>178</v>
      </c>
      <c r="C209" s="98" t="s">
        <v>179</v>
      </c>
      <c r="D209" s="85"/>
      <c r="E209" s="85"/>
      <c r="F209" s="85"/>
      <c r="G209" s="383"/>
      <c r="H209" s="383"/>
      <c r="I209" s="384"/>
      <c r="J209" s="383"/>
      <c r="K209" s="389">
        <f>K208/H208-1</f>
        <v>1.2539900358487026</v>
      </c>
      <c r="L209" s="389">
        <v>1.6E-2</v>
      </c>
      <c r="M209" s="389">
        <v>4.0000000000000001E-3</v>
      </c>
      <c r="N209" s="389">
        <v>1.6E-2</v>
      </c>
      <c r="O209" s="389">
        <v>1.9E-2</v>
      </c>
      <c r="P209" s="389">
        <v>2.3E-2</v>
      </c>
      <c r="Q209" s="383"/>
    </row>
    <row r="210" spans="2:17">
      <c r="G210" s="377"/>
      <c r="H210" s="377"/>
      <c r="I210" s="377"/>
      <c r="J210" s="377"/>
      <c r="K210" s="377"/>
      <c r="L210" s="377"/>
      <c r="M210" s="377"/>
      <c r="N210" s="377"/>
      <c r="O210" s="377"/>
      <c r="P210" s="377"/>
      <c r="Q210" s="377"/>
    </row>
    <row r="211" spans="2:17">
      <c r="B211" s="106" t="s">
        <v>322</v>
      </c>
      <c r="G211" s="377"/>
      <c r="H211" s="377"/>
      <c r="I211" s="377"/>
      <c r="J211" s="377"/>
      <c r="K211" s="377"/>
      <c r="L211" s="377"/>
      <c r="M211" s="377"/>
      <c r="N211" s="377"/>
      <c r="O211" s="377"/>
      <c r="P211" s="377"/>
      <c r="Q211" s="377"/>
    </row>
    <row r="212" spans="2:17">
      <c r="B212" s="85"/>
      <c r="C212" s="98"/>
      <c r="D212" s="85"/>
      <c r="E212" s="85"/>
      <c r="F212" s="85"/>
      <c r="G212" s="383"/>
      <c r="H212" s="383"/>
      <c r="I212" s="383"/>
      <c r="J212" s="383"/>
      <c r="K212" s="383"/>
      <c r="L212" s="383"/>
      <c r="M212" s="383"/>
      <c r="N212" s="383"/>
      <c r="O212" s="383"/>
      <c r="P212" s="383"/>
      <c r="Q212" s="383"/>
    </row>
    <row r="213" spans="2:17">
      <c r="B213" s="9" t="s">
        <v>323</v>
      </c>
      <c r="E213" s="9">
        <f t="shared" ref="E213:P213" si="122">E214+E220</f>
        <v>0</v>
      </c>
      <c r="F213" s="9">
        <f t="shared" si="122"/>
        <v>0</v>
      </c>
      <c r="G213" s="377">
        <f t="shared" si="122"/>
        <v>2397.117257451428</v>
      </c>
      <c r="H213" s="377">
        <f t="shared" si="122"/>
        <v>1748.2333870181001</v>
      </c>
      <c r="I213" s="402">
        <f t="shared" si="122"/>
        <v>1900.4502014971699</v>
      </c>
      <c r="J213" s="377">
        <f t="shared" si="122"/>
        <v>633.48340049905653</v>
      </c>
      <c r="K213" s="377">
        <f t="shared" si="122"/>
        <v>2533.9336019962261</v>
      </c>
      <c r="L213" s="377">
        <f t="shared" si="122"/>
        <v>3486.7788181989904</v>
      </c>
      <c r="M213" s="377">
        <f t="shared" si="122"/>
        <v>4351.9173414986017</v>
      </c>
      <c r="N213" s="377">
        <f t="shared" si="122"/>
        <v>5217.436425970508</v>
      </c>
      <c r="O213" s="377">
        <f t="shared" si="122"/>
        <v>6218.3618257556609</v>
      </c>
      <c r="P213" s="377">
        <f t="shared" si="122"/>
        <v>7331.4547385311789</v>
      </c>
      <c r="Q213" s="377">
        <f>P213*(1+DCF!$F$44)</f>
        <v>7404.7692859164908</v>
      </c>
    </row>
    <row r="214" spans="2:17">
      <c r="B214" s="89" t="s">
        <v>79</v>
      </c>
      <c r="E214" s="9">
        <v>0</v>
      </c>
      <c r="F214" s="9">
        <v>0</v>
      </c>
      <c r="G214" s="377">
        <v>1802.7882480062851</v>
      </c>
      <c r="H214" s="377">
        <v>1583.3384870181001</v>
      </c>
      <c r="I214" s="378">
        <f>I215*I218*3/4</f>
        <v>1363.1406644971698</v>
      </c>
      <c r="J214" s="377">
        <f>J215*J218/4</f>
        <v>454.38022149905657</v>
      </c>
      <c r="K214" s="377">
        <f>SUM(I214:J214)</f>
        <v>1817.5208859962263</v>
      </c>
      <c r="L214" s="377">
        <f>L215*L218</f>
        <v>2758.9034987429905</v>
      </c>
      <c r="M214" s="377">
        <f>M215*M218</f>
        <v>3621.1305207647779</v>
      </c>
      <c r="N214" s="377">
        <f>N215*N218</f>
        <v>4474.9570161049432</v>
      </c>
      <c r="O214" s="377">
        <f>O215*O218</f>
        <v>5461.77530710265</v>
      </c>
      <c r="P214" s="377">
        <f>P215*P218</f>
        <v>6557.4667299491493</v>
      </c>
      <c r="Q214" s="377"/>
    </row>
    <row r="215" spans="2:17">
      <c r="B215" s="82" t="s">
        <v>239</v>
      </c>
      <c r="D215" s="10"/>
      <c r="E215" s="9">
        <v>0</v>
      </c>
      <c r="F215" s="9">
        <v>0</v>
      </c>
      <c r="G215" s="377">
        <v>19.329166666666666</v>
      </c>
      <c r="H215" s="377">
        <v>16.7</v>
      </c>
      <c r="I215" s="378">
        <v>18</v>
      </c>
      <c r="J215" s="377">
        <f>I215</f>
        <v>18</v>
      </c>
      <c r="K215" s="385">
        <f>J215</f>
        <v>18</v>
      </c>
      <c r="L215" s="377">
        <f>L61/L216</f>
        <v>26.373626373626379</v>
      </c>
      <c r="M215" s="377">
        <f t="shared" ref="M215:P215" si="123">M61/M216</f>
        <v>33.97060913224707</v>
      </c>
      <c r="N215" s="377">
        <f t="shared" si="123"/>
        <v>41.036696263618317</v>
      </c>
      <c r="O215" s="377">
        <f t="shared" si="123"/>
        <v>48.533057735489614</v>
      </c>
      <c r="P215" s="377">
        <f t="shared" si="123"/>
        <v>56.353303694988767</v>
      </c>
      <c r="Q215" s="377"/>
    </row>
    <row r="216" spans="2:17">
      <c r="B216" s="115" t="s">
        <v>324</v>
      </c>
      <c r="C216" s="93" t="s">
        <v>175</v>
      </c>
      <c r="G216" s="377">
        <f>G61/G215</f>
        <v>12.726880793274413</v>
      </c>
      <c r="H216" s="377">
        <f t="shared" ref="H216:I216" si="124">H61/H215</f>
        <v>29.401197604790422</v>
      </c>
      <c r="I216" s="378">
        <f t="shared" si="124"/>
        <v>17.333333333333332</v>
      </c>
      <c r="J216" s="377">
        <f>I216</f>
        <v>17.333333333333332</v>
      </c>
      <c r="K216" s="377">
        <f>J216</f>
        <v>17.333333333333332</v>
      </c>
      <c r="L216" s="377">
        <f>K216*(1+L217)</f>
        <v>17.59333333333333</v>
      </c>
      <c r="M216" s="377">
        <f t="shared" ref="M216:P216" si="125">L216*(1+M217)</f>
        <v>18.015573333333329</v>
      </c>
      <c r="N216" s="377">
        <f t="shared" si="125"/>
        <v>18.520009386666661</v>
      </c>
      <c r="O216" s="377">
        <f t="shared" si="125"/>
        <v>19.038569649493329</v>
      </c>
      <c r="P216" s="377">
        <f t="shared" si="125"/>
        <v>19.590688169328633</v>
      </c>
      <c r="Q216" s="377"/>
    </row>
    <row r="217" spans="2:17">
      <c r="B217" s="116" t="s">
        <v>178</v>
      </c>
      <c r="C217" s="93" t="s">
        <v>179</v>
      </c>
      <c r="G217" s="377"/>
      <c r="H217" s="377"/>
      <c r="I217" s="378"/>
      <c r="J217" s="377"/>
      <c r="K217" s="148">
        <f>K216/H216-1</f>
        <v>-0.41045485403937554</v>
      </c>
      <c r="L217" s="148">
        <v>1.4999999999999999E-2</v>
      </c>
      <c r="M217" s="148">
        <v>2.4E-2</v>
      </c>
      <c r="N217" s="148">
        <v>2.7999999999999997E-2</v>
      </c>
      <c r="O217" s="148">
        <v>2.7999999999999997E-2</v>
      </c>
      <c r="P217" s="148">
        <v>2.8999999999999998E-2</v>
      </c>
      <c r="Q217" s="377"/>
    </row>
    <row r="218" spans="2:17">
      <c r="B218" s="82" t="s">
        <v>240</v>
      </c>
      <c r="G218" s="390">
        <f>G214/G215</f>
        <v>93.267768812569187</v>
      </c>
      <c r="H218" s="390">
        <f>H214/H215</f>
        <v>94.810687845395222</v>
      </c>
      <c r="I218" s="378">
        <f>K218</f>
        <v>100.97338255534591</v>
      </c>
      <c r="J218" s="377">
        <f>K218</f>
        <v>100.97338255534591</v>
      </c>
      <c r="K218" s="377">
        <f>H218*(1+K219)</f>
        <v>100.97338255534591</v>
      </c>
      <c r="L218" s="377">
        <f>K218*(1+L219)</f>
        <v>104.60842432733837</v>
      </c>
      <c r="M218" s="377">
        <f t="shared" ref="M218:P218" si="126">L218*(1+M219)</f>
        <v>106.59598438955778</v>
      </c>
      <c r="N218" s="377">
        <f t="shared" si="126"/>
        <v>109.04769203051761</v>
      </c>
      <c r="O218" s="377">
        <f t="shared" si="126"/>
        <v>112.53721817549417</v>
      </c>
      <c r="P218" s="377">
        <f t="shared" si="126"/>
        <v>116.36348359346098</v>
      </c>
      <c r="Q218" s="377"/>
    </row>
    <row r="219" spans="2:17">
      <c r="B219" s="115" t="s">
        <v>178</v>
      </c>
      <c r="G219" s="377"/>
      <c r="H219" s="377"/>
      <c r="I219" s="378"/>
      <c r="J219" s="377"/>
      <c r="K219" s="148">
        <v>6.5000000000000002E-2</v>
      </c>
      <c r="L219" s="148">
        <v>3.6000000000000004E-2</v>
      </c>
      <c r="M219" s="148">
        <v>1.9E-2</v>
      </c>
      <c r="N219" s="148">
        <v>2.3E-2</v>
      </c>
      <c r="O219" s="148">
        <v>3.2000000000000001E-2</v>
      </c>
      <c r="P219" s="148">
        <v>3.4000000000000002E-2</v>
      </c>
      <c r="Q219" s="377"/>
    </row>
    <row r="220" spans="2:17">
      <c r="B220" s="89" t="s">
        <v>101</v>
      </c>
      <c r="E220" s="9">
        <v>0</v>
      </c>
      <c r="F220" s="9">
        <v>0</v>
      </c>
      <c r="G220" s="377">
        <v>594.32900944514302</v>
      </c>
      <c r="H220" s="377">
        <v>164.89489999999995</v>
      </c>
      <c r="I220" s="378">
        <v>537.30953699999998</v>
      </c>
      <c r="J220" s="377">
        <f>I220/3</f>
        <v>179.10317899999998</v>
      </c>
      <c r="K220" s="377">
        <f>SUM(I220:J220)</f>
        <v>716.41271599999993</v>
      </c>
      <c r="L220" s="377">
        <f>K220*(1+L221)</f>
        <v>727.87531945599994</v>
      </c>
      <c r="M220" s="377">
        <f t="shared" ref="M220:P220" si="127">L220*(1+M221)</f>
        <v>730.7868207338239</v>
      </c>
      <c r="N220" s="377">
        <f t="shared" si="127"/>
        <v>742.47940986556512</v>
      </c>
      <c r="O220" s="377">
        <f t="shared" si="127"/>
        <v>756.58651865301078</v>
      </c>
      <c r="P220" s="377">
        <f t="shared" si="127"/>
        <v>773.98800858202992</v>
      </c>
      <c r="Q220" s="377"/>
    </row>
    <row r="221" spans="2:17">
      <c r="B221" s="110" t="s">
        <v>178</v>
      </c>
      <c r="C221" s="98"/>
      <c r="D221" s="85"/>
      <c r="E221" s="85"/>
      <c r="F221" s="85"/>
      <c r="G221" s="383"/>
      <c r="H221" s="383"/>
      <c r="I221" s="384"/>
      <c r="J221" s="383"/>
      <c r="K221" s="389">
        <v>0</v>
      </c>
      <c r="L221" s="389">
        <v>1.6E-2</v>
      </c>
      <c r="M221" s="389">
        <v>4.0000000000000001E-3</v>
      </c>
      <c r="N221" s="389">
        <v>1.6E-2</v>
      </c>
      <c r="O221" s="389">
        <v>1.9E-2</v>
      </c>
      <c r="P221" s="389">
        <v>2.3E-2</v>
      </c>
      <c r="Q221" s="383"/>
    </row>
    <row r="222" spans="2:17">
      <c r="G222" s="377"/>
      <c r="H222" s="377"/>
      <c r="I222" s="377"/>
      <c r="J222" s="377"/>
      <c r="K222" s="377"/>
      <c r="L222" s="377"/>
      <c r="M222" s="377"/>
      <c r="N222" s="377"/>
      <c r="O222" s="377"/>
      <c r="P222" s="377"/>
      <c r="Q222" s="377"/>
    </row>
    <row r="223" spans="2:17">
      <c r="B223" s="106" t="s">
        <v>295</v>
      </c>
      <c r="G223" s="377"/>
      <c r="H223" s="377"/>
      <c r="I223" s="377"/>
      <c r="J223" s="377"/>
      <c r="K223" s="377"/>
      <c r="L223" s="377"/>
      <c r="M223" s="377"/>
      <c r="N223" s="377"/>
      <c r="O223" s="377"/>
      <c r="P223" s="377"/>
      <c r="Q223" s="377"/>
    </row>
    <row r="224" spans="2:17">
      <c r="B224" s="85"/>
      <c r="C224" s="98"/>
      <c r="D224" s="85"/>
      <c r="E224" s="85"/>
      <c r="F224" s="85"/>
      <c r="G224" s="383"/>
      <c r="H224" s="383"/>
      <c r="I224" s="393"/>
      <c r="J224" s="393"/>
      <c r="K224" s="393"/>
      <c r="L224" s="393"/>
      <c r="M224" s="393"/>
      <c r="N224" s="393"/>
      <c r="O224" s="393"/>
      <c r="P224" s="393"/>
      <c r="Q224" s="383"/>
    </row>
    <row r="225" spans="2:17">
      <c r="B225" s="9" t="s">
        <v>325</v>
      </c>
      <c r="E225" s="9">
        <f t="shared" ref="E225:P225" si="128">E226+E232</f>
        <v>0</v>
      </c>
      <c r="F225" s="9">
        <f t="shared" si="128"/>
        <v>0</v>
      </c>
      <c r="G225" s="9">
        <f t="shared" si="128"/>
        <v>1103.3232763628</v>
      </c>
      <c r="H225" s="9">
        <f t="shared" si="128"/>
        <v>1204.6586623743974</v>
      </c>
      <c r="I225" s="137">
        <f t="shared" si="128"/>
        <v>1603.0110691419757</v>
      </c>
      <c r="J225" s="9">
        <f t="shared" si="128"/>
        <v>534.33702304732526</v>
      </c>
      <c r="K225" s="9">
        <f t="shared" si="128"/>
        <v>2137.348092189301</v>
      </c>
      <c r="L225" s="9">
        <f t="shared" si="128"/>
        <v>4760.1279576452762</v>
      </c>
      <c r="M225" s="9">
        <f t="shared" si="128"/>
        <v>6889.831822466107</v>
      </c>
      <c r="N225" s="9">
        <f t="shared" si="128"/>
        <v>9468.3138363157595</v>
      </c>
      <c r="O225" s="9">
        <f t="shared" si="128"/>
        <v>12700.197114351906</v>
      </c>
      <c r="P225" s="9">
        <f t="shared" si="128"/>
        <v>14759.662963497427</v>
      </c>
      <c r="Q225" s="9">
        <f>P225*(1+DCF!$F$44)</f>
        <v>14907.259593132401</v>
      </c>
    </row>
    <row r="226" spans="2:17">
      <c r="B226" s="89" t="s">
        <v>79</v>
      </c>
      <c r="E226" s="9">
        <v>0</v>
      </c>
      <c r="F226" s="9">
        <v>0</v>
      </c>
      <c r="G226" s="9">
        <v>793.12390900000014</v>
      </c>
      <c r="H226" s="9">
        <v>931.19032548717678</v>
      </c>
      <c r="I226" s="83">
        <v>1380.47621</v>
      </c>
      <c r="J226" s="9">
        <f>J227*J230/4</f>
        <v>460.1587366666667</v>
      </c>
      <c r="K226" s="9">
        <f>SUM(I226:J226)</f>
        <v>1840.6349466666668</v>
      </c>
      <c r="L226" s="9">
        <f>L227*L230</f>
        <v>4458.6674017942796</v>
      </c>
      <c r="M226" s="9">
        <f>M227*M230</f>
        <v>6587.1654243917064</v>
      </c>
      <c r="N226" s="9">
        <f>N227*N230</f>
        <v>9160.8047758721696</v>
      </c>
      <c r="O226" s="9">
        <f>O227*O230</f>
        <v>12386.845381759887</v>
      </c>
      <c r="P226" s="9">
        <f>P227*P230</f>
        <v>14439.104141055792</v>
      </c>
    </row>
    <row r="227" spans="2:17">
      <c r="B227" s="82" t="s">
        <v>239</v>
      </c>
      <c r="D227" s="10"/>
      <c r="E227" s="9">
        <v>0</v>
      </c>
      <c r="F227" s="9">
        <v>0</v>
      </c>
      <c r="G227" s="9">
        <v>0</v>
      </c>
      <c r="H227" s="9">
        <v>2</v>
      </c>
      <c r="I227" s="83">
        <v>2.0121296452000004</v>
      </c>
      <c r="J227" s="9">
        <f>I227</f>
        <v>2.0121296452000004</v>
      </c>
      <c r="K227" s="9">
        <f>J227</f>
        <v>2.0121296452000004</v>
      </c>
      <c r="L227" s="9">
        <f>L80/L228</f>
        <v>4.7047182260661282</v>
      </c>
      <c r="M227" s="9">
        <f t="shared" ref="M227:P227" si="129">M80/M228</f>
        <v>6.8210766050484093</v>
      </c>
      <c r="N227" s="9">
        <f t="shared" si="129"/>
        <v>9.2728311395606209</v>
      </c>
      <c r="O227" s="9">
        <f t="shared" si="129"/>
        <v>12.149537405364356</v>
      </c>
      <c r="P227" s="9">
        <f t="shared" si="129"/>
        <v>13.69678806579882</v>
      </c>
    </row>
    <row r="228" spans="2:17">
      <c r="B228" s="115" t="s">
        <v>269</v>
      </c>
      <c r="C228" s="93" t="s">
        <v>172</v>
      </c>
      <c r="G228" s="9" t="e">
        <f>G73/G227</f>
        <v>#DIV/0!</v>
      </c>
      <c r="H228" s="9">
        <f>H80/H227</f>
        <v>5461.6356815000008</v>
      </c>
      <c r="I228" s="83">
        <f>I80/I227</f>
        <v>5000</v>
      </c>
      <c r="J228" s="9">
        <f>I228</f>
        <v>5000</v>
      </c>
      <c r="K228" s="9">
        <f>J228</f>
        <v>5000</v>
      </c>
      <c r="L228" s="9">
        <f>K228*(1+L229)</f>
        <v>5074.9999999999991</v>
      </c>
      <c r="M228" s="9">
        <f t="shared" ref="M228:P228" si="130">L228*(1+M229)</f>
        <v>5196.7999999999993</v>
      </c>
      <c r="N228" s="9">
        <f t="shared" si="130"/>
        <v>5342.3103999999994</v>
      </c>
      <c r="O228" s="9">
        <f t="shared" si="130"/>
        <v>5491.8950911999991</v>
      </c>
      <c r="P228" s="9">
        <f t="shared" si="130"/>
        <v>5651.1600488447984</v>
      </c>
    </row>
    <row r="229" spans="2:17">
      <c r="B229" s="116" t="s">
        <v>178</v>
      </c>
      <c r="C229" s="93" t="s">
        <v>179</v>
      </c>
      <c r="I229" s="83"/>
      <c r="K229" s="130">
        <f>K228/H228-1</f>
        <v>-8.4523338505291146E-2</v>
      </c>
      <c r="L229" s="130">
        <v>1.4999999999999999E-2</v>
      </c>
      <c r="M229" s="130">
        <v>2.4E-2</v>
      </c>
      <c r="N229" s="130">
        <v>2.7999999999999997E-2</v>
      </c>
      <c r="O229" s="130">
        <v>2.7999999999999997E-2</v>
      </c>
      <c r="P229" s="130">
        <v>2.8999999999999998E-2</v>
      </c>
    </row>
    <row r="230" spans="2:17">
      <c r="B230" s="82" t="s">
        <v>240</v>
      </c>
      <c r="G230" s="127">
        <f>IFERROR(G226/G227,)</f>
        <v>0</v>
      </c>
      <c r="H230" s="127">
        <f>IFERROR(H226/H227,)</f>
        <v>465.59516274358839</v>
      </c>
      <c r="I230" s="83">
        <f>IFERROR(I226*4/3/I227,)</f>
        <v>914.76955824271079</v>
      </c>
      <c r="J230" s="9">
        <f>I230</f>
        <v>914.76955824271079</v>
      </c>
      <c r="K230" s="9">
        <f>J230</f>
        <v>914.76955824271079</v>
      </c>
      <c r="L230" s="9">
        <f>K230*(1+L231)</f>
        <v>947.70126233944836</v>
      </c>
      <c r="M230" s="9">
        <f t="shared" ref="M230:P230" si="131">L230*(1+M231)</f>
        <v>965.70758632389777</v>
      </c>
      <c r="N230" s="9">
        <f t="shared" si="131"/>
        <v>987.91886080934728</v>
      </c>
      <c r="O230" s="9">
        <f t="shared" si="131"/>
        <v>1019.5322643552464</v>
      </c>
      <c r="P230" s="9">
        <f t="shared" si="131"/>
        <v>1054.1963613433247</v>
      </c>
    </row>
    <row r="231" spans="2:17">
      <c r="B231" s="115" t="s">
        <v>178</v>
      </c>
      <c r="H231" s="377"/>
      <c r="I231" s="378"/>
      <c r="J231" s="377"/>
      <c r="K231" s="148">
        <f>K230/H230-1</f>
        <v>0.96473166270090904</v>
      </c>
      <c r="L231" s="148">
        <v>3.6000000000000004E-2</v>
      </c>
      <c r="M231" s="148">
        <v>1.9E-2</v>
      </c>
      <c r="N231" s="130">
        <v>2.3E-2</v>
      </c>
      <c r="O231" s="130">
        <v>3.2000000000000001E-2</v>
      </c>
      <c r="P231" s="130">
        <v>3.4000000000000002E-2</v>
      </c>
    </row>
    <row r="232" spans="2:17">
      <c r="B232" s="89" t="s">
        <v>101</v>
      </c>
      <c r="E232" s="9">
        <v>0</v>
      </c>
      <c r="F232" s="9">
        <v>0</v>
      </c>
      <c r="G232" s="9">
        <v>310.19936736279993</v>
      </c>
      <c r="H232" s="377">
        <v>273.46833688722052</v>
      </c>
      <c r="I232" s="378">
        <f>K232*3/4</f>
        <v>222.53485914197569</v>
      </c>
      <c r="J232" s="377">
        <f>K232-I232</f>
        <v>74.178286380658562</v>
      </c>
      <c r="K232" s="377">
        <f>H232*(1+K233)</f>
        <v>296.71314552263425</v>
      </c>
      <c r="L232" s="377">
        <f>K232*(1+L233)</f>
        <v>301.4605558509964</v>
      </c>
      <c r="M232" s="377">
        <f t="shared" ref="M232:P232" si="132">L232*(1+M233)</f>
        <v>302.66639807440038</v>
      </c>
      <c r="N232" s="9">
        <f t="shared" si="132"/>
        <v>307.50906044359078</v>
      </c>
      <c r="O232" s="9">
        <f t="shared" si="132"/>
        <v>313.351732592019</v>
      </c>
      <c r="P232" s="9">
        <f t="shared" si="132"/>
        <v>320.55882244163541</v>
      </c>
    </row>
    <row r="233" spans="2:17">
      <c r="B233" s="110" t="s">
        <v>178</v>
      </c>
      <c r="C233" s="98"/>
      <c r="D233" s="85"/>
      <c r="E233" s="85"/>
      <c r="F233" s="85"/>
      <c r="G233" s="85"/>
      <c r="H233" s="383"/>
      <c r="I233" s="384"/>
      <c r="J233" s="383"/>
      <c r="K233" s="389">
        <v>8.5000000000000006E-2</v>
      </c>
      <c r="L233" s="389">
        <v>1.6E-2</v>
      </c>
      <c r="M233" s="389">
        <v>4.0000000000000001E-3</v>
      </c>
      <c r="N233" s="112">
        <v>1.6E-2</v>
      </c>
      <c r="O233" s="112">
        <v>1.9E-2</v>
      </c>
      <c r="P233" s="112">
        <v>2.3E-2</v>
      </c>
      <c r="Q233" s="85"/>
    </row>
    <row r="234" spans="2:17">
      <c r="H234" s="377"/>
      <c r="I234" s="377"/>
      <c r="J234" s="377"/>
      <c r="K234" s="377"/>
      <c r="L234" s="377"/>
      <c r="M234" s="377"/>
    </row>
    <row r="235" spans="2:17">
      <c r="B235" s="16" t="s">
        <v>326</v>
      </c>
      <c r="H235" s="377"/>
      <c r="I235" s="377"/>
      <c r="J235" s="377"/>
      <c r="K235" s="377"/>
      <c r="L235" s="377"/>
      <c r="M235" s="377"/>
    </row>
    <row r="236" spans="2:17">
      <c r="B236" s="85"/>
      <c r="C236" s="98"/>
      <c r="D236" s="85"/>
      <c r="E236" s="85"/>
      <c r="F236" s="85"/>
      <c r="G236" s="85"/>
      <c r="H236" s="383"/>
      <c r="I236" s="393"/>
      <c r="J236" s="393"/>
      <c r="K236" s="393"/>
      <c r="L236" s="393"/>
      <c r="M236" s="393"/>
      <c r="N236" s="133"/>
      <c r="O236" s="133"/>
      <c r="P236" s="133"/>
      <c r="Q236" s="85"/>
    </row>
    <row r="237" spans="2:17">
      <c r="B237" s="9" t="s">
        <v>327</v>
      </c>
      <c r="E237" s="9">
        <f t="shared" ref="E237:P237" si="133">E238+E242</f>
        <v>3448.091688</v>
      </c>
      <c r="F237" s="9">
        <f t="shared" si="133"/>
        <v>3822.609053000001</v>
      </c>
      <c r="G237" s="9">
        <f t="shared" si="133"/>
        <v>7210.6572875485699</v>
      </c>
      <c r="H237" s="377">
        <f t="shared" si="133"/>
        <v>10811.972896306614</v>
      </c>
      <c r="I237" s="402">
        <f t="shared" si="133"/>
        <v>12716.939292238379</v>
      </c>
      <c r="J237" s="377">
        <f t="shared" si="133"/>
        <v>4238.9797640794604</v>
      </c>
      <c r="K237" s="377">
        <f t="shared" si="133"/>
        <v>16955.919056317842</v>
      </c>
      <c r="L237" s="377">
        <f t="shared" si="133"/>
        <v>17506.938537091948</v>
      </c>
      <c r="M237" s="377">
        <f t="shared" si="133"/>
        <v>17794.312442093655</v>
      </c>
      <c r="N237" s="9">
        <f t="shared" si="133"/>
        <v>18182.376780769609</v>
      </c>
      <c r="O237" s="9">
        <f t="shared" si="133"/>
        <v>18724.202319800388</v>
      </c>
      <c r="P237" s="9">
        <f t="shared" si="133"/>
        <v>19326.326899000931</v>
      </c>
      <c r="Q237" s="9">
        <f>P237*(1+DCF!$F$44)</f>
        <v>19519.59016799094</v>
      </c>
    </row>
    <row r="238" spans="2:17">
      <c r="B238" s="89" t="s">
        <v>79</v>
      </c>
      <c r="E238" s="9">
        <v>3448.091688</v>
      </c>
      <c r="F238" s="9">
        <v>3822.609053000001</v>
      </c>
      <c r="G238" s="9">
        <v>6698.6572875485699</v>
      </c>
      <c r="H238" s="377">
        <v>8581.4869723066131</v>
      </c>
      <c r="I238" s="378">
        <f>I239*I240*3/4</f>
        <v>10489.67909523838</v>
      </c>
      <c r="J238" s="377">
        <f>J239*J240/4</f>
        <v>3496.5596984127933</v>
      </c>
      <c r="K238" s="385">
        <f>SUM(I238:J238)</f>
        <v>13986.238793651173</v>
      </c>
      <c r="L238" s="377">
        <f>L239*L240</f>
        <v>14489.743390222617</v>
      </c>
      <c r="M238" s="377">
        <f>M239*M240</f>
        <v>14765.048514636845</v>
      </c>
      <c r="N238" s="9">
        <f>N239*N240</f>
        <v>15104.644630473491</v>
      </c>
      <c r="O238" s="9">
        <f>O239*O240</f>
        <v>15587.993258648643</v>
      </c>
      <c r="P238" s="9">
        <f>P239*P240</f>
        <v>16117.985029442696</v>
      </c>
    </row>
    <row r="239" spans="2:17">
      <c r="B239" s="82" t="s">
        <v>239</v>
      </c>
      <c r="D239" s="10"/>
      <c r="E239" s="9">
        <v>25</v>
      </c>
      <c r="F239" s="9">
        <v>24</v>
      </c>
      <c r="G239" s="9">
        <v>48.670833333333334</v>
      </c>
      <c r="H239" s="377">
        <v>75.8</v>
      </c>
      <c r="I239" s="378">
        <v>116</v>
      </c>
      <c r="J239" s="377">
        <f>I239</f>
        <v>116</v>
      </c>
      <c r="K239" s="377">
        <f>J239</f>
        <v>116</v>
      </c>
      <c r="L239" s="377">
        <f>K239</f>
        <v>116</v>
      </c>
      <c r="M239" s="377">
        <f>L239</f>
        <v>116</v>
      </c>
      <c r="N239" s="9">
        <f t="shared" ref="N239:P239" si="134">M239</f>
        <v>116</v>
      </c>
      <c r="O239" s="9">
        <f t="shared" si="134"/>
        <v>116</v>
      </c>
      <c r="P239" s="9">
        <f t="shared" si="134"/>
        <v>116</v>
      </c>
    </row>
    <row r="240" spans="2:17">
      <c r="B240" s="82" t="s">
        <v>240</v>
      </c>
      <c r="E240" s="127">
        <f>IFERROR(E238/E239,)</f>
        <v>137.92366752000001</v>
      </c>
      <c r="F240" s="127">
        <f>IFERROR(F238/F239,)</f>
        <v>159.27537720833337</v>
      </c>
      <c r="G240" s="127">
        <f>IFERROR(G238/G239,)</f>
        <v>137.63185934523216</v>
      </c>
      <c r="H240" s="390">
        <f>IFERROR(H238/H239,)</f>
        <v>113.21222918610307</v>
      </c>
      <c r="I240" s="378">
        <f>J240</f>
        <v>120.57102408319977</v>
      </c>
      <c r="J240" s="377">
        <f>K240</f>
        <v>120.57102408319977</v>
      </c>
      <c r="K240" s="390">
        <f>H240*(1+K241)</f>
        <v>120.57102408319977</v>
      </c>
      <c r="L240" s="377">
        <f>K240*(1+L241)</f>
        <v>124.91158095019497</v>
      </c>
      <c r="M240" s="377">
        <f t="shared" ref="M240:P240" si="135">L240*(1+M241)</f>
        <v>127.28490098824867</v>
      </c>
      <c r="N240" s="9">
        <f t="shared" si="135"/>
        <v>130.21245371097837</v>
      </c>
      <c r="O240" s="9">
        <f t="shared" si="135"/>
        <v>134.37925222972967</v>
      </c>
      <c r="P240" s="9">
        <f t="shared" si="135"/>
        <v>138.94814680554049</v>
      </c>
    </row>
    <row r="241" spans="2:17">
      <c r="B241" s="115" t="s">
        <v>178</v>
      </c>
      <c r="F241" s="10">
        <f>F240/E240-1</f>
        <v>0.15480816361874372</v>
      </c>
      <c r="G241" s="10">
        <f>G240/F240-1</f>
        <v>-0.13588740609159777</v>
      </c>
      <c r="H241" s="144"/>
      <c r="I241" s="378"/>
      <c r="J241" s="377"/>
      <c r="K241" s="148">
        <v>6.5000000000000002E-2</v>
      </c>
      <c r="L241" s="148">
        <v>3.6000000000000004E-2</v>
      </c>
      <c r="M241" s="148">
        <v>1.9E-2</v>
      </c>
      <c r="N241" s="130">
        <v>2.3E-2</v>
      </c>
      <c r="O241" s="130">
        <v>3.2000000000000001E-2</v>
      </c>
      <c r="P241" s="130">
        <v>3.4000000000000002E-2</v>
      </c>
    </row>
    <row r="242" spans="2:17">
      <c r="B242" s="89" t="s">
        <v>101</v>
      </c>
      <c r="E242" s="9">
        <v>0</v>
      </c>
      <c r="F242" s="9">
        <v>0</v>
      </c>
      <c r="G242" s="9">
        <v>512</v>
      </c>
      <c r="H242" s="377">
        <v>2230.4859240000001</v>
      </c>
      <c r="I242" s="378">
        <v>2227.2601970000001</v>
      </c>
      <c r="J242" s="377">
        <f>I242/3</f>
        <v>742.42006566666669</v>
      </c>
      <c r="K242" s="385">
        <f>SUM(I242:J242)</f>
        <v>2969.6802626666667</v>
      </c>
      <c r="L242" s="377">
        <f>K242*(1+L243)</f>
        <v>3017.1951468693333</v>
      </c>
      <c r="M242" s="377">
        <f t="shared" ref="M242:P242" si="136">L242*(1+M243)</f>
        <v>3029.2639274568105</v>
      </c>
      <c r="N242" s="9">
        <f t="shared" si="136"/>
        <v>3077.7321502961195</v>
      </c>
      <c r="O242" s="9">
        <f t="shared" si="136"/>
        <v>3136.2090611517456</v>
      </c>
      <c r="P242" s="9">
        <f t="shared" si="136"/>
        <v>3208.3418695582354</v>
      </c>
    </row>
    <row r="243" spans="2:17">
      <c r="B243" s="110" t="s">
        <v>178</v>
      </c>
      <c r="C243" s="98"/>
      <c r="D243" s="85"/>
      <c r="E243" s="85"/>
      <c r="F243" s="85"/>
      <c r="G243" s="85"/>
      <c r="H243" s="383"/>
      <c r="I243" s="384"/>
      <c r="J243" s="383"/>
      <c r="K243" s="389">
        <f>K242/H242-1</f>
        <v>0.33140506770876477</v>
      </c>
      <c r="L243" s="389">
        <v>1.6E-2</v>
      </c>
      <c r="M243" s="389">
        <v>4.0000000000000001E-3</v>
      </c>
      <c r="N243" s="112">
        <v>1.6E-2</v>
      </c>
      <c r="O243" s="112">
        <v>1.9E-2</v>
      </c>
      <c r="P243" s="112">
        <v>2.3E-2</v>
      </c>
      <c r="Q243" s="85"/>
    </row>
    <row r="244" spans="2:17">
      <c r="H244" s="377"/>
      <c r="I244" s="377"/>
      <c r="J244" s="377"/>
      <c r="K244" s="377"/>
      <c r="L244" s="377"/>
      <c r="M244" s="377"/>
    </row>
    <row r="245" spans="2:17">
      <c r="B245" s="16" t="s">
        <v>328</v>
      </c>
      <c r="H245" s="377"/>
      <c r="I245" s="377"/>
      <c r="J245" s="377"/>
      <c r="K245" s="377"/>
      <c r="L245" s="377"/>
      <c r="M245" s="377"/>
    </row>
    <row r="246" spans="2:17">
      <c r="B246" s="85"/>
      <c r="C246" s="98"/>
      <c r="D246" s="85"/>
      <c r="E246" s="85"/>
      <c r="F246" s="85"/>
      <c r="G246" s="85"/>
      <c r="H246" s="383"/>
      <c r="I246" s="393"/>
      <c r="J246" s="393"/>
      <c r="K246" s="393"/>
      <c r="L246" s="393"/>
      <c r="M246" s="393"/>
      <c r="N246" s="133"/>
      <c r="O246" s="133"/>
      <c r="P246" s="133"/>
      <c r="Q246" s="85"/>
    </row>
    <row r="247" spans="2:17">
      <c r="B247" s="9" t="s">
        <v>329</v>
      </c>
      <c r="E247" s="9">
        <f t="shared" ref="E247:I247" si="137">E248+E253</f>
        <v>3217.369627</v>
      </c>
      <c r="F247" s="9">
        <f t="shared" si="137"/>
        <v>5287.3490994271651</v>
      </c>
      <c r="G247" s="9">
        <f t="shared" si="137"/>
        <v>4150.7639649787361</v>
      </c>
      <c r="H247" s="377">
        <f t="shared" si="137"/>
        <v>2515.8949115681071</v>
      </c>
      <c r="I247" s="402">
        <f t="shared" si="137"/>
        <v>864.4604519963741</v>
      </c>
      <c r="J247" s="377">
        <f>J248+J253</f>
        <v>330.63013544283291</v>
      </c>
      <c r="K247" s="377">
        <f>K248+K253</f>
        <v>1195.090587439207</v>
      </c>
      <c r="L247" s="377">
        <f t="shared" ref="L247:P247" si="138">L248+L253</f>
        <v>0</v>
      </c>
      <c r="M247" s="377">
        <f t="shared" si="138"/>
        <v>0</v>
      </c>
      <c r="N247" s="9">
        <f t="shared" si="138"/>
        <v>0</v>
      </c>
      <c r="O247" s="9">
        <f t="shared" si="138"/>
        <v>0</v>
      </c>
      <c r="P247" s="9">
        <f t="shared" si="138"/>
        <v>0</v>
      </c>
      <c r="Q247" s="9">
        <f>P247*(1+DCF!$F$44)</f>
        <v>0</v>
      </c>
    </row>
    <row r="248" spans="2:17">
      <c r="B248" s="89" t="s">
        <v>79</v>
      </c>
      <c r="E248" s="9">
        <v>2402.6106850000001</v>
      </c>
      <c r="F248" s="9">
        <v>3803.9684628060777</v>
      </c>
      <c r="G248" s="9">
        <v>2824.5344750382865</v>
      </c>
      <c r="H248" s="377">
        <v>1889.926081039504</v>
      </c>
      <c r="I248" s="378">
        <v>382.28986299637404</v>
      </c>
      <c r="J248" s="377">
        <f>J249*J251/3</f>
        <v>169.90660577616623</v>
      </c>
      <c r="K248" s="377">
        <f>SUM(I248:J248)</f>
        <v>552.19646877254024</v>
      </c>
      <c r="L248" s="377">
        <f t="shared" ref="L248:P248" si="139">L249*L251</f>
        <v>0</v>
      </c>
      <c r="M248" s="377">
        <f t="shared" si="139"/>
        <v>0</v>
      </c>
      <c r="N248" s="9">
        <f t="shared" si="139"/>
        <v>0</v>
      </c>
      <c r="O248" s="9">
        <f t="shared" si="139"/>
        <v>0</v>
      </c>
      <c r="P248" s="9">
        <f t="shared" si="139"/>
        <v>0</v>
      </c>
    </row>
    <row r="249" spans="2:17">
      <c r="B249" s="82" t="s">
        <v>239</v>
      </c>
      <c r="D249" s="10"/>
      <c r="E249" s="9">
        <v>20</v>
      </c>
      <c r="F249" s="9">
        <v>20</v>
      </c>
      <c r="G249" s="9">
        <v>20</v>
      </c>
      <c r="H249" s="377">
        <v>20</v>
      </c>
      <c r="I249" s="378">
        <v>12.045553599494278</v>
      </c>
      <c r="J249" s="377">
        <f>I249</f>
        <v>12.045553599494278</v>
      </c>
      <c r="K249" s="377">
        <v>0</v>
      </c>
      <c r="L249" s="377">
        <v>0</v>
      </c>
      <c r="M249" s="377">
        <v>0</v>
      </c>
      <c r="N249" s="9">
        <v>0</v>
      </c>
      <c r="O249" s="9">
        <v>0</v>
      </c>
      <c r="P249" s="9">
        <v>0</v>
      </c>
      <c r="Q249" s="9">
        <v>0</v>
      </c>
    </row>
    <row r="250" spans="2:17">
      <c r="B250" s="115" t="s">
        <v>176</v>
      </c>
      <c r="F250" s="9">
        <f>F249-E249</f>
        <v>0</v>
      </c>
      <c r="G250" s="9">
        <f>G249-F249</f>
        <v>0</v>
      </c>
      <c r="H250" s="377"/>
      <c r="I250" s="378"/>
      <c r="J250" s="377"/>
      <c r="K250" s="385">
        <v>0</v>
      </c>
      <c r="L250" s="385"/>
      <c r="M250" s="385"/>
      <c r="N250" s="109"/>
      <c r="O250" s="109"/>
      <c r="P250" s="109"/>
    </row>
    <row r="251" spans="2:17">
      <c r="B251" s="82" t="s">
        <v>240</v>
      </c>
      <c r="E251" s="127">
        <f t="shared" ref="E251:F251" si="140">IFERROR(E248/E249,)</f>
        <v>120.13053425000001</v>
      </c>
      <c r="F251" s="127">
        <f t="shared" si="140"/>
        <v>190.19842314030387</v>
      </c>
      <c r="G251" s="127">
        <f>IFERROR(G248/G249,)</f>
        <v>141.22672375191434</v>
      </c>
      <c r="H251" s="390">
        <f>IFERROR(H248/H249,)</f>
        <v>94.496304051975201</v>
      </c>
      <c r="I251" s="378">
        <f>IFERROR(I248*4/3/I249,)</f>
        <v>42.316014213734341</v>
      </c>
      <c r="J251" s="377">
        <f>I251</f>
        <v>42.316014213734341</v>
      </c>
      <c r="K251" s="390"/>
      <c r="L251" s="390"/>
      <c r="M251" s="390"/>
      <c r="N251" s="127"/>
      <c r="O251" s="127"/>
      <c r="P251" s="127"/>
    </row>
    <row r="252" spans="2:17">
      <c r="B252" s="115" t="s">
        <v>178</v>
      </c>
      <c r="F252" s="10">
        <f>F251/E251-1</f>
        <v>0.58326460735193031</v>
      </c>
      <c r="G252" s="10">
        <f>G251/F251-1</f>
        <v>-0.25747689481244818</v>
      </c>
      <c r="H252" s="144"/>
      <c r="I252" s="378"/>
      <c r="J252" s="377"/>
      <c r="K252" s="148"/>
      <c r="L252" s="148"/>
      <c r="M252" s="148"/>
      <c r="N252" s="130"/>
      <c r="O252" s="130"/>
      <c r="P252" s="130"/>
    </row>
    <row r="253" spans="2:17">
      <c r="B253" s="89" t="s">
        <v>101</v>
      </c>
      <c r="E253" s="9">
        <v>814.75894200000005</v>
      </c>
      <c r="F253" s="9">
        <v>1483.3806366210874</v>
      </c>
      <c r="G253" s="9">
        <v>1326.2294899404496</v>
      </c>
      <c r="H253" s="377">
        <v>625.96883052860312</v>
      </c>
      <c r="I253" s="378">
        <v>482.17058900000001</v>
      </c>
      <c r="J253" s="377">
        <f>I253/3</f>
        <v>160.72352966666668</v>
      </c>
      <c r="K253" s="385">
        <f>SUM(I253:J253)</f>
        <v>642.89411866666671</v>
      </c>
      <c r="L253" s="377"/>
      <c r="M253" s="377"/>
    </row>
    <row r="254" spans="2:17">
      <c r="B254" s="110" t="s">
        <v>178</v>
      </c>
      <c r="C254" s="98"/>
      <c r="D254" s="85"/>
      <c r="E254" s="85"/>
      <c r="F254" s="107">
        <f>F253/E253-1</f>
        <v>0.82063744275062822</v>
      </c>
      <c r="G254" s="107">
        <f>G253/F253-1</f>
        <v>-0.10594121481766394</v>
      </c>
      <c r="H254" s="388">
        <f>H253/G253-1</f>
        <v>-0.52800866269629521</v>
      </c>
      <c r="I254" s="384"/>
      <c r="J254" s="383"/>
      <c r="K254" s="389"/>
      <c r="L254" s="389"/>
      <c r="M254" s="389"/>
      <c r="N254" s="112"/>
      <c r="O254" s="112"/>
      <c r="P254" s="112"/>
      <c r="Q254" s="85"/>
    </row>
    <row r="255" spans="2:17">
      <c r="G255" s="377"/>
      <c r="H255" s="377"/>
      <c r="I255" s="377"/>
      <c r="J255" s="377"/>
      <c r="K255" s="377"/>
      <c r="L255" s="377"/>
      <c r="M255" s="377"/>
      <c r="N255" s="377"/>
    </row>
    <row r="256" spans="2:17">
      <c r="B256" s="16" t="s">
        <v>330</v>
      </c>
      <c r="G256" s="377"/>
      <c r="H256" s="377"/>
      <c r="I256" s="377"/>
      <c r="J256" s="377"/>
      <c r="K256" s="377"/>
      <c r="L256" s="377"/>
      <c r="M256" s="377"/>
      <c r="N256" s="377"/>
    </row>
    <row r="257" spans="2:17">
      <c r="B257" s="85"/>
      <c r="C257" s="98"/>
      <c r="D257" s="85"/>
      <c r="E257" s="85"/>
      <c r="F257" s="85"/>
      <c r="G257" s="383"/>
      <c r="H257" s="383"/>
      <c r="I257" s="393"/>
      <c r="J257" s="393"/>
      <c r="K257" s="393"/>
      <c r="L257" s="393"/>
      <c r="M257" s="393"/>
      <c r="N257" s="393"/>
      <c r="O257" s="133"/>
      <c r="P257" s="133"/>
      <c r="Q257" s="85"/>
    </row>
    <row r="258" spans="2:17">
      <c r="B258" s="9" t="s">
        <v>331</v>
      </c>
      <c r="E258" s="9">
        <f t="shared" ref="E258:P258" si="141">E259+E263</f>
        <v>0</v>
      </c>
      <c r="F258" s="9">
        <f t="shared" si="141"/>
        <v>974.85024012979966</v>
      </c>
      <c r="G258" s="377">
        <f t="shared" si="141"/>
        <v>822.95655302823059</v>
      </c>
      <c r="H258" s="377">
        <f t="shared" si="141"/>
        <v>342.87138798428094</v>
      </c>
      <c r="I258" s="402">
        <f t="shared" si="141"/>
        <v>271.46743892354095</v>
      </c>
      <c r="J258" s="377">
        <f t="shared" si="141"/>
        <v>90.489146307846966</v>
      </c>
      <c r="K258" s="377">
        <f t="shared" si="141"/>
        <v>361.95658523138786</v>
      </c>
      <c r="L258" s="377">
        <f t="shared" si="141"/>
        <v>373.21834819018096</v>
      </c>
      <c r="M258" s="377">
        <f t="shared" si="141"/>
        <v>380.73692638226578</v>
      </c>
      <c r="N258" s="377">
        <f t="shared" si="141"/>
        <v>389.93156357536463</v>
      </c>
      <c r="O258" s="9">
        <f t="shared" si="141"/>
        <v>402.04941909207764</v>
      </c>
      <c r="P258" s="9">
        <f t="shared" si="141"/>
        <v>415.25655778596553</v>
      </c>
      <c r="Q258" s="9">
        <f>P258*(1+DCF!$F$44)</f>
        <v>419.40912336382519</v>
      </c>
    </row>
    <row r="259" spans="2:17">
      <c r="B259" s="89" t="s">
        <v>79</v>
      </c>
      <c r="E259" s="9">
        <v>0</v>
      </c>
      <c r="F259" s="9">
        <v>738.63233353152282</v>
      </c>
      <c r="G259" s="377">
        <v>582.180868156722</v>
      </c>
      <c r="H259" s="377">
        <v>260.78310665424692</v>
      </c>
      <c r="I259" s="378">
        <f>I260*I261*3/4</f>
        <v>208.30050644007974</v>
      </c>
      <c r="J259" s="377">
        <f>J260*J261/4</f>
        <v>69.433502146693243</v>
      </c>
      <c r="K259" s="377">
        <f t="shared" ref="K259:P259" si="142">K260*K261</f>
        <v>277.73400858677297</v>
      </c>
      <c r="L259" s="377">
        <f t="shared" si="142"/>
        <v>287.73243289589681</v>
      </c>
      <c r="M259" s="377">
        <f t="shared" si="142"/>
        <v>293.19934912091878</v>
      </c>
      <c r="N259" s="377">
        <f t="shared" si="142"/>
        <v>299.94293415069995</v>
      </c>
      <c r="O259" s="9">
        <f t="shared" si="142"/>
        <v>309.54110804352234</v>
      </c>
      <c r="P259" s="9">
        <f t="shared" si="142"/>
        <v>320.06550571700211</v>
      </c>
    </row>
    <row r="260" spans="2:17">
      <c r="B260" s="82" t="s">
        <v>239</v>
      </c>
      <c r="D260" s="10"/>
      <c r="E260" s="9">
        <v>0</v>
      </c>
      <c r="F260" s="9">
        <v>5</v>
      </c>
      <c r="G260" s="377">
        <v>5</v>
      </c>
      <c r="H260" s="377">
        <v>5</v>
      </c>
      <c r="I260" s="378">
        <f>H260</f>
        <v>5</v>
      </c>
      <c r="J260" s="377">
        <f>I260</f>
        <v>5</v>
      </c>
      <c r="K260" s="377">
        <f>J260</f>
        <v>5</v>
      </c>
      <c r="L260" s="377">
        <f>K260</f>
        <v>5</v>
      </c>
      <c r="M260" s="377">
        <f t="shared" ref="M260:P260" si="143">L260</f>
        <v>5</v>
      </c>
      <c r="N260" s="377">
        <f t="shared" si="143"/>
        <v>5</v>
      </c>
      <c r="O260" s="9">
        <f t="shared" si="143"/>
        <v>5</v>
      </c>
      <c r="P260" s="9">
        <f t="shared" si="143"/>
        <v>5</v>
      </c>
    </row>
    <row r="261" spans="2:17">
      <c r="B261" s="82" t="s">
        <v>240</v>
      </c>
      <c r="E261" s="127">
        <f>IFERROR(E259/E260,)</f>
        <v>0</v>
      </c>
      <c r="F261" s="127">
        <f>IFERROR(F259/F260,)</f>
        <v>147.72646670630456</v>
      </c>
      <c r="G261" s="390">
        <f>IFERROR(G259/G260,)</f>
        <v>116.4361736313444</v>
      </c>
      <c r="H261" s="390">
        <f>IFERROR(H259/H260,)</f>
        <v>52.156621330849383</v>
      </c>
      <c r="I261" s="378">
        <f>K261</f>
        <v>55.54680171735459</v>
      </c>
      <c r="J261" s="377">
        <f>K261</f>
        <v>55.54680171735459</v>
      </c>
      <c r="K261" s="390">
        <f>H261*(1+K262)</f>
        <v>55.54680171735459</v>
      </c>
      <c r="L261" s="390">
        <f>K261*(1+L262)</f>
        <v>57.546486579179359</v>
      </c>
      <c r="M261" s="390">
        <f t="shared" ref="M261:P261" si="144">L261*(1+M262)</f>
        <v>58.639869824183762</v>
      </c>
      <c r="N261" s="390">
        <f t="shared" si="144"/>
        <v>59.988586830139987</v>
      </c>
      <c r="O261" s="127">
        <f t="shared" si="144"/>
        <v>61.908221608704466</v>
      </c>
      <c r="P261" s="127">
        <f t="shared" si="144"/>
        <v>64.013101143400419</v>
      </c>
    </row>
    <row r="262" spans="2:17">
      <c r="B262" s="115" t="s">
        <v>178</v>
      </c>
      <c r="F262" s="10"/>
      <c r="G262" s="144">
        <f>G261/F261-1</f>
        <v>-0.21181237033962563</v>
      </c>
      <c r="H262" s="144"/>
      <c r="I262" s="378"/>
      <c r="J262" s="377"/>
      <c r="K262" s="148">
        <v>6.5000000000000002E-2</v>
      </c>
      <c r="L262" s="148">
        <v>3.6000000000000004E-2</v>
      </c>
      <c r="M262" s="148">
        <v>1.9E-2</v>
      </c>
      <c r="N262" s="148">
        <v>2.3E-2</v>
      </c>
      <c r="O262" s="130">
        <v>3.2000000000000001E-2</v>
      </c>
      <c r="P262" s="130">
        <v>3.4000000000000002E-2</v>
      </c>
    </row>
    <row r="263" spans="2:17">
      <c r="B263" s="89" t="s">
        <v>101</v>
      </c>
      <c r="E263" s="9">
        <v>0</v>
      </c>
      <c r="F263" s="9">
        <v>236.21790659827687</v>
      </c>
      <c r="G263" s="377">
        <v>240.77568487150859</v>
      </c>
      <c r="H263" s="377">
        <v>82.088281330034036</v>
      </c>
      <c r="I263" s="378">
        <f>K263*3/4</f>
        <v>63.166932483461188</v>
      </c>
      <c r="J263" s="377">
        <f>K263-I263</f>
        <v>21.055644161153729</v>
      </c>
      <c r="K263" s="385">
        <f>H263*(1+K264)</f>
        <v>84.222576644614918</v>
      </c>
      <c r="L263" s="377">
        <f>K263*(1+L264)</f>
        <v>85.48591529428414</v>
      </c>
      <c r="M263" s="377">
        <f t="shared" ref="M263:P263" si="145">L263*(1+M264)</f>
        <v>87.537577261346968</v>
      </c>
      <c r="N263" s="377">
        <f t="shared" si="145"/>
        <v>89.98862942466468</v>
      </c>
      <c r="O263" s="9">
        <f t="shared" si="145"/>
        <v>92.508311048555299</v>
      </c>
      <c r="P263" s="9">
        <f t="shared" si="145"/>
        <v>95.191052068963401</v>
      </c>
    </row>
    <row r="264" spans="2:17">
      <c r="B264" s="110" t="s">
        <v>178</v>
      </c>
      <c r="C264" s="98"/>
      <c r="D264" s="85"/>
      <c r="E264" s="85"/>
      <c r="F264" s="107"/>
      <c r="G264" s="388">
        <f>G263/F263-1</f>
        <v>1.9294804271476673E-2</v>
      </c>
      <c r="H264" s="388"/>
      <c r="I264" s="384"/>
      <c r="J264" s="383"/>
      <c r="K264" s="389">
        <v>2.6000000000000002E-2</v>
      </c>
      <c r="L264" s="389">
        <v>1.4999999999999999E-2</v>
      </c>
      <c r="M264" s="389">
        <v>2.4E-2</v>
      </c>
      <c r="N264" s="389">
        <v>2.7999999999999997E-2</v>
      </c>
      <c r="O264" s="112">
        <v>2.7999999999999997E-2</v>
      </c>
      <c r="P264" s="112">
        <v>2.8999999999999998E-2</v>
      </c>
      <c r="Q264" s="85"/>
    </row>
    <row r="265" spans="2:17">
      <c r="G265" s="377"/>
      <c r="H265" s="377"/>
      <c r="I265" s="377"/>
      <c r="J265" s="377"/>
      <c r="K265" s="377"/>
      <c r="L265" s="377"/>
      <c r="M265" s="377"/>
      <c r="N265" s="377"/>
    </row>
    <row r="266" spans="2:17">
      <c r="G266" s="377"/>
      <c r="H266" s="377"/>
      <c r="I266" s="377"/>
      <c r="J266" s="377"/>
      <c r="K266" s="377"/>
      <c r="L266" s="377"/>
      <c r="M266" s="377"/>
      <c r="N266" s="377"/>
    </row>
    <row r="267" spans="2:17">
      <c r="G267" s="377"/>
      <c r="H267" s="377"/>
      <c r="I267" s="377"/>
      <c r="J267" s="377"/>
      <c r="K267" s="377"/>
      <c r="L267" s="377"/>
      <c r="M267" s="377"/>
      <c r="N267" s="377"/>
    </row>
    <row r="268" spans="2:17">
      <c r="G268" s="377"/>
      <c r="H268" s="377"/>
      <c r="I268" s="377"/>
      <c r="J268" s="377"/>
      <c r="K268" s="377"/>
      <c r="L268" s="377"/>
      <c r="M268" s="377"/>
      <c r="N268" s="377"/>
    </row>
    <row r="269" spans="2:17">
      <c r="G269" s="377"/>
      <c r="H269" s="377"/>
      <c r="I269" s="377"/>
      <c r="J269" s="377"/>
      <c r="K269" s="377"/>
      <c r="L269" s="377"/>
      <c r="M269" s="377"/>
      <c r="N269" s="377"/>
    </row>
    <row r="270" spans="2:17">
      <c r="G270" s="377"/>
      <c r="H270" s="377"/>
      <c r="I270" s="377"/>
      <c r="J270" s="377"/>
      <c r="K270" s="377"/>
      <c r="L270" s="377"/>
      <c r="M270" s="377"/>
      <c r="N270" s="377"/>
    </row>
    <row r="271" spans="2:17">
      <c r="G271" s="377"/>
      <c r="H271" s="377"/>
      <c r="I271" s="377"/>
      <c r="J271" s="377"/>
      <c r="K271" s="377"/>
      <c r="L271" s="377"/>
      <c r="M271" s="377"/>
      <c r="N271" s="377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5BA4-B680-46C7-8F1F-9930C66F008A}">
  <sheetPr>
    <tabColor rgb="FF92D050"/>
  </sheetPr>
  <dimension ref="A1:S465"/>
  <sheetViews>
    <sheetView zoomScale="70" zoomScaleNormal="70" workbookViewId="0">
      <pane xSplit="3" ySplit="4" topLeftCell="D5" activePane="bottomRight" state="frozen"/>
      <selection activeCell="K33" sqref="K33:O37"/>
      <selection pane="topRight" activeCell="K33" sqref="K33:O37"/>
      <selection pane="bottomLeft" activeCell="K33" sqref="K33:O37"/>
      <selection pane="bottomRight" activeCell="D5" sqref="D5"/>
    </sheetView>
  </sheetViews>
  <sheetFormatPr defaultRowHeight="13.2" outlineLevelRow="1" outlineLevelCol="1"/>
  <cols>
    <col min="1" max="1" width="2.6640625" style="154" customWidth="1"/>
    <col min="2" max="2" width="29.21875" style="154" customWidth="1"/>
    <col min="3" max="3" width="20.88671875" style="154" customWidth="1"/>
    <col min="4" max="4" width="22.5546875" style="154" customWidth="1"/>
    <col min="5" max="5" width="15.88671875" style="154" customWidth="1"/>
    <col min="6" max="9" width="15.33203125" style="154" customWidth="1"/>
    <col min="10" max="10" width="15.33203125" style="166" customWidth="1"/>
    <col min="11" max="11" width="15.33203125" style="154" customWidth="1" outlineLevel="1"/>
    <col min="12" max="17" width="15.33203125" style="154" customWidth="1"/>
    <col min="18" max="16384" width="8.88671875" style="154"/>
  </cols>
  <sheetData>
    <row r="1" spans="2:17">
      <c r="B1" s="150" t="s">
        <v>0</v>
      </c>
      <c r="C1" s="151"/>
      <c r="D1" s="152"/>
      <c r="E1" s="150"/>
      <c r="F1" s="150"/>
      <c r="G1" s="150"/>
      <c r="H1" s="150"/>
      <c r="I1" s="150"/>
      <c r="J1" s="153"/>
      <c r="K1" s="150"/>
      <c r="L1" s="150"/>
      <c r="M1" s="150"/>
      <c r="N1" s="150"/>
      <c r="O1" s="150"/>
      <c r="P1" s="150"/>
      <c r="Q1" s="150"/>
    </row>
    <row r="2" spans="2:17">
      <c r="B2" s="151" t="s">
        <v>332</v>
      </c>
      <c r="C2" s="151"/>
      <c r="D2" s="151"/>
      <c r="E2" s="151"/>
      <c r="F2" s="151"/>
      <c r="G2" s="151"/>
      <c r="H2" s="151"/>
      <c r="I2" s="151"/>
      <c r="J2" s="155"/>
      <c r="K2" s="151"/>
      <c r="L2" s="151"/>
      <c r="M2" s="151"/>
      <c r="N2" s="151"/>
      <c r="O2" s="151"/>
      <c r="P2" s="151"/>
      <c r="Q2" s="151"/>
    </row>
    <row r="3" spans="2:17">
      <c r="B3" s="156"/>
      <c r="C3" s="156"/>
      <c r="D3" s="157"/>
      <c r="E3" s="157">
        <v>2018</v>
      </c>
      <c r="F3" s="157">
        <v>2019</v>
      </c>
      <c r="G3" s="157">
        <v>2020</v>
      </c>
      <c r="H3" s="157">
        <v>2021</v>
      </c>
      <c r="I3" s="157">
        <v>2022</v>
      </c>
      <c r="J3" s="158">
        <v>2022</v>
      </c>
      <c r="K3" s="157">
        <v>2022</v>
      </c>
      <c r="L3" s="157">
        <v>2023</v>
      </c>
      <c r="M3" s="157">
        <v>2024</v>
      </c>
      <c r="N3" s="157">
        <v>2025</v>
      </c>
      <c r="O3" s="157">
        <v>2026</v>
      </c>
      <c r="P3" s="157">
        <v>2027</v>
      </c>
      <c r="Q3" s="157" t="s">
        <v>3</v>
      </c>
    </row>
    <row r="4" spans="2:17">
      <c r="B4" s="159" t="s">
        <v>4</v>
      </c>
      <c r="C4" s="159"/>
      <c r="D4" s="160"/>
      <c r="E4" s="160" t="s">
        <v>5</v>
      </c>
      <c r="F4" s="160" t="s">
        <v>5</v>
      </c>
      <c r="G4" s="160" t="s">
        <v>5</v>
      </c>
      <c r="H4" s="160" t="s">
        <v>5</v>
      </c>
      <c r="I4" s="160" t="s">
        <v>6</v>
      </c>
      <c r="J4" s="161" t="s">
        <v>7</v>
      </c>
      <c r="K4" s="160" t="s">
        <v>5</v>
      </c>
      <c r="L4" s="160" t="s">
        <v>5</v>
      </c>
      <c r="M4" s="160" t="s">
        <v>5</v>
      </c>
      <c r="N4" s="160" t="s">
        <v>5</v>
      </c>
      <c r="O4" s="160" t="s">
        <v>5</v>
      </c>
      <c r="P4" s="160" t="s">
        <v>5</v>
      </c>
      <c r="Q4" s="160"/>
    </row>
    <row r="6" spans="2:17">
      <c r="B6" s="162" t="s">
        <v>333</v>
      </c>
      <c r="C6" s="162"/>
      <c r="D6" s="162"/>
      <c r="E6" s="162"/>
      <c r="F6" s="162"/>
      <c r="G6" s="162"/>
      <c r="H6" s="162"/>
      <c r="I6" s="162"/>
      <c r="J6" s="163"/>
      <c r="K6" s="162"/>
      <c r="L6" s="162"/>
      <c r="M6" s="162"/>
      <c r="N6" s="162"/>
      <c r="O6" s="162"/>
      <c r="P6" s="162"/>
      <c r="Q6" s="162"/>
    </row>
    <row r="7" spans="2:17">
      <c r="E7" s="164"/>
      <c r="F7" s="164">
        <v>0</v>
      </c>
      <c r="G7" s="164"/>
      <c r="H7" s="164"/>
      <c r="I7" s="165"/>
      <c r="K7" s="164"/>
      <c r="L7" s="164"/>
      <c r="M7" s="164"/>
      <c r="N7" s="164"/>
      <c r="O7" s="164"/>
      <c r="P7" s="164"/>
    </row>
    <row r="8" spans="2:17">
      <c r="B8" s="165" t="s">
        <v>9</v>
      </c>
      <c r="C8" s="165"/>
      <c r="D8" s="165"/>
      <c r="E8" s="165">
        <f>E9+E12</f>
        <v>728810.19300199999</v>
      </c>
      <c r="F8" s="165">
        <f t="shared" ref="F8:Q8" si="0">F9+F12</f>
        <v>854728.16145899985</v>
      </c>
      <c r="G8" s="165">
        <f t="shared" si="0"/>
        <v>883765.16891200002</v>
      </c>
      <c r="H8" s="165">
        <f t="shared" si="0"/>
        <v>920800.67520700023</v>
      </c>
      <c r="I8" s="165">
        <f t="shared" si="0"/>
        <v>727654.08179300011</v>
      </c>
      <c r="J8" s="167">
        <f t="shared" si="0"/>
        <v>251288.3538499116</v>
      </c>
      <c r="K8" s="165">
        <f t="shared" si="0"/>
        <v>978942.4356429117</v>
      </c>
      <c r="L8" s="165">
        <f t="shared" si="0"/>
        <v>1023437.492830544</v>
      </c>
      <c r="M8" s="165">
        <f t="shared" si="0"/>
        <v>1066283.7861795495</v>
      </c>
      <c r="N8" s="165">
        <f t="shared" si="0"/>
        <v>1110266.2568036967</v>
      </c>
      <c r="O8" s="165">
        <f t="shared" si="0"/>
        <v>1157419.1821103788</v>
      </c>
      <c r="P8" s="165">
        <f t="shared" si="0"/>
        <v>1205840.4557092774</v>
      </c>
      <c r="Q8" s="165">
        <f t="shared" si="0"/>
        <v>1217898.8602663702</v>
      </c>
    </row>
    <row r="9" spans="2:17">
      <c r="B9" s="168" t="s">
        <v>51</v>
      </c>
      <c r="E9" s="154">
        <f>SUM(E10:E11)</f>
        <v>539548.51561100001</v>
      </c>
      <c r="F9" s="154">
        <f t="shared" ref="F9:Q9" si="1">SUM(F10:F11)</f>
        <v>654210.80100899993</v>
      </c>
      <c r="G9" s="154">
        <f t="shared" si="1"/>
        <v>661315.56915300002</v>
      </c>
      <c r="H9" s="154">
        <f t="shared" si="1"/>
        <v>681446.47678500018</v>
      </c>
      <c r="I9" s="154">
        <f t="shared" si="1"/>
        <v>534137.00264100009</v>
      </c>
      <c r="J9" s="166">
        <f t="shared" si="1"/>
        <v>186782.66079924491</v>
      </c>
      <c r="K9" s="154">
        <f t="shared" si="1"/>
        <v>720919.66344024497</v>
      </c>
      <c r="L9" s="154">
        <f t="shared" si="1"/>
        <v>751181.67722302023</v>
      </c>
      <c r="M9" s="154">
        <f t="shared" si="1"/>
        <v>784085.56049893249</v>
      </c>
      <c r="N9" s="154">
        <f t="shared" si="1"/>
        <v>816614.33873735147</v>
      </c>
      <c r="O9" s="154">
        <f t="shared" si="1"/>
        <v>849160.39266272227</v>
      </c>
      <c r="P9" s="154">
        <f t="shared" si="1"/>
        <v>881621.10127040558</v>
      </c>
      <c r="Q9" s="154">
        <f t="shared" si="1"/>
        <v>890437.31228310964</v>
      </c>
    </row>
    <row r="10" spans="2:17">
      <c r="B10" s="170" t="s">
        <v>334</v>
      </c>
      <c r="E10" s="154">
        <v>520035.76419800002</v>
      </c>
      <c r="F10" s="154">
        <f t="shared" ref="F10:P11" si="2">F49</f>
        <v>620021.30610099994</v>
      </c>
      <c r="G10" s="154">
        <f t="shared" si="2"/>
        <v>636731.74973000004</v>
      </c>
      <c r="H10" s="154">
        <f t="shared" si="2"/>
        <v>659503.50156600017</v>
      </c>
      <c r="I10" s="154">
        <f t="shared" si="2"/>
        <v>518548.12335400004</v>
      </c>
      <c r="J10" s="166">
        <f t="shared" si="2"/>
        <v>180213.33425710816</v>
      </c>
      <c r="K10" s="154">
        <f>SUM(I10:J10)</f>
        <v>698761.4576111082</v>
      </c>
      <c r="L10" s="154">
        <f t="shared" si="2"/>
        <v>728597.65801070596</v>
      </c>
      <c r="M10" s="154">
        <f t="shared" si="2"/>
        <v>761066.43222924869</v>
      </c>
      <c r="N10" s="154">
        <f t="shared" si="2"/>
        <v>793150.6269731411</v>
      </c>
      <c r="O10" s="154">
        <f t="shared" si="2"/>
        <v>825242.62296682806</v>
      </c>
      <c r="P10" s="154">
        <f t="shared" si="2"/>
        <v>857354.74379231315</v>
      </c>
      <c r="Q10" s="154">
        <f>P10*(1+DCF!$F$44)</f>
        <v>865928.2912302363</v>
      </c>
    </row>
    <row r="11" spans="2:17">
      <c r="B11" s="170" t="s">
        <v>335</v>
      </c>
      <c r="E11" s="154">
        <v>19512.751413000002</v>
      </c>
      <c r="F11" s="154">
        <f t="shared" si="2"/>
        <v>34189.494907999993</v>
      </c>
      <c r="G11" s="154">
        <f t="shared" si="2"/>
        <v>24583.819422999994</v>
      </c>
      <c r="H11" s="154">
        <f t="shared" si="2"/>
        <v>21942.975219</v>
      </c>
      <c r="I11" s="154">
        <f t="shared" si="2"/>
        <v>15588.879287</v>
      </c>
      <c r="J11" s="166">
        <f t="shared" si="2"/>
        <v>6569.3265421367505</v>
      </c>
      <c r="K11" s="154">
        <f>SUM(I11:J11)</f>
        <v>22158.20582913675</v>
      </c>
      <c r="L11" s="154">
        <f t="shared" si="2"/>
        <v>22584.019212314273</v>
      </c>
      <c r="M11" s="154">
        <f t="shared" si="2"/>
        <v>23019.128269683752</v>
      </c>
      <c r="N11" s="154">
        <f t="shared" si="2"/>
        <v>23463.711764210413</v>
      </c>
      <c r="O11" s="154">
        <f t="shared" si="2"/>
        <v>23917.769695894254</v>
      </c>
      <c r="P11" s="154">
        <f t="shared" si="2"/>
        <v>24266.357478092479</v>
      </c>
      <c r="Q11" s="154">
        <f>P11*(1+DCF!$F$44)</f>
        <v>24509.021052873402</v>
      </c>
    </row>
    <row r="12" spans="2:17">
      <c r="B12" s="168" t="s">
        <v>52</v>
      </c>
      <c r="E12" s="154">
        <f t="shared" ref="E12:P12" si="3">E52</f>
        <v>189261.677391</v>
      </c>
      <c r="F12" s="154">
        <f t="shared" si="3"/>
        <v>200517.36044999998</v>
      </c>
      <c r="G12" s="154">
        <f t="shared" si="3"/>
        <v>222449.599759</v>
      </c>
      <c r="H12" s="154">
        <f t="shared" si="3"/>
        <v>239354.19842199999</v>
      </c>
      <c r="I12" s="154">
        <f t="shared" si="3"/>
        <v>193517.07915200002</v>
      </c>
      <c r="J12" s="166">
        <f t="shared" si="3"/>
        <v>64505.693050666683</v>
      </c>
      <c r="K12" s="154">
        <f>SUM(I12:J12)</f>
        <v>258022.7722026667</v>
      </c>
      <c r="L12" s="154">
        <f t="shared" si="3"/>
        <v>272255.81560752384</v>
      </c>
      <c r="M12" s="154">
        <f t="shared" si="3"/>
        <v>282198.22568061698</v>
      </c>
      <c r="N12" s="154">
        <f t="shared" si="3"/>
        <v>293651.91806634527</v>
      </c>
      <c r="O12" s="154">
        <f t="shared" si="3"/>
        <v>308258.78944765648</v>
      </c>
      <c r="P12" s="154">
        <f t="shared" si="3"/>
        <v>324219.35443887184</v>
      </c>
      <c r="Q12" s="154">
        <f>P12*(1+DCF!$F$44)</f>
        <v>327461.54798326059</v>
      </c>
    </row>
    <row r="13" spans="2:17">
      <c r="B13" s="171" t="s">
        <v>77</v>
      </c>
      <c r="C13" s="171"/>
      <c r="D13" s="171"/>
      <c r="E13" s="171">
        <f>SUM(E14:E18)</f>
        <v>323843.473253</v>
      </c>
      <c r="F13" s="171">
        <f>SUM(F14:F18)</f>
        <v>370171.45395400003</v>
      </c>
      <c r="G13" s="171">
        <f>SUM(G14:G18)</f>
        <v>397599.35141300003</v>
      </c>
      <c r="H13" s="171">
        <f>SUM(H14:H18)</f>
        <v>421336.46062194119</v>
      </c>
      <c r="I13" s="171">
        <f>I179</f>
        <v>335238.14527185564</v>
      </c>
      <c r="J13" s="172">
        <f>J179</f>
        <v>113124.30763850462</v>
      </c>
      <c r="K13" s="171">
        <f>SUM(I13:J13)</f>
        <v>448362.45291036024</v>
      </c>
      <c r="L13" s="171">
        <f t="shared" ref="L13:Q13" si="4">SUM(L14:L18)</f>
        <v>503053.64367904724</v>
      </c>
      <c r="M13" s="171">
        <f t="shared" si="4"/>
        <v>562600.74645339418</v>
      </c>
      <c r="N13" s="171">
        <f t="shared" si="4"/>
        <v>624921.56866275216</v>
      </c>
      <c r="O13" s="171">
        <f t="shared" si="4"/>
        <v>693120.8704930488</v>
      </c>
      <c r="P13" s="171">
        <f t="shared" si="4"/>
        <v>762688.69620349514</v>
      </c>
      <c r="Q13" s="171">
        <f t="shared" si="4"/>
        <v>770315.58316553012</v>
      </c>
    </row>
    <row r="14" spans="2:17">
      <c r="B14" s="168" t="s">
        <v>79</v>
      </c>
      <c r="E14" s="154">
        <f t="shared" ref="E14:P18" si="5">SUMIFS(E$167:E$178,$B$167:$B$178,$B14)</f>
        <v>208969.13727899999</v>
      </c>
      <c r="F14" s="154">
        <f t="shared" si="5"/>
        <v>246466.19927799999</v>
      </c>
      <c r="G14" s="154">
        <f t="shared" si="5"/>
        <v>271269.61042400001</v>
      </c>
      <c r="H14" s="154">
        <f t="shared" si="5"/>
        <v>289027.01026094123</v>
      </c>
      <c r="I14" s="154">
        <f t="shared" si="5"/>
        <v>227401.39665855787</v>
      </c>
      <c r="J14" s="173">
        <f t="shared" si="5"/>
        <v>75800.46555285262</v>
      </c>
      <c r="K14" s="154">
        <f t="shared" si="5"/>
        <v>303201.86221141048</v>
      </c>
      <c r="L14" s="154">
        <f t="shared" si="5"/>
        <v>319611.36425693147</v>
      </c>
      <c r="M14" s="154">
        <f t="shared" si="5"/>
        <v>329752.48956714605</v>
      </c>
      <c r="N14" s="154">
        <f t="shared" si="5"/>
        <v>340697.25748581439</v>
      </c>
      <c r="O14" s="154">
        <f t="shared" si="5"/>
        <v>354895.79428093543</v>
      </c>
      <c r="P14" s="154">
        <f t="shared" si="5"/>
        <v>369924.55697252607</v>
      </c>
      <c r="Q14" s="154">
        <f>P14*(1+DCF!$F$44)</f>
        <v>373623.80254225136</v>
      </c>
    </row>
    <row r="15" spans="2:17">
      <c r="B15" s="168" t="s">
        <v>80</v>
      </c>
      <c r="E15" s="154">
        <f t="shared" si="5"/>
        <v>6300.2719699999998</v>
      </c>
      <c r="F15" s="154">
        <f t="shared" si="5"/>
        <v>6669.136708</v>
      </c>
      <c r="G15" s="154">
        <f t="shared" si="5"/>
        <v>6055.5184170000011</v>
      </c>
      <c r="H15" s="154">
        <f t="shared" si="5"/>
        <v>6772.0051059999996</v>
      </c>
      <c r="I15" s="154">
        <f t="shared" si="5"/>
        <v>5447.7139220146919</v>
      </c>
      <c r="J15" s="173">
        <f t="shared" si="5"/>
        <v>1815.9046406715638</v>
      </c>
      <c r="K15" s="154">
        <f t="shared" si="5"/>
        <v>7263.6185626862552</v>
      </c>
      <c r="L15" s="154">
        <f t="shared" si="5"/>
        <v>7517.4056174203524</v>
      </c>
      <c r="M15" s="154">
        <f t="shared" si="5"/>
        <v>7637.5355022467702</v>
      </c>
      <c r="N15" s="154">
        <f t="shared" si="5"/>
        <v>7747.911803113815</v>
      </c>
      <c r="O15" s="154">
        <f t="shared" si="5"/>
        <v>7864.9089704121207</v>
      </c>
      <c r="P15" s="154">
        <f t="shared" si="5"/>
        <v>7968.2990777935502</v>
      </c>
      <c r="Q15" s="154">
        <f>P15*(1+DCF!$F$44)</f>
        <v>8047.9820685714858</v>
      </c>
    </row>
    <row r="16" spans="2:17">
      <c r="B16" s="168" t="s">
        <v>81</v>
      </c>
      <c r="E16" s="154">
        <f t="shared" si="5"/>
        <v>9378.2497090000015</v>
      </c>
      <c r="F16" s="154">
        <f t="shared" si="5"/>
        <v>12396.082686999998</v>
      </c>
      <c r="G16" s="154">
        <f t="shared" si="5"/>
        <v>10164.076360000003</v>
      </c>
      <c r="H16" s="154">
        <f t="shared" si="5"/>
        <v>8319.5578419999983</v>
      </c>
      <c r="I16" s="154">
        <f t="shared" si="5"/>
        <v>8288.8635504407066</v>
      </c>
      <c r="J16" s="173">
        <f t="shared" si="5"/>
        <v>2762.9545168135687</v>
      </c>
      <c r="K16" s="154">
        <f t="shared" si="5"/>
        <v>11051.818067254275</v>
      </c>
      <c r="L16" s="154">
        <f t="shared" si="5"/>
        <v>11450.62983261599</v>
      </c>
      <c r="M16" s="154">
        <f t="shared" si="5"/>
        <v>11841.769659696873</v>
      </c>
      <c r="N16" s="154">
        <f t="shared" si="5"/>
        <v>12226.996175473158</v>
      </c>
      <c r="O16" s="154">
        <f t="shared" si="5"/>
        <v>12607.860954132102</v>
      </c>
      <c r="P16" s="154">
        <f t="shared" si="5"/>
        <v>12975.355509647345</v>
      </c>
      <c r="Q16" s="154">
        <f>P16*(1+DCF!$F$44)</f>
        <v>13105.109064743818</v>
      </c>
    </row>
    <row r="17" spans="2:17">
      <c r="B17" s="168" t="s">
        <v>83</v>
      </c>
      <c r="E17" s="154">
        <f t="shared" si="5"/>
        <v>99195.814295000004</v>
      </c>
      <c r="F17" s="154">
        <f t="shared" si="5"/>
        <v>104640.03528099999</v>
      </c>
      <c r="G17" s="154">
        <f t="shared" si="5"/>
        <v>110110.14621199999</v>
      </c>
      <c r="H17" s="154">
        <f t="shared" si="5"/>
        <v>117217.887413</v>
      </c>
      <c r="I17" s="154">
        <f t="shared" si="5"/>
        <v>94100.171140842343</v>
      </c>
      <c r="J17" s="173">
        <f t="shared" si="5"/>
        <v>31366.723713614112</v>
      </c>
      <c r="K17" s="154">
        <f t="shared" si="5"/>
        <v>125466.89485445645</v>
      </c>
      <c r="L17" s="154">
        <f t="shared" si="5"/>
        <v>131724.32709433249</v>
      </c>
      <c r="M17" s="154">
        <f t="shared" si="5"/>
        <v>136449.67090227312</v>
      </c>
      <c r="N17" s="154">
        <f t="shared" si="5"/>
        <v>141687.5425535058</v>
      </c>
      <c r="O17" s="154">
        <f t="shared" si="5"/>
        <v>148019.86951071071</v>
      </c>
      <c r="P17" s="154">
        <f t="shared" si="5"/>
        <v>154785.86966921538</v>
      </c>
      <c r="Q17" s="154">
        <f>P17*(1+DCF!$F$44)</f>
        <v>156333.72836590753</v>
      </c>
    </row>
    <row r="18" spans="2:17">
      <c r="B18" s="168" t="s">
        <v>94</v>
      </c>
      <c r="E18" s="154">
        <f t="shared" si="5"/>
        <v>0</v>
      </c>
      <c r="F18" s="154">
        <f t="shared" si="5"/>
        <v>0</v>
      </c>
      <c r="G18" s="154">
        <f t="shared" si="5"/>
        <v>0</v>
      </c>
      <c r="H18" s="154">
        <f t="shared" si="5"/>
        <v>0</v>
      </c>
      <c r="I18" s="154">
        <f t="shared" si="5"/>
        <v>0</v>
      </c>
      <c r="J18" s="166">
        <f t="shared" si="5"/>
        <v>1378.2592145527537</v>
      </c>
      <c r="K18" s="154">
        <f t="shared" si="5"/>
        <v>1378.2592145527537</v>
      </c>
      <c r="L18" s="154">
        <f t="shared" si="5"/>
        <v>32749.916877746942</v>
      </c>
      <c r="M18" s="154">
        <f t="shared" si="5"/>
        <v>76919.280822031375</v>
      </c>
      <c r="N18" s="154">
        <f t="shared" si="5"/>
        <v>122561.860644845</v>
      </c>
      <c r="O18" s="154">
        <f>SUMIFS(O$167:O$178,$B$167:$B$178,$B18)</f>
        <v>169732.43677685843</v>
      </c>
      <c r="P18" s="154">
        <f t="shared" si="5"/>
        <v>217034.61497431283</v>
      </c>
      <c r="Q18" s="154">
        <f>P18*(1+DCF!$F$44)</f>
        <v>219204.96112405596</v>
      </c>
    </row>
    <row r="19" spans="2:17" ht="13.8" thickBot="1">
      <c r="B19" s="175" t="s">
        <v>162</v>
      </c>
      <c r="C19" s="175"/>
      <c r="D19" s="175"/>
      <c r="E19" s="175">
        <f t="shared" ref="E19:Q19" si="6">E8-E13</f>
        <v>404966.71974899998</v>
      </c>
      <c r="F19" s="175">
        <f t="shared" si="6"/>
        <v>484556.70750499982</v>
      </c>
      <c r="G19" s="175">
        <f t="shared" si="6"/>
        <v>486165.817499</v>
      </c>
      <c r="H19" s="175">
        <f t="shared" si="6"/>
        <v>499464.21458505903</v>
      </c>
      <c r="I19" s="175">
        <f t="shared" si="6"/>
        <v>392415.93652114447</v>
      </c>
      <c r="J19" s="176">
        <f t="shared" si="6"/>
        <v>138164.046211407</v>
      </c>
      <c r="K19" s="175">
        <f t="shared" si="6"/>
        <v>530579.98273255141</v>
      </c>
      <c r="L19" s="175">
        <f t="shared" si="6"/>
        <v>520383.84915149678</v>
      </c>
      <c r="M19" s="175">
        <f t="shared" si="6"/>
        <v>503683.03972615534</v>
      </c>
      <c r="N19" s="175">
        <f t="shared" si="6"/>
        <v>485344.68814094458</v>
      </c>
      <c r="O19" s="175">
        <f t="shared" si="6"/>
        <v>464298.31161732995</v>
      </c>
      <c r="P19" s="175">
        <f t="shared" si="6"/>
        <v>443151.75950578228</v>
      </c>
      <c r="Q19" s="175">
        <f t="shared" si="6"/>
        <v>447583.27710084012</v>
      </c>
    </row>
    <row r="20" spans="2:17">
      <c r="B20" s="171" t="s">
        <v>99</v>
      </c>
      <c r="C20" s="171"/>
      <c r="D20" s="171"/>
      <c r="E20" s="171">
        <f t="shared" ref="E20:Q20" si="7">SUM(E21:E24)</f>
        <v>83974.484313000008</v>
      </c>
      <c r="F20" s="171">
        <f t="shared" si="7"/>
        <v>111505.31920799999</v>
      </c>
      <c r="G20" s="171">
        <f t="shared" si="7"/>
        <v>108194.07101699998</v>
      </c>
      <c r="H20" s="171">
        <f t="shared" si="7"/>
        <v>113394.13387300001</v>
      </c>
      <c r="I20" s="171">
        <f t="shared" si="7"/>
        <v>87596.006433835733</v>
      </c>
      <c r="J20" s="172">
        <f t="shared" si="7"/>
        <v>29183.066430132454</v>
      </c>
      <c r="K20" s="171">
        <f t="shared" si="7"/>
        <v>116779.07286396819</v>
      </c>
      <c r="L20" s="171">
        <f t="shared" si="7"/>
        <v>121555.34141682055</v>
      </c>
      <c r="M20" s="171">
        <f t="shared" si="7"/>
        <v>124703.52158429375</v>
      </c>
      <c r="N20" s="171">
        <f t="shared" si="7"/>
        <v>128273.60754716088</v>
      </c>
      <c r="O20" s="171">
        <f t="shared" si="7"/>
        <v>132623.09816331131</v>
      </c>
      <c r="P20" s="171">
        <f t="shared" si="7"/>
        <v>136834.08511011058</v>
      </c>
      <c r="Q20" s="171">
        <f t="shared" si="7"/>
        <v>138202.42596121167</v>
      </c>
    </row>
    <row r="21" spans="2:17">
      <c r="B21" s="168" t="s">
        <v>106</v>
      </c>
      <c r="E21" s="154">
        <f t="shared" ref="E21:P24" si="8">SUMIFS(E$300:E$309,$B$300:$B$309,$B21)</f>
        <v>56742.943632000002</v>
      </c>
      <c r="F21" s="154">
        <f t="shared" si="8"/>
        <v>72967.168418999994</v>
      </c>
      <c r="G21" s="154">
        <f t="shared" si="8"/>
        <v>71937.883710999988</v>
      </c>
      <c r="H21" s="154">
        <f t="shared" si="8"/>
        <v>74869.909484000003</v>
      </c>
      <c r="I21" s="154">
        <f t="shared" si="8"/>
        <v>57025.616710115399</v>
      </c>
      <c r="J21" s="173">
        <f t="shared" si="8"/>
        <v>19008.538903371802</v>
      </c>
      <c r="K21" s="154">
        <f t="shared" si="8"/>
        <v>76034.155613487208</v>
      </c>
      <c r="L21" s="154">
        <f t="shared" si="8"/>
        <v>79174.402930167809</v>
      </c>
      <c r="M21" s="154">
        <f t="shared" si="8"/>
        <v>81089.391637013367</v>
      </c>
      <c r="N21" s="154">
        <f t="shared" si="8"/>
        <v>83374.568222014015</v>
      </c>
      <c r="O21" s="154">
        <f t="shared" si="8"/>
        <v>86476.118840942989</v>
      </c>
      <c r="P21" s="154">
        <f t="shared" si="8"/>
        <v>89416.306881535042</v>
      </c>
      <c r="Q21" s="154">
        <f>P21*(1+DCF!$F$44)</f>
        <v>90310.469950350394</v>
      </c>
    </row>
    <row r="22" spans="2:17">
      <c r="B22" s="168" t="s">
        <v>336</v>
      </c>
      <c r="E22" s="154">
        <f t="shared" si="8"/>
        <v>12346.148953</v>
      </c>
      <c r="F22" s="154">
        <f t="shared" si="8"/>
        <v>17923.529001999999</v>
      </c>
      <c r="G22" s="154">
        <f t="shared" si="8"/>
        <v>16764.381788999999</v>
      </c>
      <c r="H22" s="154">
        <f t="shared" si="8"/>
        <v>18373.537100000001</v>
      </c>
      <c r="I22" s="154">
        <f t="shared" si="8"/>
        <v>14111.33673370523</v>
      </c>
      <c r="J22" s="173">
        <f t="shared" si="8"/>
        <v>4688.1765300889529</v>
      </c>
      <c r="K22" s="154">
        <f t="shared" si="8"/>
        <v>18799.513263794182</v>
      </c>
      <c r="L22" s="154">
        <f t="shared" si="8"/>
        <v>19643.620875234956</v>
      </c>
      <c r="M22" s="154">
        <f t="shared" si="8"/>
        <v>20100.132746283965</v>
      </c>
      <c r="N22" s="154">
        <f t="shared" si="8"/>
        <v>20620.104494554223</v>
      </c>
      <c r="O22" s="154">
        <f t="shared" si="8"/>
        <v>21111.767888133836</v>
      </c>
      <c r="P22" s="154">
        <f t="shared" si="8"/>
        <v>21652.839211547645</v>
      </c>
      <c r="Q22" s="154">
        <f>P22*(1+DCF!$F$44)</f>
        <v>21869.367603663122</v>
      </c>
    </row>
    <row r="23" spans="2:17">
      <c r="B23" s="168" t="s">
        <v>260</v>
      </c>
      <c r="E23" s="154">
        <f t="shared" si="8"/>
        <v>14885.391728000001</v>
      </c>
      <c r="F23" s="154">
        <f t="shared" si="8"/>
        <v>20614.621787</v>
      </c>
      <c r="G23" s="154">
        <f t="shared" si="8"/>
        <v>19491.805517000001</v>
      </c>
      <c r="H23" s="154">
        <f t="shared" si="8"/>
        <v>20150.687289000001</v>
      </c>
      <c r="I23" s="154">
        <f t="shared" si="8"/>
        <v>16459.052990015101</v>
      </c>
      <c r="J23" s="173">
        <f t="shared" si="8"/>
        <v>5486.3509966717002</v>
      </c>
      <c r="K23" s="154">
        <f t="shared" si="8"/>
        <v>21945.403986686801</v>
      </c>
      <c r="L23" s="154">
        <f t="shared" si="8"/>
        <v>22737.317611417773</v>
      </c>
      <c r="M23" s="154">
        <f t="shared" si="8"/>
        <v>23513.997200996408</v>
      </c>
      <c r="N23" s="154">
        <f t="shared" si="8"/>
        <v>24278.934830592647</v>
      </c>
      <c r="O23" s="154">
        <f t="shared" si="8"/>
        <v>25035.211434234487</v>
      </c>
      <c r="P23" s="154">
        <f t="shared" si="8"/>
        <v>25764.939017027886</v>
      </c>
      <c r="Q23" s="154">
        <f>P23*(1+DCF!$F$44)</f>
        <v>26022.588407198164</v>
      </c>
    </row>
    <row r="24" spans="2:17">
      <c r="B24" s="168" t="s">
        <v>94</v>
      </c>
      <c r="E24" s="154">
        <f t="shared" si="8"/>
        <v>0</v>
      </c>
      <c r="F24" s="154">
        <f t="shared" si="8"/>
        <v>0</v>
      </c>
      <c r="G24" s="154">
        <f t="shared" si="8"/>
        <v>0</v>
      </c>
      <c r="H24" s="154">
        <f t="shared" si="8"/>
        <v>0</v>
      </c>
      <c r="I24" s="154">
        <f t="shared" si="8"/>
        <v>0</v>
      </c>
      <c r="J24" s="173">
        <f t="shared" si="8"/>
        <v>0</v>
      </c>
      <c r="K24" s="154">
        <f t="shared" si="8"/>
        <v>0</v>
      </c>
      <c r="L24" s="154">
        <f t="shared" si="8"/>
        <v>0</v>
      </c>
      <c r="M24" s="154">
        <f t="shared" si="8"/>
        <v>0</v>
      </c>
      <c r="N24" s="154">
        <f t="shared" si="8"/>
        <v>0</v>
      </c>
      <c r="O24" s="154">
        <f t="shared" si="8"/>
        <v>0</v>
      </c>
      <c r="P24" s="154">
        <f t="shared" si="8"/>
        <v>0</v>
      </c>
      <c r="Q24" s="154">
        <f>P24*(1+DCF!$F$44)</f>
        <v>0</v>
      </c>
    </row>
    <row r="25" spans="2:17" ht="13.8" thickBot="1">
      <c r="B25" s="175" t="s">
        <v>114</v>
      </c>
      <c r="C25" s="175"/>
      <c r="D25" s="175"/>
      <c r="E25" s="175">
        <f t="shared" ref="E25:Q25" si="9">E19-E20</f>
        <v>320992.23543599999</v>
      </c>
      <c r="F25" s="175">
        <f t="shared" si="9"/>
        <v>373051.38829699985</v>
      </c>
      <c r="G25" s="175">
        <f t="shared" si="9"/>
        <v>377971.74648199999</v>
      </c>
      <c r="H25" s="175">
        <f t="shared" si="9"/>
        <v>386070.08071205905</v>
      </c>
      <c r="I25" s="175">
        <f t="shared" si="9"/>
        <v>304819.93008730875</v>
      </c>
      <c r="J25" s="176">
        <f t="shared" si="9"/>
        <v>108980.97978127454</v>
      </c>
      <c r="K25" s="175">
        <f t="shared" si="9"/>
        <v>413800.9098685832</v>
      </c>
      <c r="L25" s="175">
        <f t="shared" si="9"/>
        <v>398828.50773467624</v>
      </c>
      <c r="M25" s="175">
        <f t="shared" si="9"/>
        <v>378979.5181418616</v>
      </c>
      <c r="N25" s="175">
        <f t="shared" si="9"/>
        <v>357071.0805937837</v>
      </c>
      <c r="O25" s="175">
        <f t="shared" si="9"/>
        <v>331675.21345401864</v>
      </c>
      <c r="P25" s="175">
        <f t="shared" si="9"/>
        <v>306317.6743956717</v>
      </c>
      <c r="Q25" s="175">
        <f t="shared" si="9"/>
        <v>309380.85113962844</v>
      </c>
    </row>
    <row r="26" spans="2:17">
      <c r="B26" s="154" t="s">
        <v>337</v>
      </c>
      <c r="E26" s="154">
        <f>E389</f>
        <v>0</v>
      </c>
      <c r="F26" s="154">
        <f t="shared" ref="F26:P26" si="10">F389</f>
        <v>0</v>
      </c>
      <c r="G26" s="154">
        <f t="shared" si="10"/>
        <v>0</v>
      </c>
      <c r="H26" s="154">
        <f t="shared" si="10"/>
        <v>0</v>
      </c>
      <c r="I26" s="154">
        <f t="shared" si="10"/>
        <v>0</v>
      </c>
      <c r="J26" s="166">
        <f t="shared" si="10"/>
        <v>1378.2592145527537</v>
      </c>
      <c r="K26" s="154">
        <f t="shared" si="10"/>
        <v>1378.2592145527537</v>
      </c>
      <c r="L26" s="154">
        <f t="shared" si="10"/>
        <v>32749.916877746942</v>
      </c>
      <c r="M26" s="154">
        <f t="shared" si="10"/>
        <v>76919.280822031375</v>
      </c>
      <c r="N26" s="154">
        <f t="shared" si="10"/>
        <v>122561.860644845</v>
      </c>
      <c r="O26" s="154">
        <f t="shared" si="10"/>
        <v>169732.43677685843</v>
      </c>
      <c r="P26" s="154">
        <f t="shared" si="10"/>
        <v>217034.61497431283</v>
      </c>
    </row>
    <row r="27" spans="2:17">
      <c r="B27" s="177" t="s">
        <v>126</v>
      </c>
      <c r="C27" s="177"/>
      <c r="D27" s="177"/>
      <c r="E27" s="177">
        <f>E379</f>
        <v>138106.16615899999</v>
      </c>
      <c r="F27" s="177">
        <f t="shared" ref="F27:P27" si="11">F379</f>
        <v>177067.57630099999</v>
      </c>
      <c r="G27" s="177">
        <f t="shared" si="11"/>
        <v>194369.85414800001</v>
      </c>
      <c r="H27" s="177">
        <f t="shared" si="11"/>
        <v>203193.43947400001</v>
      </c>
      <c r="I27" s="177">
        <f t="shared" si="11"/>
        <v>162296.70582999999</v>
      </c>
      <c r="J27" s="166">
        <f t="shared" si="11"/>
        <v>55130.368582110154</v>
      </c>
      <c r="K27" s="177">
        <f t="shared" si="11"/>
        <v>217427.07441211012</v>
      </c>
      <c r="L27" s="177">
        <f t="shared" si="11"/>
        <v>217238.43161324912</v>
      </c>
      <c r="M27" s="177">
        <f t="shared" si="11"/>
        <v>224455.20782959517</v>
      </c>
      <c r="N27" s="177">
        <f t="shared" si="11"/>
        <v>231970.59039854119</v>
      </c>
      <c r="O27" s="177">
        <f t="shared" si="11"/>
        <v>239735.17092159338</v>
      </c>
      <c r="P27" s="177">
        <f t="shared" si="11"/>
        <v>247069.20319847789</v>
      </c>
      <c r="Q27" s="177"/>
    </row>
    <row r="28" spans="2:17" ht="13.8" thickBot="1">
      <c r="B28" s="175" t="s">
        <v>23</v>
      </c>
      <c r="C28" s="175"/>
      <c r="D28" s="175"/>
      <c r="E28" s="175">
        <f>E25+E26</f>
        <v>320992.23543599999</v>
      </c>
      <c r="F28" s="175">
        <f t="shared" ref="F28:Q28" si="12">F25+F26</f>
        <v>373051.38829699985</v>
      </c>
      <c r="G28" s="175">
        <f t="shared" si="12"/>
        <v>377971.74648199999</v>
      </c>
      <c r="H28" s="175">
        <f t="shared" si="12"/>
        <v>386070.08071205905</v>
      </c>
      <c r="I28" s="175">
        <f t="shared" si="12"/>
        <v>304819.93008730875</v>
      </c>
      <c r="J28" s="176">
        <f t="shared" si="12"/>
        <v>110359.2389958273</v>
      </c>
      <c r="K28" s="175">
        <f t="shared" si="12"/>
        <v>415179.16908313596</v>
      </c>
      <c r="L28" s="175">
        <f t="shared" si="12"/>
        <v>431578.42461242317</v>
      </c>
      <c r="M28" s="175">
        <f t="shared" si="12"/>
        <v>455898.79896389297</v>
      </c>
      <c r="N28" s="175">
        <f t="shared" si="12"/>
        <v>479632.9412386287</v>
      </c>
      <c r="O28" s="175">
        <f t="shared" si="12"/>
        <v>501407.6502308771</v>
      </c>
      <c r="P28" s="175">
        <f t="shared" si="12"/>
        <v>523352.28936998453</v>
      </c>
      <c r="Q28" s="175">
        <f t="shared" si="12"/>
        <v>309380.85113962844</v>
      </c>
    </row>
    <row r="30" spans="2:17">
      <c r="B30" s="154" t="s">
        <v>163</v>
      </c>
      <c r="E30" s="154">
        <f>E18+E24-E26</f>
        <v>0</v>
      </c>
      <c r="F30" s="154">
        <f>F18+F24-F26</f>
        <v>0</v>
      </c>
      <c r="G30" s="154">
        <f>G18+G24-G26</f>
        <v>0</v>
      </c>
      <c r="I30" s="154">
        <f t="shared" ref="I30:P30" si="13">I18+I24-I26</f>
        <v>0</v>
      </c>
      <c r="J30" s="166">
        <f t="shared" si="13"/>
        <v>0</v>
      </c>
      <c r="K30" s="154">
        <f t="shared" si="13"/>
        <v>0</v>
      </c>
      <c r="L30" s="154">
        <f t="shared" si="13"/>
        <v>0</v>
      </c>
      <c r="M30" s="154">
        <f t="shared" si="13"/>
        <v>0</v>
      </c>
      <c r="N30" s="154">
        <f t="shared" si="13"/>
        <v>0</v>
      </c>
      <c r="O30" s="154">
        <f t="shared" si="13"/>
        <v>0</v>
      </c>
      <c r="P30" s="154">
        <f t="shared" si="13"/>
        <v>0</v>
      </c>
    </row>
    <row r="32" spans="2:17">
      <c r="B32" s="178" t="s">
        <v>164</v>
      </c>
      <c r="C32" s="179"/>
      <c r="D32" s="179"/>
      <c r="E32" s="180"/>
      <c r="F32" s="180">
        <f>IFERROR(F8/E8-1,"")</f>
        <v>0.17277196403955108</v>
      </c>
      <c r="G32" s="180">
        <f>IFERROR(G8/F8-1,"")</f>
        <v>3.3972213344924507E-2</v>
      </c>
      <c r="H32" s="180">
        <f>IFERROR(H8/G8-1,"")</f>
        <v>4.1906501407601882E-2</v>
      </c>
      <c r="I32" s="181">
        <f>IFERROR(I8*12/9/H8-1,"")</f>
        <v>5.3654138744587909E-2</v>
      </c>
      <c r="J32" s="182">
        <f>(IFERROR(J8/(I8/3)-1,""))</f>
        <v>3.6021208995555387E-2</v>
      </c>
      <c r="K32" s="180">
        <f>IFERROR(K8/H8-1,"")</f>
        <v>6.3142612729775616E-2</v>
      </c>
      <c r="L32" s="180">
        <f t="shared" ref="L32:Q32" si="14">IFERROR(L8/K8-1,"")</f>
        <v>4.5452169164993395E-2</v>
      </c>
      <c r="M32" s="180">
        <f t="shared" si="14"/>
        <v>4.1865080817495404E-2</v>
      </c>
      <c r="N32" s="180">
        <f t="shared" si="14"/>
        <v>4.1248372332223671E-2</v>
      </c>
      <c r="O32" s="180">
        <f t="shared" si="14"/>
        <v>4.2469925585623791E-2</v>
      </c>
      <c r="P32" s="180">
        <f t="shared" si="14"/>
        <v>4.1835554781984641E-2</v>
      </c>
      <c r="Q32" s="181">
        <f t="shared" si="14"/>
        <v>1.0000000000000009E-2</v>
      </c>
    </row>
    <row r="33" spans="1:17">
      <c r="B33" s="183" t="s">
        <v>165</v>
      </c>
      <c r="C33" s="184"/>
      <c r="D33" s="184"/>
      <c r="E33" s="185">
        <f t="shared" ref="E33:Q33" si="15">IFERROR(E13/E$8,"")</f>
        <v>0.4443454226663256</v>
      </c>
      <c r="F33" s="185">
        <f t="shared" si="15"/>
        <v>0.43308676447740591</v>
      </c>
      <c r="G33" s="185">
        <f t="shared" si="15"/>
        <v>0.44989253412474162</v>
      </c>
      <c r="H33" s="185">
        <f t="shared" si="15"/>
        <v>0.45757618555961943</v>
      </c>
      <c r="I33" s="186">
        <f t="shared" si="15"/>
        <v>0.46071087026104629</v>
      </c>
      <c r="J33" s="187">
        <f t="shared" si="15"/>
        <v>0.45017728002655866</v>
      </c>
      <c r="K33" s="185">
        <f t="shared" si="15"/>
        <v>0.45800696403144708</v>
      </c>
      <c r="L33" s="185">
        <f t="shared" si="15"/>
        <v>0.49153333467170574</v>
      </c>
      <c r="M33" s="185">
        <f t="shared" si="15"/>
        <v>0.52762759196514586</v>
      </c>
      <c r="N33" s="185">
        <f t="shared" si="15"/>
        <v>0.56285739103862809</v>
      </c>
      <c r="O33" s="185">
        <f t="shared" si="15"/>
        <v>0.59885033979586189</v>
      </c>
      <c r="P33" s="185">
        <f t="shared" si="15"/>
        <v>0.63249552840295142</v>
      </c>
      <c r="Q33" s="186">
        <f t="shared" si="15"/>
        <v>0.63249552840295142</v>
      </c>
    </row>
    <row r="34" spans="1:17">
      <c r="B34" s="183" t="s">
        <v>166</v>
      </c>
      <c r="C34" s="184"/>
      <c r="D34" s="184"/>
      <c r="E34" s="185">
        <f t="shared" ref="E34:Q34" si="16">IFERROR(E20/E$8,"")</f>
        <v>0.11522133625368981</v>
      </c>
      <c r="F34" s="185">
        <f t="shared" si="16"/>
        <v>0.130457055513022</v>
      </c>
      <c r="G34" s="185">
        <f t="shared" si="16"/>
        <v>0.12242400450132844</v>
      </c>
      <c r="H34" s="185">
        <f t="shared" si="16"/>
        <v>0.12314731833521787</v>
      </c>
      <c r="I34" s="186">
        <f t="shared" si="16"/>
        <v>0.12038138536650808</v>
      </c>
      <c r="J34" s="187">
        <f t="shared" si="16"/>
        <v>0.11613378010969337</v>
      </c>
      <c r="K34" s="185">
        <f t="shared" si="16"/>
        <v>0.11929105186585826</v>
      </c>
      <c r="L34" s="185">
        <f t="shared" si="16"/>
        <v>0.11877163214006575</v>
      </c>
      <c r="M34" s="185">
        <f t="shared" si="16"/>
        <v>0.11695153129084077</v>
      </c>
      <c r="N34" s="185">
        <f t="shared" si="16"/>
        <v>0.11553409532272275</v>
      </c>
      <c r="O34" s="185">
        <f t="shared" si="16"/>
        <v>0.11458519109860713</v>
      </c>
      <c r="P34" s="185">
        <f t="shared" si="16"/>
        <v>0.11347611075929986</v>
      </c>
      <c r="Q34" s="186">
        <f t="shared" si="16"/>
        <v>0.11347611075929985</v>
      </c>
    </row>
    <row r="35" spans="1:17">
      <c r="B35" s="183" t="s">
        <v>167</v>
      </c>
      <c r="C35" s="184"/>
      <c r="D35" s="184"/>
      <c r="E35" s="185">
        <f t="shared" ref="E35:Q35" si="17">IFERROR(E25/E$8,"")</f>
        <v>0.44043324107998461</v>
      </c>
      <c r="F35" s="185">
        <f t="shared" si="17"/>
        <v>0.43645618000957209</v>
      </c>
      <c r="G35" s="185">
        <f t="shared" si="17"/>
        <v>0.42768346137392987</v>
      </c>
      <c r="H35" s="185">
        <f t="shared" si="17"/>
        <v>0.41927649610516271</v>
      </c>
      <c r="I35" s="186">
        <f t="shared" si="17"/>
        <v>0.41890774437244566</v>
      </c>
      <c r="J35" s="187">
        <f t="shared" si="17"/>
        <v>0.43368893986374801</v>
      </c>
      <c r="K35" s="185">
        <f t="shared" si="17"/>
        <v>0.42270198410269461</v>
      </c>
      <c r="L35" s="185">
        <f t="shared" si="17"/>
        <v>0.38969503318822851</v>
      </c>
      <c r="M35" s="185">
        <f t="shared" si="17"/>
        <v>0.3554208767440134</v>
      </c>
      <c r="N35" s="185">
        <f t="shared" si="17"/>
        <v>0.32160851363864917</v>
      </c>
      <c r="O35" s="185">
        <f t="shared" si="17"/>
        <v>0.28656446910553102</v>
      </c>
      <c r="P35" s="185">
        <f t="shared" si="17"/>
        <v>0.25402836083774871</v>
      </c>
      <c r="Q35" s="186">
        <f t="shared" si="17"/>
        <v>0.25402836083774877</v>
      </c>
    </row>
    <row r="36" spans="1:17">
      <c r="B36" s="188" t="s">
        <v>168</v>
      </c>
      <c r="C36" s="189"/>
      <c r="D36" s="189"/>
      <c r="E36" s="190">
        <f t="shared" ref="E36:Q36" si="18">IFERROR(E28/E$8,"")</f>
        <v>0.44043324107998461</v>
      </c>
      <c r="F36" s="190">
        <f t="shared" si="18"/>
        <v>0.43645618000957209</v>
      </c>
      <c r="G36" s="190">
        <f t="shared" si="18"/>
        <v>0.42768346137392987</v>
      </c>
      <c r="H36" s="190">
        <f t="shared" si="18"/>
        <v>0.41927649610516271</v>
      </c>
      <c r="I36" s="191">
        <f t="shared" si="18"/>
        <v>0.41890774437244566</v>
      </c>
      <c r="J36" s="192">
        <f t="shared" si="18"/>
        <v>0.43917371141577927</v>
      </c>
      <c r="K36" s="190">
        <f t="shared" si="18"/>
        <v>0.42410989039459784</v>
      </c>
      <c r="L36" s="190">
        <f t="shared" si="18"/>
        <v>0.42169495219370656</v>
      </c>
      <c r="M36" s="190">
        <f t="shared" si="18"/>
        <v>0.42755859638207516</v>
      </c>
      <c r="N36" s="190">
        <f t="shared" si="18"/>
        <v>0.43199812504383023</v>
      </c>
      <c r="O36" s="190">
        <f t="shared" si="18"/>
        <v>0.43321180258705938</v>
      </c>
      <c r="P36" s="190">
        <f t="shared" si="18"/>
        <v>0.43401453889863717</v>
      </c>
      <c r="Q36" s="191">
        <f t="shared" si="18"/>
        <v>0.25402836083774877</v>
      </c>
    </row>
    <row r="37" spans="1:17">
      <c r="J37" s="193"/>
      <c r="K37" s="193"/>
      <c r="L37" s="193"/>
      <c r="M37" s="193"/>
      <c r="N37" s="193"/>
      <c r="O37" s="193"/>
      <c r="P37" s="193"/>
      <c r="Q37" s="193"/>
    </row>
    <row r="39" spans="1:17">
      <c r="E39" s="174"/>
      <c r="F39" s="174"/>
      <c r="G39" s="174"/>
      <c r="H39" s="174"/>
      <c r="I39" s="174"/>
      <c r="J39" s="194"/>
      <c r="K39" s="174"/>
      <c r="L39" s="174"/>
      <c r="M39" s="174"/>
      <c r="N39" s="174"/>
      <c r="O39" s="174"/>
      <c r="P39" s="174"/>
      <c r="Q39" s="174"/>
    </row>
    <row r="40" spans="1:17">
      <c r="E40" s="174"/>
      <c r="F40" s="174"/>
      <c r="G40" s="174"/>
      <c r="H40" s="174"/>
      <c r="I40" s="174"/>
      <c r="J40" s="194"/>
      <c r="K40" s="174"/>
      <c r="L40" s="174"/>
      <c r="M40" s="174"/>
      <c r="N40" s="174"/>
      <c r="O40" s="174"/>
      <c r="P40" s="174"/>
      <c r="Q40" s="174"/>
    </row>
    <row r="41" spans="1:17">
      <c r="E41" s="174"/>
      <c r="F41" s="195"/>
      <c r="G41" s="195"/>
      <c r="H41" s="195"/>
      <c r="I41" s="195"/>
      <c r="J41" s="194"/>
      <c r="K41" s="174"/>
      <c r="L41" s="174"/>
      <c r="M41" s="174"/>
      <c r="N41" s="174"/>
      <c r="O41" s="174"/>
      <c r="P41" s="174"/>
      <c r="Q41" s="174"/>
    </row>
    <row r="42" spans="1:17">
      <c r="F42" s="195"/>
      <c r="G42" s="195"/>
      <c r="H42" s="195"/>
      <c r="I42" s="195"/>
      <c r="J42" s="194"/>
      <c r="K42" s="174"/>
      <c r="L42" s="174"/>
      <c r="M42" s="174"/>
      <c r="N42" s="174"/>
      <c r="O42" s="174"/>
      <c r="P42" s="174"/>
      <c r="Q42" s="174"/>
    </row>
    <row r="43" spans="1:17">
      <c r="F43" s="195"/>
      <c r="G43" s="195"/>
      <c r="H43" s="195"/>
      <c r="I43" s="195"/>
      <c r="J43" s="194"/>
      <c r="K43" s="174"/>
      <c r="L43" s="174"/>
      <c r="M43" s="174"/>
      <c r="N43" s="174"/>
      <c r="O43" s="174"/>
      <c r="P43" s="174"/>
      <c r="Q43" s="174"/>
    </row>
    <row r="44" spans="1:17">
      <c r="E44" s="174"/>
      <c r="F44" s="174"/>
      <c r="G44" s="174"/>
      <c r="H44" s="174"/>
      <c r="I44" s="174"/>
      <c r="J44" s="194"/>
      <c r="K44" s="174"/>
      <c r="L44" s="174"/>
      <c r="M44" s="174"/>
      <c r="N44" s="174"/>
      <c r="O44" s="174"/>
      <c r="P44" s="174"/>
      <c r="Q44" s="174"/>
    </row>
    <row r="45" spans="1:17">
      <c r="A45" s="154">
        <v>1</v>
      </c>
      <c r="B45" s="162" t="s">
        <v>9</v>
      </c>
      <c r="C45" s="162"/>
      <c r="D45" s="162"/>
      <c r="E45" s="162"/>
      <c r="F45" s="162"/>
      <c r="G45" s="162"/>
      <c r="H45" s="162"/>
      <c r="I45" s="162"/>
      <c r="J45" s="163"/>
      <c r="K45" s="162"/>
      <c r="L45" s="162"/>
      <c r="M45" s="162"/>
      <c r="N45" s="162"/>
      <c r="O45" s="162"/>
      <c r="P45" s="162"/>
      <c r="Q45" s="162"/>
    </row>
    <row r="47" spans="1:17">
      <c r="B47" s="196" t="s">
        <v>9</v>
      </c>
      <c r="C47" s="196"/>
      <c r="D47" s="196"/>
      <c r="E47" s="196"/>
      <c r="F47" s="196"/>
      <c r="G47" s="196"/>
      <c r="H47" s="196"/>
      <c r="I47" s="197"/>
      <c r="J47" s="198"/>
      <c r="K47" s="196"/>
      <c r="L47" s="196"/>
      <c r="M47" s="196"/>
      <c r="N47" s="196"/>
      <c r="O47" s="196"/>
      <c r="P47" s="196"/>
      <c r="Q47" s="196"/>
    </row>
    <row r="48" spans="1:17">
      <c r="B48" s="168" t="s">
        <v>51</v>
      </c>
      <c r="E48" s="154">
        <v>539548.51561100001</v>
      </c>
      <c r="F48" s="154">
        <f t="shared" ref="F48:Q48" si="19">SUM(F49:F50)</f>
        <v>654210.80100899993</v>
      </c>
      <c r="G48" s="154">
        <f t="shared" si="19"/>
        <v>661315.56915300002</v>
      </c>
      <c r="H48" s="154">
        <f t="shared" si="19"/>
        <v>681446.47678500018</v>
      </c>
      <c r="I48" s="154">
        <f t="shared" si="19"/>
        <v>534137.00264100009</v>
      </c>
      <c r="J48" s="166">
        <f t="shared" si="19"/>
        <v>186782.66079924491</v>
      </c>
      <c r="K48" s="154">
        <f>SUM(K49:K50)</f>
        <v>720919.66344024497</v>
      </c>
      <c r="L48" s="154">
        <f t="shared" si="19"/>
        <v>751181.67722302023</v>
      </c>
      <c r="M48" s="154">
        <f t="shared" si="19"/>
        <v>784085.56049893249</v>
      </c>
      <c r="N48" s="154">
        <f t="shared" si="19"/>
        <v>816614.33873735147</v>
      </c>
      <c r="O48" s="154">
        <f t="shared" si="19"/>
        <v>849160.39266272227</v>
      </c>
      <c r="P48" s="154">
        <f t="shared" si="19"/>
        <v>881621.10127040558</v>
      </c>
      <c r="Q48" s="154">
        <f t="shared" si="19"/>
        <v>0</v>
      </c>
    </row>
    <row r="49" spans="2:17">
      <c r="B49" s="170" t="s">
        <v>334</v>
      </c>
      <c r="E49" s="154">
        <v>595617.58089300001</v>
      </c>
      <c r="F49" s="154">
        <f t="shared" ref="F49:P49" si="20">F69</f>
        <v>620021.30610099994</v>
      </c>
      <c r="G49" s="154">
        <f t="shared" si="20"/>
        <v>636731.74973000004</v>
      </c>
      <c r="H49" s="154">
        <f t="shared" si="20"/>
        <v>659503.50156600017</v>
      </c>
      <c r="I49" s="154">
        <f t="shared" si="20"/>
        <v>518548.12335400004</v>
      </c>
      <c r="J49" s="166">
        <f t="shared" si="20"/>
        <v>180213.33425710816</v>
      </c>
      <c r="K49" s="154">
        <f>SUM(I49:J49)</f>
        <v>698761.4576111082</v>
      </c>
      <c r="L49" s="154">
        <f t="shared" si="20"/>
        <v>728597.65801070596</v>
      </c>
      <c r="M49" s="154">
        <f t="shared" si="20"/>
        <v>761066.43222924869</v>
      </c>
      <c r="N49" s="154">
        <f t="shared" si="20"/>
        <v>793150.6269731411</v>
      </c>
      <c r="O49" s="154">
        <f t="shared" si="20"/>
        <v>825242.62296682806</v>
      </c>
      <c r="P49" s="154">
        <f t="shared" si="20"/>
        <v>857354.74379231315</v>
      </c>
    </row>
    <row r="50" spans="2:17">
      <c r="B50" s="170" t="s">
        <v>335</v>
      </c>
      <c r="E50" s="154">
        <v>21985.642336000001</v>
      </c>
      <c r="F50" s="154">
        <f t="shared" ref="F50:P50" si="21">F136</f>
        <v>34189.494907999993</v>
      </c>
      <c r="G50" s="154">
        <f t="shared" si="21"/>
        <v>24583.819422999994</v>
      </c>
      <c r="H50" s="154">
        <f t="shared" si="21"/>
        <v>21942.975219</v>
      </c>
      <c r="I50" s="154">
        <f t="shared" si="21"/>
        <v>15588.879287</v>
      </c>
      <c r="J50" s="166">
        <f>J136</f>
        <v>6569.3265421367505</v>
      </c>
      <c r="K50" s="154">
        <f>SUM(I50:J50)</f>
        <v>22158.20582913675</v>
      </c>
      <c r="L50" s="154">
        <f t="shared" si="21"/>
        <v>22584.019212314273</v>
      </c>
      <c r="M50" s="154">
        <f t="shared" si="21"/>
        <v>23019.128269683752</v>
      </c>
      <c r="N50" s="154">
        <f t="shared" si="21"/>
        <v>23463.711764210413</v>
      </c>
      <c r="O50" s="154">
        <f t="shared" si="21"/>
        <v>23917.769695894254</v>
      </c>
      <c r="P50" s="154">
        <f t="shared" si="21"/>
        <v>24266.357478092479</v>
      </c>
    </row>
    <row r="51" spans="2:17">
      <c r="B51" s="170" t="s">
        <v>338</v>
      </c>
      <c r="E51" s="154">
        <f>E48-SUM(E49:E50)</f>
        <v>-78054.707617999986</v>
      </c>
    </row>
    <row r="52" spans="2:17">
      <c r="B52" s="168" t="s">
        <v>52</v>
      </c>
      <c r="E52" s="154">
        <f t="shared" ref="E52:P52" si="22">E144</f>
        <v>189261.677391</v>
      </c>
      <c r="F52" s="154">
        <f t="shared" si="22"/>
        <v>200517.36044999998</v>
      </c>
      <c r="G52" s="154">
        <f t="shared" si="22"/>
        <v>222449.599759</v>
      </c>
      <c r="H52" s="154">
        <f t="shared" si="22"/>
        <v>239354.19842199999</v>
      </c>
      <c r="I52" s="154">
        <f t="shared" si="22"/>
        <v>193517.07915200002</v>
      </c>
      <c r="J52" s="154">
        <f t="shared" si="22"/>
        <v>64505.693050666683</v>
      </c>
      <c r="K52" s="154">
        <f>SUM(I52:J52)</f>
        <v>258022.7722026667</v>
      </c>
      <c r="L52" s="154">
        <f t="shared" si="22"/>
        <v>272255.81560752384</v>
      </c>
      <c r="M52" s="154">
        <f t="shared" si="22"/>
        <v>282198.22568061698</v>
      </c>
      <c r="N52" s="154">
        <f t="shared" si="22"/>
        <v>293651.91806634527</v>
      </c>
      <c r="O52" s="154">
        <f t="shared" si="22"/>
        <v>308258.78944765648</v>
      </c>
      <c r="P52" s="154">
        <f t="shared" si="22"/>
        <v>324219.35443887184</v>
      </c>
    </row>
    <row r="53" spans="2:17" ht="13.8" thickBot="1">
      <c r="B53" s="175" t="s">
        <v>339</v>
      </c>
      <c r="C53" s="199"/>
      <c r="D53" s="199"/>
      <c r="E53" s="175">
        <f t="shared" ref="E53:Q53" si="23">SUM(E48,E52)</f>
        <v>728810.19300199999</v>
      </c>
      <c r="F53" s="175">
        <f t="shared" si="23"/>
        <v>854728.16145899985</v>
      </c>
      <c r="G53" s="175">
        <f t="shared" si="23"/>
        <v>883765.16891200002</v>
      </c>
      <c r="H53" s="175">
        <f t="shared" si="23"/>
        <v>920800.67520700023</v>
      </c>
      <c r="I53" s="200">
        <f t="shared" si="23"/>
        <v>727654.08179300011</v>
      </c>
      <c r="J53" s="176">
        <f t="shared" si="23"/>
        <v>251288.3538499116</v>
      </c>
      <c r="K53" s="175">
        <f t="shared" si="23"/>
        <v>978942.4356429117</v>
      </c>
      <c r="L53" s="175">
        <f t="shared" si="23"/>
        <v>1023437.492830544</v>
      </c>
      <c r="M53" s="175">
        <f t="shared" si="23"/>
        <v>1066283.7861795495</v>
      </c>
      <c r="N53" s="175">
        <f t="shared" si="23"/>
        <v>1110266.2568036967</v>
      </c>
      <c r="O53" s="175">
        <f t="shared" si="23"/>
        <v>1157419.1821103788</v>
      </c>
      <c r="P53" s="175">
        <f t="shared" si="23"/>
        <v>1205840.4557092774</v>
      </c>
      <c r="Q53" s="175">
        <f t="shared" si="23"/>
        <v>0</v>
      </c>
    </row>
    <row r="54" spans="2:17">
      <c r="B54" s="168"/>
      <c r="K54" s="174"/>
      <c r="L54" s="174"/>
      <c r="M54" s="174"/>
      <c r="N54" s="174"/>
      <c r="O54" s="174"/>
      <c r="P54" s="174"/>
    </row>
    <row r="55" spans="2:17">
      <c r="B55" s="168"/>
      <c r="K55" s="174"/>
      <c r="L55" s="174"/>
      <c r="M55" s="174"/>
      <c r="N55" s="174"/>
      <c r="O55" s="174"/>
      <c r="P55" s="174"/>
    </row>
    <row r="56" spans="2:17">
      <c r="B56" s="168"/>
      <c r="F56" s="154">
        <v>0</v>
      </c>
      <c r="G56" s="154">
        <v>0</v>
      </c>
      <c r="H56" s="154">
        <v>0</v>
      </c>
      <c r="J56" s="154"/>
      <c r="K56" s="201"/>
      <c r="L56" s="201"/>
      <c r="M56" s="201"/>
      <c r="N56" s="201"/>
      <c r="O56" s="201"/>
    </row>
    <row r="57" spans="2:17">
      <c r="B57" s="171" t="s">
        <v>340</v>
      </c>
    </row>
    <row r="59" spans="2:17" s="171" customFormat="1">
      <c r="B59" s="165" t="s">
        <v>341</v>
      </c>
      <c r="C59" s="165"/>
      <c r="D59" s="165"/>
      <c r="E59" s="165">
        <f t="shared" ref="E59:P59" si="24">SUM(E60,E64)</f>
        <v>533425.15584300004</v>
      </c>
      <c r="F59" s="165">
        <f t="shared" si="24"/>
        <v>634111.039842</v>
      </c>
      <c r="G59" s="165">
        <f t="shared" si="24"/>
        <v>649459.96635199955</v>
      </c>
      <c r="H59" s="165">
        <v>676217</v>
      </c>
      <c r="I59" s="165">
        <v>527324.99999999988</v>
      </c>
      <c r="J59" s="165">
        <f t="shared" si="24"/>
        <v>183263.6012111342</v>
      </c>
      <c r="K59" s="165">
        <f t="shared" si="24"/>
        <v>710588.60121113423</v>
      </c>
      <c r="L59" s="165">
        <f t="shared" si="24"/>
        <v>744070.25369335432</v>
      </c>
      <c r="M59" s="165">
        <f t="shared" si="24"/>
        <v>777228.53907113732</v>
      </c>
      <c r="N59" s="165">
        <f t="shared" si="24"/>
        <v>809994.07799397071</v>
      </c>
      <c r="O59" s="165">
        <f t="shared" si="24"/>
        <v>842767.58383496525</v>
      </c>
      <c r="P59" s="165">
        <f t="shared" si="24"/>
        <v>875561.6418813325</v>
      </c>
      <c r="Q59" s="165"/>
    </row>
    <row r="60" spans="2:17" s="171" customFormat="1">
      <c r="B60" s="202" t="s">
        <v>342</v>
      </c>
      <c r="E60" s="171">
        <f>533.100058388*1000</f>
        <v>533100.058388</v>
      </c>
      <c r="F60" s="171">
        <v>624228.52982299996</v>
      </c>
      <c r="G60" s="171">
        <v>622623.0009109996</v>
      </c>
      <c r="H60" s="171">
        <v>634023</v>
      </c>
      <c r="I60" s="171">
        <v>489727</v>
      </c>
      <c r="J60" s="172">
        <f>K60-I60</f>
        <v>168351.09149145649</v>
      </c>
      <c r="K60" s="171">
        <f>H60+SUM(K61:K62)</f>
        <v>658078.09149145649</v>
      </c>
      <c r="L60" s="171">
        <f>K60+SUM(L61:L62)</f>
        <v>682799.95219062362</v>
      </c>
      <c r="M60" s="171">
        <f t="shared" ref="M60:P60" si="25">L60+SUM(M61:M62)</f>
        <v>707995.06535506598</v>
      </c>
      <c r="N60" s="171">
        <f t="shared" si="25"/>
        <v>733522.0411430354</v>
      </c>
      <c r="O60" s="171">
        <f t="shared" si="25"/>
        <v>759655.43255618017</v>
      </c>
      <c r="P60" s="171">
        <f t="shared" si="25"/>
        <v>786310.67472059326</v>
      </c>
    </row>
    <row r="61" spans="2:17">
      <c r="B61" s="170" t="s">
        <v>343</v>
      </c>
      <c r="E61" s="154">
        <f>7.6708583865*1000*12</f>
        <v>92050.300638000001</v>
      </c>
      <c r="F61" s="154">
        <f>F74*F90*6+E74*E90*6</f>
        <v>93403.18897800002</v>
      </c>
      <c r="G61" s="154">
        <f>G74*G90*6+F74*F90*6</f>
        <v>92014.58677200001</v>
      </c>
      <c r="H61" s="154">
        <f>H74*H90*6+G74*G90*6</f>
        <v>92212.399626000013</v>
      </c>
      <c r="J61" s="193"/>
      <c r="K61" s="154">
        <f>K74*K90*6+H74*H90*6</f>
        <v>96594.351444430329</v>
      </c>
      <c r="L61" s="154">
        <f>L74*L90*6+K74*K90*6</f>
        <v>99485.912063628028</v>
      </c>
      <c r="M61" s="154">
        <f t="shared" ref="M61:P61" si="26">M74*M90*6+L74*L90*6</f>
        <v>102466.90502649541</v>
      </c>
      <c r="N61" s="154">
        <f t="shared" si="26"/>
        <v>105253.75475302267</v>
      </c>
      <c r="O61" s="154">
        <f t="shared" si="26"/>
        <v>108273.57473967181</v>
      </c>
      <c r="P61" s="154">
        <f t="shared" si="26"/>
        <v>111142.81843541474</v>
      </c>
    </row>
    <row r="62" spans="2:17">
      <c r="B62" s="170" t="s">
        <v>344</v>
      </c>
      <c r="E62" s="154">
        <f>-6.041480009*1000*12</f>
        <v>-72497.760108000002</v>
      </c>
      <c r="F62" s="154">
        <f>F75*F92*6+E75*E92*6</f>
        <v>-82187.157924000028</v>
      </c>
      <c r="G62" s="154">
        <f>G75*G92*6+F75*F92*6</f>
        <v>-85919.607539999997</v>
      </c>
      <c r="H62" s="154">
        <f>H75*H92*6+G75*G92*6</f>
        <v>-76104.891833999995</v>
      </c>
      <c r="K62" s="154">
        <f>K75*K92*6+H75*H92*6</f>
        <v>-72539.259952973865</v>
      </c>
      <c r="L62" s="154">
        <f t="shared" ref="L62:P62" si="27">L75*L92*6+K75*K92*6</f>
        <v>-74764.051364460931</v>
      </c>
      <c r="M62" s="154">
        <f t="shared" si="27"/>
        <v>-77271.791862053098</v>
      </c>
      <c r="N62" s="154">
        <f t="shared" si="27"/>
        <v>-79726.778965053236</v>
      </c>
      <c r="O62" s="154">
        <f t="shared" si="27"/>
        <v>-82140.183326526996</v>
      </c>
      <c r="P62" s="154">
        <f t="shared" si="27"/>
        <v>-84487.576271001613</v>
      </c>
    </row>
    <row r="63" spans="2:17">
      <c r="B63" s="170" t="s">
        <v>345</v>
      </c>
      <c r="E63" s="154">
        <f>-0.0382092840000001*1000</f>
        <v>-38.209284000000103</v>
      </c>
      <c r="F63" s="154">
        <f>F60-SUM(E60,F61:F62)</f>
        <v>79912.440381000051</v>
      </c>
      <c r="G63" s="154">
        <f>G60-SUM(F60,G61:G62)</f>
        <v>-7700.5081440004287</v>
      </c>
      <c r="H63" s="154">
        <f>H60-SUM(G60,H61:H62)</f>
        <v>-4707.508702999563</v>
      </c>
    </row>
    <row r="64" spans="2:17" s="171" customFormat="1">
      <c r="B64" s="202" t="s">
        <v>346</v>
      </c>
      <c r="E64" s="171">
        <f>0.325097455*1000</f>
        <v>325.09745499999997</v>
      </c>
      <c r="F64" s="171">
        <v>9882.5100189999994</v>
      </c>
      <c r="G64" s="171">
        <v>26836.965441</v>
      </c>
      <c r="H64" s="171">
        <v>42194</v>
      </c>
      <c r="I64" s="171">
        <v>37598</v>
      </c>
      <c r="J64" s="172">
        <f>K64-I64</f>
        <v>14912.509719677713</v>
      </c>
      <c r="K64" s="171">
        <f>H64+SUM(K65:K66)</f>
        <v>52510.509719677713</v>
      </c>
      <c r="L64" s="171">
        <f>K64+SUM(L65:L66)</f>
        <v>61270.301502730676</v>
      </c>
      <c r="M64" s="171">
        <f t="shared" ref="M64:P64" si="28">L64+SUM(M65:M66)</f>
        <v>69233.473716071327</v>
      </c>
      <c r="N64" s="171">
        <f t="shared" si="28"/>
        <v>76472.036850935299</v>
      </c>
      <c r="O64" s="171">
        <f t="shared" si="28"/>
        <v>83112.151278785037</v>
      </c>
      <c r="P64" s="171">
        <f t="shared" si="28"/>
        <v>89250.967160739252</v>
      </c>
    </row>
    <row r="65" spans="2:19">
      <c r="B65" s="170" t="s">
        <v>343</v>
      </c>
      <c r="E65" s="154">
        <f>0.0734145565*12*1000</f>
        <v>880.97467800000004</v>
      </c>
      <c r="F65" s="154">
        <f>F103*F119*6+E103*E119*6</f>
        <v>9210.0936300000012</v>
      </c>
      <c r="G65" s="154">
        <f>G103*G119*6+F103*F119*6</f>
        <v>19357.981590000003</v>
      </c>
      <c r="H65" s="154">
        <f>H103*H119*6+G103*G119*6</f>
        <v>20529.467466000002</v>
      </c>
      <c r="J65" s="193"/>
      <c r="K65" s="154">
        <f>K103*K119*6+H103*H119*6</f>
        <v>18299.155544587189</v>
      </c>
      <c r="L65" s="154">
        <f t="shared" ref="L65:P65" si="29">L103*L119*6+K103*K119*6</f>
        <v>17781.870998222712</v>
      </c>
      <c r="M65" s="154">
        <f t="shared" si="29"/>
        <v>18020.540484960853</v>
      </c>
      <c r="N65" s="154">
        <f t="shared" si="29"/>
        <v>18164.812608683922</v>
      </c>
      <c r="O65" s="154">
        <f t="shared" si="29"/>
        <v>18364.715919581478</v>
      </c>
      <c r="P65" s="154">
        <f t="shared" si="29"/>
        <v>18594.329634130678</v>
      </c>
    </row>
    <row r="66" spans="2:19">
      <c r="B66" s="170" t="s">
        <v>344</v>
      </c>
      <c r="E66" s="154">
        <f>-0.000866998*1000*12</f>
        <v>-10.403976</v>
      </c>
      <c r="F66" s="154">
        <f>F104*F121*6+E104*E121*6</f>
        <v>-1059.5162820000003</v>
      </c>
      <c r="G66" s="154">
        <f>G104*G121*6+F104*F121*6</f>
        <v>-3595.6642620000011</v>
      </c>
      <c r="H66" s="154">
        <f>H104*H121*6+G104*G121*6</f>
        <v>-6309.6766860000007</v>
      </c>
      <c r="K66" s="154">
        <f>K104*K121*6+H104*H121*6</f>
        <v>-7982.645824909474</v>
      </c>
      <c r="L66" s="154">
        <f t="shared" ref="L66:P66" si="30">L104*L121*6+K104*K121*6</f>
        <v>-9022.0792151697515</v>
      </c>
      <c r="M66" s="154">
        <f t="shared" si="30"/>
        <v>-10057.368271620198</v>
      </c>
      <c r="N66" s="154">
        <f t="shared" si="30"/>
        <v>-10926.249473819946</v>
      </c>
      <c r="O66" s="154">
        <f t="shared" si="30"/>
        <v>-11724.601491731744</v>
      </c>
      <c r="P66" s="154">
        <f t="shared" si="30"/>
        <v>-12455.513752176463</v>
      </c>
    </row>
    <row r="67" spans="2:19">
      <c r="B67" s="170" t="s">
        <v>345</v>
      </c>
      <c r="F67" s="154">
        <f>F64-SUM(E64,F65:F66)</f>
        <v>1406.8352159999995</v>
      </c>
      <c r="G67" s="154">
        <f>G64-SUM(F64,G65:G66)</f>
        <v>1192.1380939999981</v>
      </c>
      <c r="H67" s="154">
        <f>H64-SUM(G64,H65:H66)</f>
        <v>1137.2437789999967</v>
      </c>
    </row>
    <row r="68" spans="2:19" s="184" customFormat="1">
      <c r="B68" s="184" t="s">
        <v>347</v>
      </c>
      <c r="C68" s="203">
        <f>AVERAGE(F68:I68)</f>
        <v>0.97920546399234909</v>
      </c>
      <c r="E68" s="204">
        <f>E69/E59</f>
        <v>0.97489921219811981</v>
      </c>
      <c r="F68" s="204">
        <f t="shared" ref="F68:I68" si="31">F69/F59</f>
        <v>0.97778033679320464</v>
      </c>
      <c r="G68" s="204">
        <f t="shared" si="31"/>
        <v>0.98040184571576661</v>
      </c>
      <c r="H68" s="204">
        <f t="shared" si="31"/>
        <v>0.97528382392930102</v>
      </c>
      <c r="I68" s="204">
        <f t="shared" si="31"/>
        <v>0.98335584953112432</v>
      </c>
      <c r="J68" s="204">
        <f>J69/J59</f>
        <v>0.98335584953112487</v>
      </c>
      <c r="K68" s="204">
        <f>I68</f>
        <v>0.98335584953112432</v>
      </c>
      <c r="L68" s="204">
        <f t="shared" ref="L68:P68" si="32">$C$68</f>
        <v>0.97920546399234909</v>
      </c>
      <c r="M68" s="204">
        <f t="shared" si="32"/>
        <v>0.97920546399234909</v>
      </c>
      <c r="N68" s="204">
        <f t="shared" si="32"/>
        <v>0.97920546399234909</v>
      </c>
      <c r="O68" s="204">
        <f t="shared" si="32"/>
        <v>0.97920546399234909</v>
      </c>
      <c r="P68" s="204">
        <f t="shared" si="32"/>
        <v>0.97920546399234909</v>
      </c>
    </row>
    <row r="69" spans="2:19" ht="13.8" thickBot="1">
      <c r="B69" s="175" t="s">
        <v>334</v>
      </c>
      <c r="C69" s="175"/>
      <c r="D69" s="175"/>
      <c r="E69" s="175">
        <f>520.035764198*1000</f>
        <v>520035.76419800002</v>
      </c>
      <c r="F69" s="175">
        <v>620021.30610099994</v>
      </c>
      <c r="G69" s="175">
        <v>636731.74973000004</v>
      </c>
      <c r="H69" s="175">
        <v>659503.50156600017</v>
      </c>
      <c r="I69" s="175">
        <v>518548.12335400004</v>
      </c>
      <c r="J69" s="176">
        <f>K69-I69</f>
        <v>180213.33425710816</v>
      </c>
      <c r="K69" s="175">
        <f>K59*K68</f>
        <v>698761.4576111082</v>
      </c>
      <c r="L69" s="175">
        <f t="shared" ref="L69:P69" si="33">L59*L68</f>
        <v>728597.65801070596</v>
      </c>
      <c r="M69" s="175">
        <f t="shared" si="33"/>
        <v>761066.43222924869</v>
      </c>
      <c r="N69" s="175">
        <f t="shared" si="33"/>
        <v>793150.6269731411</v>
      </c>
      <c r="O69" s="175">
        <f t="shared" si="33"/>
        <v>825242.62296682806</v>
      </c>
      <c r="P69" s="175">
        <f t="shared" si="33"/>
        <v>857354.74379231315</v>
      </c>
      <c r="Q69" s="175"/>
    </row>
    <row r="70" spans="2:19">
      <c r="F70" s="154">
        <v>0</v>
      </c>
      <c r="G70" s="154">
        <v>0</v>
      </c>
      <c r="H70" s="154">
        <v>0</v>
      </c>
      <c r="K70" s="201"/>
      <c r="L70" s="201"/>
      <c r="M70" s="201"/>
      <c r="N70" s="201"/>
      <c r="O70" s="201"/>
    </row>
    <row r="72" spans="2:19">
      <c r="B72" s="154" t="s">
        <v>348</v>
      </c>
      <c r="C72" s="154" t="s">
        <v>349</v>
      </c>
    </row>
    <row r="73" spans="2:19">
      <c r="B73" s="205" t="s">
        <v>350</v>
      </c>
      <c r="C73" s="196"/>
      <c r="D73" s="196"/>
      <c r="E73" s="196">
        <v>419813</v>
      </c>
      <c r="F73" s="196">
        <f>E77</f>
        <v>547308</v>
      </c>
      <c r="G73" s="196">
        <f>F77</f>
        <v>548232</v>
      </c>
      <c r="H73" s="196">
        <f t="shared" ref="H73:I73" si="34">G77</f>
        <v>555722</v>
      </c>
      <c r="I73" s="196">
        <f t="shared" si="34"/>
        <v>581836</v>
      </c>
      <c r="J73" s="198">
        <f>I77</f>
        <v>598583</v>
      </c>
      <c r="K73" s="196">
        <f>I73</f>
        <v>581836</v>
      </c>
      <c r="L73" s="196">
        <f t="shared" ref="L73:P73" si="35">K77</f>
        <v>604165.0392451596</v>
      </c>
      <c r="M73" s="196">
        <f t="shared" si="35"/>
        <v>625966.71245448466</v>
      </c>
      <c r="N73" s="196">
        <f t="shared" si="35"/>
        <v>647348.98707578378</v>
      </c>
      <c r="O73" s="196">
        <f t="shared" si="35"/>
        <v>668408.0012222298</v>
      </c>
      <c r="P73" s="196">
        <f t="shared" si="35"/>
        <v>689228.57414021564</v>
      </c>
      <c r="Q73" s="196"/>
    </row>
    <row r="74" spans="2:19">
      <c r="B74" s="168" t="s">
        <v>351</v>
      </c>
      <c r="E74" s="154">
        <v>83849</v>
      </c>
      <c r="F74" s="154">
        <v>95750</v>
      </c>
      <c r="G74" s="154">
        <v>89229</v>
      </c>
      <c r="H74" s="154">
        <v>98162</v>
      </c>
      <c r="I74" s="154">
        <v>77215</v>
      </c>
      <c r="J74" s="166">
        <f>J80</f>
        <v>25738</v>
      </c>
      <c r="K74" s="154">
        <f>SUM(I74:J74)</f>
        <v>102953</v>
      </c>
      <c r="L74" s="154">
        <f t="shared" ref="L74:P74" si="36">L80</f>
        <v>105335</v>
      </c>
      <c r="M74" s="154">
        <f t="shared" si="36"/>
        <v>107769</v>
      </c>
      <c r="N74" s="154">
        <f t="shared" si="36"/>
        <v>110256</v>
      </c>
      <c r="O74" s="154">
        <f t="shared" si="36"/>
        <v>112796</v>
      </c>
      <c r="P74" s="154">
        <f t="shared" si="36"/>
        <v>114746</v>
      </c>
    </row>
    <row r="75" spans="2:19">
      <c r="B75" s="168" t="s">
        <v>352</v>
      </c>
      <c r="E75" s="154">
        <v>-68971</v>
      </c>
      <c r="F75" s="154">
        <v>-92331</v>
      </c>
      <c r="G75" s="154">
        <v>-81739</v>
      </c>
      <c r="H75" s="154">
        <v>-72048</v>
      </c>
      <c r="I75" s="154">
        <v>-60468</v>
      </c>
      <c r="J75" s="166">
        <f>-J85</f>
        <v>-20155.960754840416</v>
      </c>
      <c r="K75" s="154">
        <f>-K85</f>
        <v>-80623.960754840416</v>
      </c>
      <c r="L75" s="154">
        <f t="shared" ref="L75:P75" si="37">-L85</f>
        <v>-83533.32679067491</v>
      </c>
      <c r="M75" s="154">
        <f t="shared" si="37"/>
        <v>-86386.725378700939</v>
      </c>
      <c r="N75" s="154">
        <f t="shared" si="37"/>
        <v>-89196.985853553968</v>
      </c>
      <c r="O75" s="154">
        <f t="shared" si="37"/>
        <v>-91975.42708201411</v>
      </c>
      <c r="P75" s="154">
        <f t="shared" si="37"/>
        <v>-94656.331385828744</v>
      </c>
    </row>
    <row r="76" spans="2:19">
      <c r="B76" s="168" t="s">
        <v>353</v>
      </c>
      <c r="E76" s="154">
        <v>112617</v>
      </c>
      <c r="F76" s="154">
        <v>-2495</v>
      </c>
      <c r="G76" s="154">
        <v>0</v>
      </c>
      <c r="H76" s="154">
        <v>0</v>
      </c>
      <c r="I76" s="154">
        <v>0</v>
      </c>
      <c r="K76" s="154">
        <v>0</v>
      </c>
      <c r="L76" s="154">
        <v>0</v>
      </c>
      <c r="M76" s="154">
        <v>0</v>
      </c>
      <c r="N76" s="154">
        <v>0</v>
      </c>
      <c r="O76" s="154">
        <v>0</v>
      </c>
      <c r="P76" s="154">
        <v>0</v>
      </c>
    </row>
    <row r="77" spans="2:19">
      <c r="B77" s="206" t="s">
        <v>354</v>
      </c>
      <c r="C77" s="207"/>
      <c r="D77" s="207"/>
      <c r="E77" s="207">
        <f>SUM(E73:E76)</f>
        <v>547308</v>
      </c>
      <c r="F77" s="207">
        <f t="shared" ref="F77:P77" si="38">SUM(F73:F76)</f>
        <v>548232</v>
      </c>
      <c r="G77" s="207">
        <f t="shared" si="38"/>
        <v>555722</v>
      </c>
      <c r="H77" s="207">
        <f t="shared" si="38"/>
        <v>581836</v>
      </c>
      <c r="I77" s="207">
        <f t="shared" si="38"/>
        <v>598583</v>
      </c>
      <c r="J77" s="208">
        <f t="shared" si="38"/>
        <v>604165.0392451596</v>
      </c>
      <c r="K77" s="207">
        <f t="shared" si="38"/>
        <v>604165.0392451596</v>
      </c>
      <c r="L77" s="207">
        <f t="shared" si="38"/>
        <v>625966.71245448466</v>
      </c>
      <c r="M77" s="207">
        <f t="shared" si="38"/>
        <v>647348.98707578378</v>
      </c>
      <c r="N77" s="207">
        <f t="shared" si="38"/>
        <v>668408.0012222298</v>
      </c>
      <c r="O77" s="207">
        <f t="shared" si="38"/>
        <v>689228.57414021564</v>
      </c>
      <c r="P77" s="207">
        <f t="shared" si="38"/>
        <v>709318.24275438685</v>
      </c>
      <c r="Q77" s="207"/>
    </row>
    <row r="78" spans="2:19">
      <c r="J78" s="195">
        <f>K77-J77</f>
        <v>0</v>
      </c>
      <c r="K78" s="209">
        <f>K77/H77-1</f>
        <v>3.8376860911252697E-2</v>
      </c>
      <c r="L78" s="209">
        <f>L77/K77-1</f>
        <v>3.6085625273127198E-2</v>
      </c>
      <c r="M78" s="209">
        <f t="shared" ref="M78:P78" si="39">M77/L77-1</f>
        <v>3.4158804607128168E-2</v>
      </c>
      <c r="N78" s="209">
        <f t="shared" si="39"/>
        <v>3.253116103815068E-2</v>
      </c>
      <c r="O78" s="209">
        <f t="shared" si="39"/>
        <v>3.1149496834140145E-2</v>
      </c>
      <c r="P78" s="209">
        <f t="shared" si="39"/>
        <v>2.9148049526577235E-2</v>
      </c>
    </row>
    <row r="79" spans="2:19">
      <c r="H79" s="409"/>
      <c r="I79" s="409"/>
      <c r="J79" s="410">
        <f>I80/3</f>
        <v>25738.333333333332</v>
      </c>
      <c r="K79" s="409"/>
      <c r="L79" s="409"/>
      <c r="M79" s="409"/>
      <c r="N79" s="409"/>
      <c r="O79" s="409"/>
      <c r="P79" s="409"/>
      <c r="Q79" s="409"/>
      <c r="R79" s="409"/>
      <c r="S79" s="409"/>
    </row>
    <row r="80" spans="2:19">
      <c r="C80" s="154" t="s">
        <v>355</v>
      </c>
      <c r="E80" s="154">
        <f>E74</f>
        <v>83849</v>
      </c>
      <c r="F80" s="154">
        <f>F74</f>
        <v>95750</v>
      </c>
      <c r="G80" s="154">
        <f>G74</f>
        <v>89229</v>
      </c>
      <c r="H80" s="409">
        <v>98162</v>
      </c>
      <c r="I80" s="409">
        <v>77215</v>
      </c>
      <c r="J80" s="410">
        <f>K80-I80</f>
        <v>25738</v>
      </c>
      <c r="K80" s="409">
        <f>ROUNDDOWN(K81*K83,)</f>
        <v>102953</v>
      </c>
      <c r="L80" s="409">
        <f t="shared" ref="L80:P80" si="40">ROUNDDOWN(L81*L83,)</f>
        <v>105335</v>
      </c>
      <c r="M80" s="409">
        <f t="shared" si="40"/>
        <v>107769</v>
      </c>
      <c r="N80" s="409">
        <f t="shared" si="40"/>
        <v>110256</v>
      </c>
      <c r="O80" s="409">
        <f t="shared" si="40"/>
        <v>112796</v>
      </c>
      <c r="P80" s="409">
        <f t="shared" si="40"/>
        <v>114746</v>
      </c>
      <c r="Q80" s="409"/>
      <c r="R80" s="409"/>
      <c r="S80" s="409"/>
    </row>
    <row r="81" spans="2:19">
      <c r="C81" s="168" t="s">
        <v>356</v>
      </c>
      <c r="E81" s="154">
        <f>E80/E83</f>
        <v>111.3655783065855</v>
      </c>
      <c r="F81" s="154">
        <f t="shared" ref="F81:H81" si="41">F80/F83</f>
        <v>105.95721136112137</v>
      </c>
      <c r="G81" s="154">
        <f t="shared" si="41"/>
        <v>102.65056082830026</v>
      </c>
      <c r="H81" s="411">
        <f t="shared" si="41"/>
        <v>112.92723612309462</v>
      </c>
      <c r="I81" s="411">
        <f>(I80/3*4)/I83</f>
        <v>118.43926756782666</v>
      </c>
      <c r="J81" s="410">
        <f>I81</f>
        <v>118.43926756782666</v>
      </c>
      <c r="K81" s="409">
        <f>I81</f>
        <v>118.43926756782666</v>
      </c>
      <c r="L81" s="409">
        <f>K81*(1+L82)</f>
        <v>120.48685057378792</v>
      </c>
      <c r="M81" s="409">
        <f t="shared" ref="M81:P81" si="42">L81*(1+M82)</f>
        <v>122.56983228030177</v>
      </c>
      <c r="N81" s="409">
        <f t="shared" si="42"/>
        <v>124.68882466158227</v>
      </c>
      <c r="O81" s="409">
        <f t="shared" si="42"/>
        <v>126.84445027167929</v>
      </c>
      <c r="P81" s="409">
        <f t="shared" si="42"/>
        <v>129.03734242738309</v>
      </c>
      <c r="Q81" s="409"/>
      <c r="R81" s="409"/>
      <c r="S81" s="409"/>
    </row>
    <row r="82" spans="2:19" s="184" customFormat="1">
      <c r="C82" s="210" t="s">
        <v>357</v>
      </c>
      <c r="D82" s="204">
        <f>AVERAGE(F82:I82)</f>
        <v>1.7288041778784929E-2</v>
      </c>
      <c r="F82" s="204">
        <f>+IFERROR(F81/E81-1,)</f>
        <v>-4.8564080820153399E-2</v>
      </c>
      <c r="G82" s="204">
        <f>+IFERROR(G81/F81-1,)</f>
        <v>-3.1207413731864309E-2</v>
      </c>
      <c r="H82" s="412">
        <f>+IFERROR(H81/G81-1,)</f>
        <v>0.10011319189949441</v>
      </c>
      <c r="I82" s="412">
        <f>+IFERROR(I81/H81-1,)</f>
        <v>4.8810469767663012E-2</v>
      </c>
      <c r="J82" s="413"/>
      <c r="K82" s="414">
        <v>0.01</v>
      </c>
      <c r="L82" s="414">
        <f>D82</f>
        <v>1.7288041778784929E-2</v>
      </c>
      <c r="M82" s="414">
        <f t="shared" ref="M82:P82" si="43">L82</f>
        <v>1.7288041778784929E-2</v>
      </c>
      <c r="N82" s="414">
        <f t="shared" si="43"/>
        <v>1.7288041778784929E-2</v>
      </c>
      <c r="O82" s="414">
        <f t="shared" si="43"/>
        <v>1.7288041778784929E-2</v>
      </c>
      <c r="P82" s="414">
        <f t="shared" si="43"/>
        <v>1.7288041778784929E-2</v>
      </c>
      <c r="Q82" s="409"/>
      <c r="R82" s="415"/>
      <c r="S82" s="415"/>
    </row>
    <row r="83" spans="2:19">
      <c r="C83" s="168" t="s">
        <v>358</v>
      </c>
      <c r="E83" s="154">
        <v>752.91666666666663</v>
      </c>
      <c r="F83" s="154">
        <v>903.66666666666663</v>
      </c>
      <c r="G83" s="154">
        <v>869.25</v>
      </c>
      <c r="H83" s="409">
        <v>869.25</v>
      </c>
      <c r="I83" s="411">
        <f>H83</f>
        <v>869.25</v>
      </c>
      <c r="J83" s="410">
        <f>I83</f>
        <v>869.25</v>
      </c>
      <c r="K83" s="416">
        <v>869.25</v>
      </c>
      <c r="L83" s="416">
        <f>K83+L84</f>
        <v>874.25</v>
      </c>
      <c r="M83" s="416">
        <f t="shared" ref="M83:P83" si="44">L83+M84</f>
        <v>879.25</v>
      </c>
      <c r="N83" s="416">
        <f t="shared" si="44"/>
        <v>884.25</v>
      </c>
      <c r="O83" s="416">
        <f t="shared" si="44"/>
        <v>889.25</v>
      </c>
      <c r="P83" s="416">
        <f t="shared" si="44"/>
        <v>889.25</v>
      </c>
      <c r="Q83" s="409"/>
      <c r="R83" s="409"/>
      <c r="S83" s="409"/>
    </row>
    <row r="84" spans="2:19">
      <c r="H84" s="409"/>
      <c r="I84" s="409"/>
      <c r="J84" s="410"/>
      <c r="K84" s="409"/>
      <c r="L84" s="409">
        <v>5</v>
      </c>
      <c r="M84" s="409">
        <v>5</v>
      </c>
      <c r="N84" s="409">
        <v>5</v>
      </c>
      <c r="O84" s="409">
        <v>5</v>
      </c>
      <c r="P84" s="409">
        <v>0</v>
      </c>
      <c r="Q84" s="409"/>
      <c r="R84" s="409"/>
      <c r="S84" s="409"/>
    </row>
    <row r="85" spans="2:19">
      <c r="C85" s="154" t="s">
        <v>352</v>
      </c>
      <c r="E85" s="154">
        <f>-E75</f>
        <v>68971</v>
      </c>
      <c r="F85" s="154">
        <v>92331</v>
      </c>
      <c r="G85" s="154">
        <v>81739</v>
      </c>
      <c r="H85" s="154">
        <v>72048</v>
      </c>
      <c r="I85" s="154">
        <v>60468</v>
      </c>
      <c r="J85" s="166">
        <f>K85-I85</f>
        <v>20155.960754840416</v>
      </c>
      <c r="K85" s="154">
        <f>SUM(K73:K74)*K86</f>
        <v>80623.960754840416</v>
      </c>
      <c r="L85" s="154">
        <f t="shared" ref="L85:P85" si="45">SUM(L73:L74)*L86</f>
        <v>83533.32679067491</v>
      </c>
      <c r="M85" s="154">
        <f t="shared" si="45"/>
        <v>86386.725378700939</v>
      </c>
      <c r="N85" s="154">
        <f t="shared" si="45"/>
        <v>89196.985853553968</v>
      </c>
      <c r="O85" s="154">
        <f t="shared" si="45"/>
        <v>91975.42708201411</v>
      </c>
      <c r="P85" s="154">
        <f t="shared" si="45"/>
        <v>94656.331385828744</v>
      </c>
    </row>
    <row r="86" spans="2:19">
      <c r="C86" s="168" t="s">
        <v>359</v>
      </c>
      <c r="D86" s="174">
        <f>AVERAGE(G86:I86)</f>
        <v>0.1187153478144633</v>
      </c>
      <c r="E86" s="174">
        <f>IFERROR(E85/(E73+E74),)</f>
        <v>0.13693905833674169</v>
      </c>
      <c r="F86" s="174">
        <f t="shared" ref="F86:H86" si="46">IFERROR(F85/(F73+F74),)</f>
        <v>0.14358113887083279</v>
      </c>
      <c r="G86" s="174">
        <f t="shared" si="46"/>
        <v>0.12822588362268436</v>
      </c>
      <c r="H86" s="174">
        <f t="shared" si="46"/>
        <v>0.11018468107493072</v>
      </c>
      <c r="I86" s="174">
        <f>IFERROR((I85/3*4)/(I73+(I74/3*4)),)</f>
        <v>0.11773547874577485</v>
      </c>
      <c r="J86" s="194">
        <f>I86</f>
        <v>0.11773547874577485</v>
      </c>
      <c r="K86" s="212">
        <f>J86</f>
        <v>0.11773547874577485</v>
      </c>
      <c r="L86" s="212">
        <f>K86</f>
        <v>0.11773547874577485</v>
      </c>
      <c r="M86" s="212">
        <f>L86</f>
        <v>0.11773547874577485</v>
      </c>
      <c r="N86" s="212">
        <f t="shared" ref="N86:P86" si="47">M86</f>
        <v>0.11773547874577485</v>
      </c>
      <c r="O86" s="212">
        <f t="shared" si="47"/>
        <v>0.11773547874577485</v>
      </c>
      <c r="P86" s="212">
        <f t="shared" si="47"/>
        <v>0.11773547874577485</v>
      </c>
    </row>
    <row r="87" spans="2:19">
      <c r="I87" s="174"/>
    </row>
    <row r="89" spans="2:19">
      <c r="B89" s="154" t="s">
        <v>360</v>
      </c>
      <c r="C89" s="154" t="s">
        <v>361</v>
      </c>
      <c r="I89" s="213">
        <f>H90-I90</f>
        <v>1.7690346379038019E-3</v>
      </c>
    </row>
    <row r="90" spans="2:19">
      <c r="B90" s="205" t="s">
        <v>362</v>
      </c>
      <c r="C90" s="196" t="s">
        <v>363</v>
      </c>
      <c r="D90" s="196"/>
      <c r="E90" s="214">
        <v>9.1277185619387247E-2</v>
      </c>
      <c r="F90" s="214">
        <v>8.264958147258486E-2</v>
      </c>
      <c r="G90" s="214">
        <v>8.3179986730771385E-2</v>
      </c>
      <c r="H90" s="214">
        <v>8.095460804588335E-2</v>
      </c>
      <c r="I90" s="214">
        <v>7.9185573407979548E-2</v>
      </c>
      <c r="J90" s="215">
        <f>I90</f>
        <v>7.9185573407979548E-2</v>
      </c>
      <c r="K90" s="216">
        <f>I90</f>
        <v>7.9185573407979548E-2</v>
      </c>
      <c r="L90" s="214">
        <f>K90*(1+L91)</f>
        <v>8.0017021928763324E-2</v>
      </c>
      <c r="M90" s="214">
        <f t="shared" ref="M90:P90" si="48">L90*(1+M91)</f>
        <v>8.0257072994549608E-2</v>
      </c>
      <c r="N90" s="214">
        <f t="shared" si="48"/>
        <v>8.0658358359522342E-2</v>
      </c>
      <c r="O90" s="214">
        <f t="shared" si="48"/>
        <v>8.1142308509679476E-2</v>
      </c>
      <c r="P90" s="214">
        <f t="shared" si="48"/>
        <v>8.166973351499239E-2</v>
      </c>
      <c r="Q90" s="196"/>
    </row>
    <row r="91" spans="2:19">
      <c r="B91" s="170" t="s">
        <v>364</v>
      </c>
      <c r="E91" s="217"/>
      <c r="F91" s="218">
        <f>F90/E90-1</f>
        <v>-9.4520926431477137E-2</v>
      </c>
      <c r="G91" s="218">
        <f>G90/F90-1</f>
        <v>6.4175189848052483E-3</v>
      </c>
      <c r="H91" s="218">
        <f t="shared" ref="H91:I91" si="49">H90/G90-1</f>
        <v>-2.6753775425462867E-2</v>
      </c>
      <c r="I91" s="218">
        <f t="shared" si="49"/>
        <v>-2.1852179642462777E-2</v>
      </c>
      <c r="J91" s="218"/>
      <c r="K91" s="218">
        <f>K90/H90-1</f>
        <v>-2.1852179642462777E-2</v>
      </c>
      <c r="L91" s="218">
        <v>1.0500000000000001E-2</v>
      </c>
      <c r="M91" s="218">
        <v>3.0000000000000001E-3</v>
      </c>
      <c r="N91" s="218">
        <v>5.0000000000000001E-3</v>
      </c>
      <c r="O91" s="218">
        <v>6.0000000000000001E-3</v>
      </c>
      <c r="P91" s="218">
        <v>6.5000000000000006E-3</v>
      </c>
    </row>
    <row r="92" spans="2:19">
      <c r="B92" s="168" t="s">
        <v>365</v>
      </c>
      <c r="C92" s="154" t="s">
        <v>366</v>
      </c>
      <c r="E92" s="219">
        <v>8.8396899885459151E-2</v>
      </c>
      <c r="F92" s="219">
        <v>8.2323781525164896E-2</v>
      </c>
      <c r="G92" s="219">
        <v>8.2199409315014862E-2</v>
      </c>
      <c r="H92" s="219">
        <v>8.2795513005218729E-2</v>
      </c>
      <c r="I92" s="219">
        <v>7.5965326938633115E-2</v>
      </c>
      <c r="J92" s="219">
        <f>I92</f>
        <v>7.5965326938633115E-2</v>
      </c>
      <c r="K92" s="219">
        <f>I92</f>
        <v>7.5965326938633115E-2</v>
      </c>
      <c r="L92" s="219">
        <f>K92*(1+L93)</f>
        <v>7.5850560884024212E-2</v>
      </c>
      <c r="M92" s="219">
        <f t="shared" ref="M92:P92" si="50">L92*(1+M93)</f>
        <v>7.573596821440319E-2</v>
      </c>
      <c r="N92" s="219">
        <f t="shared" si="50"/>
        <v>7.5621548667825403E-2</v>
      </c>
      <c r="O92" s="219">
        <f t="shared" si="50"/>
        <v>7.5507301982741928E-2</v>
      </c>
      <c r="P92" s="219">
        <f t="shared" si="50"/>
        <v>7.5393227897999002E-2</v>
      </c>
    </row>
    <row r="93" spans="2:19">
      <c r="B93" s="170" t="s">
        <v>364</v>
      </c>
      <c r="E93" s="217"/>
      <c r="F93" s="218">
        <f>F92/E92-1</f>
        <v>-6.8702843291603366E-2</v>
      </c>
      <c r="G93" s="218">
        <f>G92/F92-1</f>
        <v>-1.5107689156871329E-3</v>
      </c>
      <c r="H93" s="218">
        <f t="shared" ref="H93:I93" si="51">H92/G92-1</f>
        <v>7.2519218224476045E-3</v>
      </c>
      <c r="I93" s="218">
        <f t="shared" si="51"/>
        <v>-8.2494640333409142E-2</v>
      </c>
      <c r="K93" s="218">
        <f>K92/H92-1</f>
        <v>-8.2494640333409142E-2</v>
      </c>
      <c r="L93" s="218">
        <f>$G$93</f>
        <v>-1.5107689156871329E-3</v>
      </c>
      <c r="M93" s="218">
        <f t="shared" ref="M93:O93" si="52">$G$93</f>
        <v>-1.5107689156871329E-3</v>
      </c>
      <c r="N93" s="218">
        <f t="shared" si="52"/>
        <v>-1.5107689156871329E-3</v>
      </c>
      <c r="O93" s="218">
        <f t="shared" si="52"/>
        <v>-1.5107689156871329E-3</v>
      </c>
      <c r="P93" s="417">
        <f>O93</f>
        <v>-1.5107689156871329E-3</v>
      </c>
    </row>
    <row r="94" spans="2:19">
      <c r="B94" s="220" t="s">
        <v>367</v>
      </c>
      <c r="I94" s="221"/>
      <c r="L94" s="164">
        <f>G93-L93</f>
        <v>0</v>
      </c>
    </row>
    <row r="95" spans="2:19">
      <c r="B95" s="222" t="s">
        <v>368</v>
      </c>
      <c r="E95" s="154">
        <v>1505.5605629999998</v>
      </c>
      <c r="F95" s="154">
        <v>1624.4555559999999</v>
      </c>
      <c r="G95" s="154">
        <v>1651.3914629999999</v>
      </c>
      <c r="H95" s="154">
        <v>1424.158126</v>
      </c>
      <c r="I95" s="154">
        <v>980.14100000000008</v>
      </c>
      <c r="K95" s="154">
        <v>1451.8303055167016</v>
      </c>
      <c r="L95" s="154">
        <v>2272.423673666533</v>
      </c>
      <c r="M95" s="154">
        <v>3199.6961715761918</v>
      </c>
      <c r="N95" s="154">
        <v>4271.9445659871144</v>
      </c>
      <c r="O95" s="154">
        <v>4612.362576847956</v>
      </c>
      <c r="P95" s="154">
        <v>0</v>
      </c>
    </row>
    <row r="96" spans="2:19">
      <c r="B96" s="222"/>
      <c r="I96" s="221"/>
      <c r="J96" s="223"/>
    </row>
    <row r="97" spans="2:17">
      <c r="B97" s="222" t="s">
        <v>369</v>
      </c>
      <c r="E97" s="154">
        <v>1543.7698469999998</v>
      </c>
      <c r="F97" s="154">
        <v>1629.1314110000001</v>
      </c>
      <c r="G97" s="154">
        <v>1717.0207349999998</v>
      </c>
      <c r="H97" s="154">
        <v>1492.5527689999999</v>
      </c>
      <c r="I97" s="154">
        <v>983.33872199999996</v>
      </c>
      <c r="K97" s="154">
        <v>1451.8303055167016</v>
      </c>
      <c r="L97" s="154">
        <v>1514.9491157776888</v>
      </c>
      <c r="M97" s="154">
        <v>1599.8480857880959</v>
      </c>
      <c r="N97" s="154">
        <v>1708.777826394846</v>
      </c>
      <c r="O97" s="154">
        <v>1844.9450307391824</v>
      </c>
      <c r="P97" s="154">
        <v>0</v>
      </c>
    </row>
    <row r="98" spans="2:17">
      <c r="B98" s="224"/>
      <c r="C98" s="177"/>
      <c r="D98" s="177"/>
      <c r="E98" s="177"/>
      <c r="F98" s="177"/>
      <c r="G98" s="177"/>
      <c r="H98" s="177"/>
      <c r="I98" s="225"/>
      <c r="J98" s="226"/>
      <c r="K98" s="177"/>
      <c r="L98" s="177"/>
      <c r="M98" s="177"/>
      <c r="N98" s="177"/>
      <c r="O98" s="177"/>
      <c r="P98" s="177"/>
      <c r="Q98" s="177"/>
    </row>
    <row r="101" spans="2:17">
      <c r="B101" s="154" t="s">
        <v>370</v>
      </c>
      <c r="C101" s="154" t="s">
        <v>371</v>
      </c>
    </row>
    <row r="102" spans="2:17">
      <c r="B102" s="205" t="s">
        <v>350</v>
      </c>
      <c r="C102" s="196"/>
      <c r="D102" s="196"/>
      <c r="E102" s="196">
        <v>0</v>
      </c>
      <c r="F102" s="196">
        <f>E106</f>
        <v>2529</v>
      </c>
      <c r="G102" s="196">
        <f>F106</f>
        <v>23331</v>
      </c>
      <c r="H102" s="196">
        <f>G106</f>
        <v>45605</v>
      </c>
      <c r="I102" s="197">
        <f>H106</f>
        <v>58710</v>
      </c>
      <c r="J102" s="198">
        <f>I106</f>
        <v>65571</v>
      </c>
      <c r="K102" s="196">
        <f>I102</f>
        <v>58710</v>
      </c>
      <c r="L102" s="196">
        <f t="shared" ref="L102:P102" si="53">K106</f>
        <v>67858</v>
      </c>
      <c r="M102" s="196">
        <f t="shared" si="53"/>
        <v>75645.79304980555</v>
      </c>
      <c r="N102" s="196">
        <f t="shared" si="53"/>
        <v>82275.626957391854</v>
      </c>
      <c r="O102" s="196">
        <f t="shared" si="53"/>
        <v>87919.677506896202</v>
      </c>
      <c r="P102" s="196">
        <f t="shared" si="53"/>
        <v>92724.519837698681</v>
      </c>
      <c r="Q102" s="196"/>
    </row>
    <row r="103" spans="2:17">
      <c r="B103" s="168" t="s">
        <v>351</v>
      </c>
      <c r="E103" s="154">
        <v>2560</v>
      </c>
      <c r="F103" s="154">
        <v>24116</v>
      </c>
      <c r="G103" s="154">
        <v>30021</v>
      </c>
      <c r="H103" s="154">
        <v>24587</v>
      </c>
      <c r="I103" s="154">
        <v>15750</v>
      </c>
      <c r="J103" s="166">
        <f>J109</f>
        <v>5250</v>
      </c>
      <c r="K103" s="154">
        <f>K109</f>
        <v>21000</v>
      </c>
      <c r="L103" s="154">
        <f t="shared" ref="L103:P103" si="54">L109</f>
        <v>21000</v>
      </c>
      <c r="M103" s="154">
        <f t="shared" si="54"/>
        <v>21000</v>
      </c>
      <c r="N103" s="154">
        <f t="shared" si="54"/>
        <v>21000</v>
      </c>
      <c r="O103" s="154">
        <f t="shared" si="54"/>
        <v>21000</v>
      </c>
      <c r="P103" s="154">
        <f t="shared" si="54"/>
        <v>21000</v>
      </c>
    </row>
    <row r="104" spans="2:17">
      <c r="B104" s="168" t="s">
        <v>352</v>
      </c>
      <c r="E104" s="154">
        <v>-31</v>
      </c>
      <c r="F104" s="154">
        <v>-3314</v>
      </c>
      <c r="G104" s="154">
        <v>-7747</v>
      </c>
      <c r="H104" s="154">
        <v>-11482</v>
      </c>
      <c r="I104" s="154">
        <v>-8889</v>
      </c>
      <c r="J104" s="166">
        <f>J114</f>
        <v>2963.0000000000018</v>
      </c>
      <c r="K104" s="154">
        <f>-K114</f>
        <v>-11852.000000000002</v>
      </c>
      <c r="L104" s="154">
        <f t="shared" ref="L104:P104" si="55">-L114</f>
        <v>-13212.206950194455</v>
      </c>
      <c r="M104" s="154">
        <f t="shared" si="55"/>
        <v>-14370.166092413692</v>
      </c>
      <c r="N104" s="154">
        <f t="shared" si="55"/>
        <v>-15355.949450495651</v>
      </c>
      <c r="O104" s="154">
        <f t="shared" si="55"/>
        <v>-16195.157669197515</v>
      </c>
      <c r="P104" s="154">
        <f t="shared" si="55"/>
        <v>-16909.584859069186</v>
      </c>
    </row>
    <row r="105" spans="2:17">
      <c r="B105" s="168" t="s">
        <v>353</v>
      </c>
      <c r="K105" s="154">
        <f>SUM(I105:J105)</f>
        <v>0</v>
      </c>
    </row>
    <row r="106" spans="2:17">
      <c r="B106" s="206" t="s">
        <v>354</v>
      </c>
      <c r="C106" s="207"/>
      <c r="D106" s="207"/>
      <c r="E106" s="207">
        <f>SUM(E102:E105)</f>
        <v>2529</v>
      </c>
      <c r="F106" s="207">
        <f t="shared" ref="F106:P106" si="56">SUM(F102:F105)</f>
        <v>23331</v>
      </c>
      <c r="G106" s="207">
        <f t="shared" si="56"/>
        <v>45605</v>
      </c>
      <c r="H106" s="207">
        <f t="shared" si="56"/>
        <v>58710</v>
      </c>
      <c r="I106" s="227">
        <f t="shared" si="56"/>
        <v>65571</v>
      </c>
      <c r="J106" s="208">
        <f t="shared" si="56"/>
        <v>73784</v>
      </c>
      <c r="K106" s="207">
        <f t="shared" si="56"/>
        <v>67858</v>
      </c>
      <c r="L106" s="207">
        <f t="shared" si="56"/>
        <v>75645.79304980555</v>
      </c>
      <c r="M106" s="207">
        <f t="shared" si="56"/>
        <v>82275.626957391854</v>
      </c>
      <c r="N106" s="207">
        <f t="shared" si="56"/>
        <v>87919.677506896202</v>
      </c>
      <c r="O106" s="207">
        <f t="shared" si="56"/>
        <v>92724.519837698681</v>
      </c>
      <c r="P106" s="207">
        <f t="shared" si="56"/>
        <v>96814.934978629492</v>
      </c>
      <c r="Q106" s="207"/>
    </row>
    <row r="107" spans="2:17">
      <c r="I107" s="228"/>
      <c r="K107" s="209">
        <f>K106/H106-1</f>
        <v>0.15581672628172383</v>
      </c>
      <c r="L107" s="209">
        <f>L106/K106-1</f>
        <v>0.11476602684732162</v>
      </c>
      <c r="M107" s="209">
        <f t="shared" ref="M107:P107" si="57">M106/L106-1</f>
        <v>8.7643127797221831E-2</v>
      </c>
      <c r="N107" s="209">
        <f t="shared" si="57"/>
        <v>6.859930161853689E-2</v>
      </c>
      <c r="O107" s="209">
        <f t="shared" si="57"/>
        <v>5.465036345732277E-2</v>
      </c>
      <c r="P107" s="209">
        <f t="shared" si="57"/>
        <v>4.4113629793829157E-2</v>
      </c>
    </row>
    <row r="108" spans="2:17">
      <c r="J108" s="166">
        <f>I109/3</f>
        <v>5250</v>
      </c>
      <c r="L108" s="209">
        <f>SUM(L77,L106)/SUM(K77,K106)-1</f>
        <v>4.4030434272560814E-2</v>
      </c>
      <c r="M108" s="209">
        <f>SUM(M77,M106)/SUM(L77,L106)-1</f>
        <v>3.9925326742503708E-2</v>
      </c>
      <c r="N108" s="209">
        <f>SUM(N77,N106)/SUM(M77,M106)-1</f>
        <v>3.6598360557414278E-2</v>
      </c>
      <c r="O108" s="209">
        <f>SUM(O77,O106)/SUM(N77,N106)-1</f>
        <v>3.3881366462546136E-2</v>
      </c>
      <c r="P108" s="209">
        <f>SUM(P77,P106)/SUM(O77,O106)-1</f>
        <v>3.0922678024194905E-2</v>
      </c>
      <c r="Q108" s="209"/>
    </row>
    <row r="109" spans="2:17">
      <c r="C109" s="154" t="s">
        <v>351</v>
      </c>
      <c r="E109" s="154">
        <f>E103</f>
        <v>2560</v>
      </c>
      <c r="F109" s="154">
        <f t="shared" ref="F109:G109" si="58">F103</f>
        <v>24116</v>
      </c>
      <c r="G109" s="154">
        <f t="shared" si="58"/>
        <v>30021</v>
      </c>
      <c r="H109" s="409">
        <v>24587</v>
      </c>
      <c r="I109" s="409">
        <v>15750</v>
      </c>
      <c r="J109" s="409">
        <f>K109-I109</f>
        <v>5250</v>
      </c>
      <c r="K109" s="154">
        <f>ROUNDDOWN(K110*K112,)</f>
        <v>21000</v>
      </c>
      <c r="L109" s="154">
        <f t="shared" ref="L109:O109" si="59">ROUNDDOWN(L110*L112,)</f>
        <v>21000</v>
      </c>
      <c r="M109" s="154">
        <f t="shared" si="59"/>
        <v>21000</v>
      </c>
      <c r="N109" s="154">
        <f t="shared" si="59"/>
        <v>21000</v>
      </c>
      <c r="O109" s="154">
        <f t="shared" si="59"/>
        <v>21000</v>
      </c>
      <c r="P109" s="154">
        <f t="shared" ref="P109" si="60">P110*P112</f>
        <v>21000</v>
      </c>
    </row>
    <row r="110" spans="2:17">
      <c r="C110" s="168" t="s">
        <v>372</v>
      </c>
      <c r="E110" s="154">
        <f>IFERROR(E109/E112,)</f>
        <v>0</v>
      </c>
      <c r="F110" s="154">
        <f t="shared" ref="F110:H110" si="61">IFERROR(F109/F112,)</f>
        <v>0</v>
      </c>
      <c r="G110" s="229">
        <f t="shared" si="61"/>
        <v>25.017499999999998</v>
      </c>
      <c r="H110" s="418">
        <f t="shared" si="61"/>
        <v>19.892394822006473</v>
      </c>
      <c r="I110" s="418">
        <f>IFERROR((I109/3*4)/I112,)</f>
        <v>16.990291262135923</v>
      </c>
      <c r="J110" s="410">
        <f>I110</f>
        <v>16.990291262135923</v>
      </c>
      <c r="K110" s="211">
        <f>I110</f>
        <v>16.990291262135923</v>
      </c>
      <c r="L110" s="211">
        <f>K110*(1+L111)</f>
        <v>16.990291262135923</v>
      </c>
      <c r="M110" s="211">
        <f t="shared" ref="M110:P110" si="62">L110*(1+M111)</f>
        <v>16.990291262135923</v>
      </c>
      <c r="N110" s="211">
        <f t="shared" si="62"/>
        <v>16.990291262135923</v>
      </c>
      <c r="O110" s="211">
        <f t="shared" si="62"/>
        <v>16.990291262135923</v>
      </c>
      <c r="P110" s="211">
        <f t="shared" si="62"/>
        <v>16.990291262135923</v>
      </c>
    </row>
    <row r="111" spans="2:17">
      <c r="C111" s="170" t="s">
        <v>357</v>
      </c>
      <c r="H111" s="409"/>
      <c r="I111" s="409"/>
      <c r="J111" s="410"/>
      <c r="K111" s="154">
        <v>0</v>
      </c>
      <c r="L111" s="154">
        <v>0</v>
      </c>
      <c r="M111" s="154">
        <v>0</v>
      </c>
      <c r="N111" s="154">
        <v>0</v>
      </c>
      <c r="O111" s="154">
        <v>0</v>
      </c>
      <c r="P111" s="154">
        <v>0</v>
      </c>
    </row>
    <row r="112" spans="2:17">
      <c r="C112" s="168" t="s">
        <v>373</v>
      </c>
      <c r="F112" s="154">
        <v>0</v>
      </c>
      <c r="G112" s="154">
        <v>1200</v>
      </c>
      <c r="H112" s="409">
        <v>1236</v>
      </c>
      <c r="I112" s="409">
        <f>H112</f>
        <v>1236</v>
      </c>
      <c r="J112" s="410">
        <f>I112</f>
        <v>1236</v>
      </c>
      <c r="K112" s="211">
        <f>H112*(1+K113)</f>
        <v>1236</v>
      </c>
      <c r="L112" s="211">
        <f>K112*(1+L113)</f>
        <v>1236</v>
      </c>
      <c r="M112" s="211">
        <f t="shared" ref="M112:P112" si="63">L112*(1+M113)</f>
        <v>1236</v>
      </c>
      <c r="N112" s="211">
        <f t="shared" si="63"/>
        <v>1236</v>
      </c>
      <c r="O112" s="211">
        <f t="shared" si="63"/>
        <v>1236</v>
      </c>
      <c r="P112" s="211">
        <f t="shared" si="63"/>
        <v>1236</v>
      </c>
    </row>
    <row r="113" spans="2:17">
      <c r="C113" s="168" t="s">
        <v>374</v>
      </c>
      <c r="H113" s="409"/>
      <c r="I113" s="409"/>
      <c r="J113" s="410">
        <f>I114/3</f>
        <v>2963</v>
      </c>
      <c r="K113" s="154">
        <v>0</v>
      </c>
      <c r="L113" s="154">
        <v>0</v>
      </c>
      <c r="M113" s="154">
        <v>0</v>
      </c>
      <c r="N113" s="154">
        <v>0</v>
      </c>
      <c r="O113" s="154">
        <v>0</v>
      </c>
      <c r="P113" s="154">
        <v>0</v>
      </c>
    </row>
    <row r="114" spans="2:17">
      <c r="C114" s="154" t="s">
        <v>352</v>
      </c>
      <c r="E114" s="154">
        <f>-E104</f>
        <v>31</v>
      </c>
      <c r="F114" s="154">
        <v>3314</v>
      </c>
      <c r="G114" s="154">
        <v>7747</v>
      </c>
      <c r="H114" s="154">
        <v>11482</v>
      </c>
      <c r="I114" s="154">
        <v>8889</v>
      </c>
      <c r="J114" s="154">
        <f>K114-I114</f>
        <v>2963.0000000000018</v>
      </c>
      <c r="K114" s="154">
        <f>SUM(K102:K103)*K115</f>
        <v>11852.000000000002</v>
      </c>
      <c r="L114" s="154">
        <f t="shared" ref="L114:P114" si="64">SUM(L102:L103)*L115</f>
        <v>13212.206950194455</v>
      </c>
      <c r="M114" s="154">
        <f t="shared" si="64"/>
        <v>14370.166092413692</v>
      </c>
      <c r="N114" s="154">
        <f t="shared" si="64"/>
        <v>15355.949450495651</v>
      </c>
      <c r="O114" s="154">
        <f t="shared" si="64"/>
        <v>16195.157669197515</v>
      </c>
      <c r="P114" s="154">
        <f t="shared" si="64"/>
        <v>16909.584859069186</v>
      </c>
    </row>
    <row r="115" spans="2:17">
      <c r="C115" s="168" t="s">
        <v>375</v>
      </c>
      <c r="D115" s="174">
        <f>AVERAGE(F115:I115)</f>
        <v>0.14546259410160012</v>
      </c>
      <c r="E115" s="174">
        <f>IFERROR(E114/(E102+E103),)</f>
        <v>1.2109375E-2</v>
      </c>
      <c r="F115" s="174">
        <f t="shared" ref="F115:H115" si="65">IFERROR(F114/(F102+F103),)</f>
        <v>0.12437605554513041</v>
      </c>
      <c r="G115" s="174">
        <f t="shared" si="65"/>
        <v>0.14520542810016493</v>
      </c>
      <c r="H115" s="174">
        <f t="shared" si="65"/>
        <v>0.16357989514474583</v>
      </c>
      <c r="I115" s="174">
        <f>IFERROR((I114/3*4)/(I102+(I103/3*4)),)</f>
        <v>0.14868899761635931</v>
      </c>
      <c r="J115" s="194">
        <f>I115</f>
        <v>0.14868899761635931</v>
      </c>
      <c r="K115" s="174">
        <f>I115</f>
        <v>0.14868899761635931</v>
      </c>
      <c r="L115" s="174">
        <f>K115</f>
        <v>0.14868899761635931</v>
      </c>
      <c r="M115" s="174">
        <f t="shared" ref="M115:P115" si="66">L115</f>
        <v>0.14868899761635931</v>
      </c>
      <c r="N115" s="174">
        <f t="shared" si="66"/>
        <v>0.14868899761635931</v>
      </c>
      <c r="O115" s="174">
        <f t="shared" si="66"/>
        <v>0.14868899761635931</v>
      </c>
      <c r="P115" s="174">
        <f t="shared" si="66"/>
        <v>0.14868899761635931</v>
      </c>
    </row>
    <row r="116" spans="2:17">
      <c r="D116" s="174">
        <f>AVERAGE(G115:I115)</f>
        <v>0.15249144028709002</v>
      </c>
    </row>
    <row r="117" spans="2:17">
      <c r="K117" s="228"/>
      <c r="L117" s="228"/>
      <c r="M117" s="228"/>
      <c r="N117" s="228"/>
    </row>
    <row r="118" spans="2:17">
      <c r="B118" s="154" t="s">
        <v>376</v>
      </c>
      <c r="C118" s="154" t="s">
        <v>361</v>
      </c>
    </row>
    <row r="119" spans="2:17">
      <c r="B119" s="205" t="s">
        <v>362</v>
      </c>
      <c r="C119" s="196" t="s">
        <v>363</v>
      </c>
      <c r="D119" s="196"/>
      <c r="E119" s="214">
        <v>5.7355122265624989E-2</v>
      </c>
      <c r="F119" s="214">
        <v>5.7562883231049924E-2</v>
      </c>
      <c r="G119" s="214">
        <v>6.1228599080643556E-2</v>
      </c>
      <c r="H119" s="214">
        <v>6.4401274575995426E-2</v>
      </c>
      <c r="I119" s="214">
        <v>6.9829767591961828E-2</v>
      </c>
      <c r="J119" s="214">
        <f>I119</f>
        <v>6.9829767591961828E-2</v>
      </c>
      <c r="K119" s="214">
        <f>I119</f>
        <v>6.9829767591961828E-2</v>
      </c>
      <c r="L119" s="214">
        <f>K119*(1+L120)</f>
        <v>7.1296192711393022E-2</v>
      </c>
      <c r="M119" s="214">
        <f t="shared" ref="M119:P119" si="67">L119*(1+M120)</f>
        <v>7.1723969867661386E-2</v>
      </c>
      <c r="N119" s="214">
        <f t="shared" si="67"/>
        <v>7.2441209566337997E-2</v>
      </c>
      <c r="O119" s="214">
        <f t="shared" si="67"/>
        <v>7.3310504081134056E-2</v>
      </c>
      <c r="P119" s="214">
        <f t="shared" si="67"/>
        <v>7.4263540634188788E-2</v>
      </c>
      <c r="Q119" s="196"/>
    </row>
    <row r="120" spans="2:17">
      <c r="B120" s="170" t="s">
        <v>364</v>
      </c>
      <c r="C120" s="209">
        <f>AVERAGE(F120:I120)</f>
        <v>5.0853221826030914E-2</v>
      </c>
      <c r="E120" s="217"/>
      <c r="F120" s="218">
        <f>F119/E119-1</f>
        <v>3.6223611286667623E-3</v>
      </c>
      <c r="G120" s="218">
        <f>G119/F119-1</f>
        <v>6.3681936064250433E-2</v>
      </c>
      <c r="H120" s="218">
        <f t="shared" ref="H120:I120" si="68">H119/G119-1</f>
        <v>5.1816888561718955E-2</v>
      </c>
      <c r="I120" s="218">
        <f t="shared" si="68"/>
        <v>8.4291701549487508E-2</v>
      </c>
      <c r="K120" s="230"/>
      <c r="L120" s="230">
        <v>2.1000000000000001E-2</v>
      </c>
      <c r="M120" s="230">
        <v>6.0000000000000001E-3</v>
      </c>
      <c r="N120" s="230">
        <v>0.01</v>
      </c>
      <c r="O120" s="230">
        <v>1.2E-2</v>
      </c>
      <c r="P120" s="230">
        <v>1.3000000000000001E-2</v>
      </c>
    </row>
    <row r="121" spans="2:17">
      <c r="B121" s="168" t="s">
        <v>365</v>
      </c>
      <c r="C121" s="154" t="s">
        <v>366</v>
      </c>
      <c r="E121" s="219">
        <v>5.5935354838709678E-2</v>
      </c>
      <c r="F121" s="219">
        <v>5.2761632770066395E-2</v>
      </c>
      <c r="G121" s="219">
        <v>5.4785765586678727E-2</v>
      </c>
      <c r="H121" s="219">
        <v>5.462353727573592E-2</v>
      </c>
      <c r="I121" s="219">
        <v>5.9336273693743294E-2</v>
      </c>
      <c r="J121" s="219">
        <f>I121</f>
        <v>5.9336273693743294E-2</v>
      </c>
      <c r="K121" s="219">
        <f>I121</f>
        <v>5.9336273693743294E-2</v>
      </c>
      <c r="L121" s="219">
        <f>K121*(1+L122)</f>
        <v>6.0582335441311898E-2</v>
      </c>
      <c r="M121" s="219">
        <f t="shared" ref="M121:P121" si="69">L121*(1+M122)</f>
        <v>6.0945829453959773E-2</v>
      </c>
      <c r="N121" s="219">
        <f t="shared" si="69"/>
        <v>6.1555287748499374E-2</v>
      </c>
      <c r="O121" s="219">
        <f t="shared" si="69"/>
        <v>6.2293951201481366E-2</v>
      </c>
      <c r="P121" s="219">
        <f t="shared" si="69"/>
        <v>6.3103772567100619E-2</v>
      </c>
    </row>
    <row r="122" spans="2:17">
      <c r="B122" s="170" t="s">
        <v>364</v>
      </c>
      <c r="C122" s="209">
        <f>AVERAGE(F122:I122)</f>
        <v>1.6235035130707509E-2</v>
      </c>
      <c r="E122" s="217"/>
      <c r="F122" s="218">
        <f>F121/E121-1</f>
        <v>-5.6739106738390221E-2</v>
      </c>
      <c r="G122" s="218">
        <f>G121/F121-1</f>
        <v>3.8363725880763422E-2</v>
      </c>
      <c r="H122" s="218">
        <f t="shared" ref="H122:I122" si="70">H121/G121-1</f>
        <v>-2.9611397998288158E-3</v>
      </c>
      <c r="I122" s="218">
        <f t="shared" si="70"/>
        <v>8.6276661180285652E-2</v>
      </c>
      <c r="J122" s="219"/>
      <c r="K122" s="230"/>
      <c r="L122" s="230">
        <v>2.1000000000000001E-2</v>
      </c>
      <c r="M122" s="230">
        <v>6.0000000000000001E-3</v>
      </c>
      <c r="N122" s="230">
        <v>0.01</v>
      </c>
      <c r="O122" s="230">
        <v>1.2E-2</v>
      </c>
      <c r="P122" s="230">
        <v>1.3000000000000001E-2</v>
      </c>
    </row>
    <row r="123" spans="2:17">
      <c r="B123" s="168" t="s">
        <v>367</v>
      </c>
      <c r="I123" s="221"/>
    </row>
    <row r="124" spans="2:17">
      <c r="B124" s="170" t="s">
        <v>368</v>
      </c>
      <c r="E124" s="154">
        <v>1505.5605629999998</v>
      </c>
      <c r="F124" s="154">
        <v>1624.4555559999999</v>
      </c>
      <c r="G124" s="154">
        <v>1651.3914629999999</v>
      </c>
      <c r="H124" s="154">
        <f>H95</f>
        <v>1424.158126</v>
      </c>
      <c r="I124" s="154">
        <f>I95</f>
        <v>980.14100000000008</v>
      </c>
    </row>
    <row r="125" spans="2:17">
      <c r="B125" s="170"/>
      <c r="I125" s="221"/>
    </row>
    <row r="126" spans="2:17">
      <c r="B126" s="170" t="s">
        <v>377</v>
      </c>
      <c r="E126" s="154">
        <v>1543.7698469999998</v>
      </c>
      <c r="F126" s="154">
        <v>1629.1314110000001</v>
      </c>
      <c r="G126" s="154">
        <v>1717.0207349999998</v>
      </c>
      <c r="H126" s="154">
        <f>H97</f>
        <v>1492.5527689999999</v>
      </c>
      <c r="I126" s="154">
        <f>I97</f>
        <v>983.33872199999996</v>
      </c>
    </row>
    <row r="127" spans="2:17">
      <c r="B127" s="224"/>
      <c r="C127" s="177"/>
      <c r="D127" s="177"/>
      <c r="E127" s="177"/>
      <c r="F127" s="177"/>
      <c r="G127" s="177"/>
      <c r="H127" s="177"/>
      <c r="I127" s="225"/>
      <c r="J127" s="226"/>
      <c r="K127" s="177"/>
      <c r="L127" s="177"/>
      <c r="M127" s="177"/>
      <c r="N127" s="177"/>
      <c r="O127" s="177"/>
      <c r="P127" s="177"/>
      <c r="Q127" s="177"/>
    </row>
    <row r="131" spans="2:17">
      <c r="B131" s="171" t="s">
        <v>378</v>
      </c>
      <c r="G131" s="231"/>
      <c r="H131" s="231"/>
    </row>
    <row r="133" spans="2:17">
      <c r="B133" s="196" t="s">
        <v>379</v>
      </c>
      <c r="C133" s="196"/>
      <c r="D133" s="196"/>
      <c r="E133" s="196">
        <f>E74+E103</f>
        <v>86409</v>
      </c>
      <c r="F133" s="196">
        <f t="shared" ref="F133:P133" si="71">F74+F103</f>
        <v>119866</v>
      </c>
      <c r="G133" s="196">
        <f t="shared" si="71"/>
        <v>119250</v>
      </c>
      <c r="H133" s="196">
        <f t="shared" si="71"/>
        <v>122749</v>
      </c>
      <c r="I133" s="196">
        <f t="shared" si="71"/>
        <v>92965</v>
      </c>
      <c r="J133" s="198">
        <f t="shared" si="71"/>
        <v>30988</v>
      </c>
      <c r="K133" s="196">
        <f>K74+K103</f>
        <v>123953</v>
      </c>
      <c r="L133" s="196">
        <f>L74+L103</f>
        <v>126335</v>
      </c>
      <c r="M133" s="196">
        <f t="shared" si="71"/>
        <v>128769</v>
      </c>
      <c r="N133" s="196">
        <f t="shared" si="71"/>
        <v>131256</v>
      </c>
      <c r="O133" s="196">
        <f t="shared" si="71"/>
        <v>133796</v>
      </c>
      <c r="P133" s="196">
        <f t="shared" si="71"/>
        <v>135746</v>
      </c>
      <c r="Q133" s="196"/>
    </row>
    <row r="134" spans="2:17">
      <c r="B134" s="154" t="s">
        <v>380</v>
      </c>
      <c r="E134" s="231">
        <v>0.22581850748185955</v>
      </c>
      <c r="F134" s="229">
        <f>F136/F133</f>
        <v>0.28523096547811716</v>
      </c>
      <c r="G134" s="229">
        <f>G136/G133</f>
        <v>0.20615362199580708</v>
      </c>
      <c r="H134" s="229">
        <f>H136/H133</f>
        <v>0.17876296522985929</v>
      </c>
      <c r="I134" s="229">
        <f>I136/I133</f>
        <v>0.16768546535793041</v>
      </c>
      <c r="J134" s="229"/>
      <c r="K134" s="232">
        <f>H134</f>
        <v>0.17876296522985929</v>
      </c>
      <c r="L134" s="232">
        <f>K134</f>
        <v>0.17876296522985929</v>
      </c>
      <c r="M134" s="232">
        <f t="shared" ref="M134:P134" si="72">L134</f>
        <v>0.17876296522985929</v>
      </c>
      <c r="N134" s="232">
        <f t="shared" si="72"/>
        <v>0.17876296522985929</v>
      </c>
      <c r="O134" s="232">
        <f t="shared" si="72"/>
        <v>0.17876296522985929</v>
      </c>
      <c r="P134" s="232">
        <f t="shared" si="72"/>
        <v>0.17876296522985929</v>
      </c>
    </row>
    <row r="135" spans="2:17">
      <c r="B135" s="168" t="s">
        <v>178</v>
      </c>
      <c r="E135" s="231"/>
      <c r="F135" s="231">
        <f>F134/E134-1</f>
        <v>0.2630982670941191</v>
      </c>
      <c r="G135" s="231">
        <f t="shared" ref="G135:I135" si="73">G134/F134-1</f>
        <v>-0.27723968661592202</v>
      </c>
      <c r="H135" s="231">
        <f t="shared" si="73"/>
        <v>-0.13286527057237385</v>
      </c>
      <c r="I135" s="231">
        <f t="shared" si="73"/>
        <v>-6.1967532579721207E-2</v>
      </c>
      <c r="K135" s="230">
        <v>0</v>
      </c>
      <c r="L135" s="230">
        <v>2.1000000000000001E-2</v>
      </c>
      <c r="M135" s="230">
        <v>6.0000000000000001E-3</v>
      </c>
      <c r="N135" s="230">
        <v>0.01</v>
      </c>
      <c r="O135" s="230">
        <v>1.2E-2</v>
      </c>
      <c r="P135" s="230">
        <v>1.3000000000000001E-2</v>
      </c>
    </row>
    <row r="136" spans="2:17" ht="13.8" thickBot="1">
      <c r="B136" s="175" t="s">
        <v>335</v>
      </c>
      <c r="C136" s="175"/>
      <c r="D136" s="175"/>
      <c r="E136" s="175">
        <v>19512.751413000002</v>
      </c>
      <c r="F136" s="175">
        <v>34189.494907999993</v>
      </c>
      <c r="G136" s="175">
        <v>24583.819422999994</v>
      </c>
      <c r="H136" s="175">
        <v>21942.975219</v>
      </c>
      <c r="I136" s="175">
        <v>15588.879287</v>
      </c>
      <c r="J136" s="176">
        <f>K136-I136</f>
        <v>6569.3265421367505</v>
      </c>
      <c r="K136" s="175">
        <f>K133*K134</f>
        <v>22158.20582913675</v>
      </c>
      <c r="L136" s="175">
        <f t="shared" ref="L136:P136" si="74">L133*L134</f>
        <v>22584.019212314273</v>
      </c>
      <c r="M136" s="175">
        <f t="shared" si="74"/>
        <v>23019.128269683752</v>
      </c>
      <c r="N136" s="175">
        <f t="shared" si="74"/>
        <v>23463.711764210413</v>
      </c>
      <c r="O136" s="175">
        <f t="shared" si="74"/>
        <v>23917.769695894254</v>
      </c>
      <c r="P136" s="175">
        <f t="shared" si="74"/>
        <v>24266.357478092479</v>
      </c>
      <c r="Q136" s="175"/>
    </row>
    <row r="137" spans="2:17">
      <c r="K137" s="201"/>
      <c r="L137" s="201"/>
      <c r="M137" s="201"/>
      <c r="N137" s="201"/>
      <c r="O137" s="201"/>
      <c r="P137" s="201"/>
    </row>
    <row r="140" spans="2:17">
      <c r="B140" s="233" t="s">
        <v>381</v>
      </c>
    </row>
    <row r="142" spans="2:17">
      <c r="B142" s="196" t="s">
        <v>382</v>
      </c>
      <c r="C142" s="196"/>
      <c r="D142" s="196"/>
      <c r="E142" s="196">
        <v>1262</v>
      </c>
      <c r="F142" s="196">
        <f>F151</f>
        <v>1236</v>
      </c>
      <c r="G142" s="196">
        <f t="shared" ref="G142:P142" si="75">G151</f>
        <v>1358</v>
      </c>
      <c r="H142" s="196">
        <f t="shared" si="75"/>
        <v>1370</v>
      </c>
      <c r="I142" s="196">
        <f t="shared" si="75"/>
        <v>1405</v>
      </c>
      <c r="J142" s="196">
        <f t="shared" si="75"/>
        <v>1405</v>
      </c>
      <c r="K142" s="196">
        <f t="shared" si="75"/>
        <v>1405</v>
      </c>
      <c r="L142" s="196">
        <f t="shared" si="75"/>
        <v>1429.1547386130314</v>
      </c>
      <c r="M142" s="196">
        <f t="shared" si="75"/>
        <v>1453.7247451246135</v>
      </c>
      <c r="N142" s="196">
        <f t="shared" si="75"/>
        <v>1478.7171588141371</v>
      </c>
      <c r="O142" s="196">
        <f t="shared" si="75"/>
        <v>1504.1392416993754</v>
      </c>
      <c r="P142" s="196">
        <f t="shared" si="75"/>
        <v>1529.9983806466007</v>
      </c>
      <c r="Q142" s="196"/>
    </row>
    <row r="143" spans="2:17">
      <c r="B143" s="154" t="s">
        <v>383</v>
      </c>
      <c r="E143" s="234">
        <f>E144/E142</f>
        <v>149.96963343185419</v>
      </c>
      <c r="F143" s="234">
        <f t="shared" ref="F143:H143" si="76">F144/F142</f>
        <v>162.23087415048542</v>
      </c>
      <c r="G143" s="234">
        <f t="shared" si="76"/>
        <v>163.80677449116348</v>
      </c>
      <c r="H143" s="234">
        <f t="shared" si="76"/>
        <v>174.71109373868612</v>
      </c>
      <c r="I143" s="234">
        <f>(I144/3*4)/I142</f>
        <v>183.64610121186243</v>
      </c>
      <c r="J143" s="235">
        <f t="shared" ref="J143" si="77">J160</f>
        <v>183.64610121186243</v>
      </c>
      <c r="K143" s="234">
        <f>K160</f>
        <v>183.64610121186243</v>
      </c>
      <c r="L143" s="236">
        <f t="shared" ref="L143:P143" si="78">L160</f>
        <v>190.50128600612075</v>
      </c>
      <c r="M143" s="236">
        <f t="shared" si="78"/>
        <v>194.12081044023702</v>
      </c>
      <c r="N143" s="236">
        <f t="shared" si="78"/>
        <v>198.58558908036244</v>
      </c>
      <c r="O143" s="236">
        <f t="shared" si="78"/>
        <v>204.94032793093407</v>
      </c>
      <c r="P143" s="236">
        <f t="shared" si="78"/>
        <v>211.90829908058581</v>
      </c>
    </row>
    <row r="144" spans="2:17" ht="13.8" thickBot="1">
      <c r="B144" s="175" t="s">
        <v>384</v>
      </c>
      <c r="C144" s="175"/>
      <c r="D144" s="175"/>
      <c r="E144" s="175">
        <v>189261.677391</v>
      </c>
      <c r="F144" s="175">
        <v>200517.36044999998</v>
      </c>
      <c r="G144" s="175">
        <v>222449.599759</v>
      </c>
      <c r="H144" s="175">
        <v>239354.19842199999</v>
      </c>
      <c r="I144" s="175">
        <v>193517.07915200002</v>
      </c>
      <c r="J144" s="176">
        <f>K144-I144</f>
        <v>64505.693050666683</v>
      </c>
      <c r="K144" s="175">
        <f>K142*K143</f>
        <v>258022.7722026667</v>
      </c>
      <c r="L144" s="175">
        <f t="shared" ref="L144:P144" si="79">L142*L143</f>
        <v>272255.81560752384</v>
      </c>
      <c r="M144" s="175">
        <f t="shared" si="79"/>
        <v>282198.22568061698</v>
      </c>
      <c r="N144" s="175">
        <f t="shared" si="79"/>
        <v>293651.91806634527</v>
      </c>
      <c r="O144" s="175">
        <f t="shared" si="79"/>
        <v>308258.78944765648</v>
      </c>
      <c r="P144" s="175">
        <f t="shared" si="79"/>
        <v>324219.35443887184</v>
      </c>
      <c r="Q144" s="175"/>
    </row>
    <row r="145" spans="2:19">
      <c r="J145" s="154"/>
      <c r="K145" s="201"/>
      <c r="L145" s="201"/>
      <c r="M145" s="201"/>
      <c r="N145" s="201"/>
      <c r="O145" s="201"/>
      <c r="P145" s="201"/>
    </row>
    <row r="146" spans="2:19">
      <c r="F146" s="228"/>
      <c r="G146" s="228"/>
      <c r="H146" s="228"/>
      <c r="I146" s="228"/>
      <c r="J146" s="228"/>
      <c r="K146" s="228"/>
      <c r="L146" s="228"/>
      <c r="M146" s="228"/>
      <c r="N146" s="228"/>
      <c r="O146" s="228"/>
      <c r="P146" s="228"/>
    </row>
    <row r="147" spans="2:19">
      <c r="B147" s="154" t="s">
        <v>385</v>
      </c>
    </row>
    <row r="148" spans="2:19">
      <c r="B148" s="205" t="s">
        <v>386</v>
      </c>
      <c r="C148" s="196"/>
      <c r="D148" s="196"/>
      <c r="E148" s="196">
        <v>86</v>
      </c>
      <c r="F148" s="196">
        <v>85</v>
      </c>
      <c r="G148" s="196">
        <v>98</v>
      </c>
      <c r="H148" s="196">
        <v>98</v>
      </c>
      <c r="I148" s="196">
        <f>H148</f>
        <v>98</v>
      </c>
      <c r="J148" s="198">
        <f>I148</f>
        <v>98</v>
      </c>
      <c r="K148" s="237">
        <v>98</v>
      </c>
      <c r="L148" s="237">
        <v>98</v>
      </c>
      <c r="M148" s="237">
        <v>98</v>
      </c>
      <c r="N148" s="237">
        <v>98</v>
      </c>
      <c r="O148" s="237">
        <v>98</v>
      </c>
      <c r="P148" s="237">
        <f>O148</f>
        <v>98</v>
      </c>
      <c r="Q148" s="196"/>
    </row>
    <row r="149" spans="2:19">
      <c r="B149" s="168" t="s">
        <v>387</v>
      </c>
      <c r="D149" s="229"/>
      <c r="E149" s="234">
        <f>E151/E148</f>
        <v>14.674418604651162</v>
      </c>
      <c r="F149" s="234">
        <f t="shared" ref="F149:I149" si="80">F151/F148</f>
        <v>14.541176470588235</v>
      </c>
      <c r="G149" s="234">
        <f t="shared" si="80"/>
        <v>13.857142857142858</v>
      </c>
      <c r="H149" s="234">
        <f t="shared" si="80"/>
        <v>13.979591836734693</v>
      </c>
      <c r="I149" s="234">
        <f t="shared" si="80"/>
        <v>14.336734693877551</v>
      </c>
      <c r="J149" s="235">
        <f>I149</f>
        <v>14.336734693877551</v>
      </c>
      <c r="K149" s="235">
        <f>I149</f>
        <v>14.336734693877551</v>
      </c>
      <c r="L149" s="238">
        <f>K149*(1+L150)</f>
        <v>14.58321161850032</v>
      </c>
      <c r="M149" s="238">
        <f t="shared" ref="M149:P149" si="81">L149*(1+M150)</f>
        <v>14.833925970659321</v>
      </c>
      <c r="N149" s="238">
        <f t="shared" si="81"/>
        <v>15.088950600144255</v>
      </c>
      <c r="O149" s="238">
        <f t="shared" si="81"/>
        <v>15.348359609177299</v>
      </c>
      <c r="P149" s="238">
        <f t="shared" si="81"/>
        <v>15.612228373944905</v>
      </c>
    </row>
    <row r="150" spans="2:19">
      <c r="B150" s="168"/>
      <c r="D150" s="239">
        <f>AVERAGE(H150:I150)</f>
        <v>1.7191984777958136E-2</v>
      </c>
      <c r="E150" s="234"/>
      <c r="F150" s="239">
        <f>F149/E149-1</f>
        <v>-9.0798918616574742E-3</v>
      </c>
      <c r="G150" s="239">
        <f>G149/F149-1</f>
        <v>-4.7041146555709568E-2</v>
      </c>
      <c r="H150" s="239">
        <f>H149/G149-1</f>
        <v>8.8365243004417948E-3</v>
      </c>
      <c r="I150" s="239">
        <f>I149/H149-1</f>
        <v>2.5547445255474477E-2</v>
      </c>
      <c r="J150" s="235"/>
      <c r="K150" s="240"/>
      <c r="L150" s="239">
        <f>D150</f>
        <v>1.7191984777958136E-2</v>
      </c>
      <c r="M150" s="239">
        <f>L150</f>
        <v>1.7191984777958136E-2</v>
      </c>
      <c r="N150" s="239">
        <f t="shared" ref="N150:P150" si="82">M150</f>
        <v>1.7191984777958136E-2</v>
      </c>
      <c r="O150" s="239">
        <f t="shared" si="82"/>
        <v>1.7191984777958136E-2</v>
      </c>
      <c r="P150" s="239">
        <f t="shared" si="82"/>
        <v>1.7191984777958136E-2</v>
      </c>
    </row>
    <row r="151" spans="2:19">
      <c r="B151" s="207" t="s">
        <v>385</v>
      </c>
      <c r="C151" s="207"/>
      <c r="D151" s="207"/>
      <c r="E151" s="207">
        <v>1262</v>
      </c>
      <c r="F151" s="207">
        <v>1236</v>
      </c>
      <c r="G151" s="419">
        <v>1358</v>
      </c>
      <c r="H151" s="419">
        <v>1370</v>
      </c>
      <c r="I151" s="419">
        <v>1405</v>
      </c>
      <c r="J151" s="419">
        <f t="shared" ref="J151:P151" si="83">J148*J149</f>
        <v>1405</v>
      </c>
      <c r="K151" s="419">
        <f t="shared" si="83"/>
        <v>1405</v>
      </c>
      <c r="L151" s="419">
        <f t="shared" si="83"/>
        <v>1429.1547386130314</v>
      </c>
      <c r="M151" s="419">
        <f t="shared" si="83"/>
        <v>1453.7247451246135</v>
      </c>
      <c r="N151" s="419">
        <f t="shared" si="83"/>
        <v>1478.7171588141371</v>
      </c>
      <c r="O151" s="419">
        <f t="shared" si="83"/>
        <v>1504.1392416993754</v>
      </c>
      <c r="P151" s="419">
        <f t="shared" si="83"/>
        <v>1529.9983806466007</v>
      </c>
      <c r="Q151" s="419"/>
      <c r="R151" s="409"/>
      <c r="S151" s="409"/>
    </row>
    <row r="152" spans="2:19">
      <c r="F152" s="228"/>
      <c r="G152" s="420"/>
      <c r="H152" s="420"/>
      <c r="I152" s="420"/>
      <c r="J152" s="410"/>
      <c r="K152" s="409"/>
      <c r="L152" s="409"/>
      <c r="M152" s="409"/>
      <c r="N152" s="409"/>
      <c r="O152" s="409"/>
      <c r="P152" s="409"/>
      <c r="Q152" s="409"/>
      <c r="R152" s="409"/>
      <c r="S152" s="409"/>
    </row>
    <row r="153" spans="2:19">
      <c r="G153" s="409"/>
      <c r="H153" s="409"/>
      <c r="I153" s="409" t="e">
        <f>AVERAGE(H152:I152)</f>
        <v>#DIV/0!</v>
      </c>
      <c r="J153" s="410"/>
      <c r="K153" s="409"/>
      <c r="L153" s="409"/>
      <c r="M153" s="409"/>
      <c r="N153" s="409"/>
      <c r="O153" s="409"/>
      <c r="P153" s="409"/>
      <c r="Q153" s="409"/>
      <c r="R153" s="409"/>
      <c r="S153" s="409"/>
    </row>
    <row r="154" spans="2:19">
      <c r="B154" s="154" t="s">
        <v>388</v>
      </c>
      <c r="G154" s="409"/>
      <c r="H154" s="409"/>
      <c r="I154" s="409"/>
      <c r="J154" s="410"/>
      <c r="K154" s="409"/>
      <c r="L154" s="409"/>
      <c r="M154" s="409"/>
      <c r="N154" s="409"/>
      <c r="O154" s="409"/>
      <c r="P154" s="409"/>
      <c r="Q154" s="409"/>
      <c r="R154" s="409"/>
      <c r="S154" s="409"/>
    </row>
    <row r="155" spans="2:19">
      <c r="B155" s="205" t="s">
        <v>389</v>
      </c>
      <c r="C155" s="196"/>
      <c r="D155" s="196"/>
      <c r="E155" s="196">
        <f>E156*E158</f>
        <v>77.561171885895391</v>
      </c>
      <c r="F155" s="196">
        <f t="shared" ref="F155:P155" si="84">F156*F158</f>
        <v>87.969114563106785</v>
      </c>
      <c r="G155" s="421">
        <f t="shared" si="84"/>
        <v>95.058888247422701</v>
      </c>
      <c r="H155" s="421">
        <f t="shared" si="84"/>
        <v>103.42678865693432</v>
      </c>
      <c r="I155" s="421">
        <f t="shared" si="84"/>
        <v>104.98766759254676</v>
      </c>
      <c r="J155" s="422">
        <f t="shared" si="84"/>
        <v>104.98766759254676</v>
      </c>
      <c r="K155" s="421">
        <f t="shared" si="84"/>
        <v>104.98766759254676</v>
      </c>
      <c r="L155" s="421">
        <f t="shared" si="84"/>
        <v>108.76722362587844</v>
      </c>
      <c r="M155" s="421">
        <f t="shared" si="84"/>
        <v>110.83380087477012</v>
      </c>
      <c r="N155" s="421">
        <f t="shared" si="84"/>
        <v>113.38297829488982</v>
      </c>
      <c r="O155" s="421">
        <f t="shared" si="84"/>
        <v>117.01123360032631</v>
      </c>
      <c r="P155" s="421">
        <f t="shared" si="84"/>
        <v>120.9896155427374</v>
      </c>
      <c r="Q155" s="421"/>
      <c r="R155" s="409"/>
      <c r="S155" s="409"/>
    </row>
    <row r="156" spans="2:19">
      <c r="B156" s="170" t="s">
        <v>390</v>
      </c>
      <c r="C156" s="241">
        <f>AVERAGE(F156:H156)</f>
        <v>4.4150450571775748</v>
      </c>
      <c r="E156" s="234">
        <f>E157/E151</f>
        <v>4.1069730586370836</v>
      </c>
      <c r="F156" s="234">
        <f t="shared" ref="F156:H156" si="85">F157/F151</f>
        <v>4.2006472491909381</v>
      </c>
      <c r="G156" s="423">
        <f t="shared" si="85"/>
        <v>4.4123711340206189</v>
      </c>
      <c r="H156" s="423">
        <f t="shared" si="85"/>
        <v>4.6321167883211682</v>
      </c>
      <c r="I156" s="423">
        <f>J156</f>
        <v>4.4150450571775748</v>
      </c>
      <c r="J156" s="423">
        <f>K156</f>
        <v>4.4150450571775748</v>
      </c>
      <c r="K156" s="423">
        <f>C156</f>
        <v>4.4150450571775748</v>
      </c>
      <c r="L156" s="424">
        <f>C156</f>
        <v>4.4150450571775748</v>
      </c>
      <c r="M156" s="424">
        <f>L156</f>
        <v>4.4150450571775748</v>
      </c>
      <c r="N156" s="424">
        <f t="shared" ref="N156:P156" si="86">M156</f>
        <v>4.4150450571775748</v>
      </c>
      <c r="O156" s="424">
        <f t="shared" si="86"/>
        <v>4.4150450571775748</v>
      </c>
      <c r="P156" s="424">
        <f t="shared" si="86"/>
        <v>4.4150450571775748</v>
      </c>
      <c r="Q156" s="409"/>
      <c r="R156" s="409"/>
      <c r="S156" s="409"/>
    </row>
    <row r="157" spans="2:19">
      <c r="B157" s="242" t="s">
        <v>391</v>
      </c>
      <c r="E157" s="154">
        <v>5183</v>
      </c>
      <c r="F157" s="154">
        <v>5192</v>
      </c>
      <c r="G157" s="409">
        <v>5992</v>
      </c>
      <c r="H157" s="409">
        <v>6346</v>
      </c>
      <c r="I157" s="409">
        <f t="shared" ref="I157:P157" si="87">I151*I156</f>
        <v>6203.1383053344925</v>
      </c>
      <c r="J157" s="409">
        <f>I157</f>
        <v>6203.1383053344925</v>
      </c>
      <c r="K157" s="409">
        <f t="shared" si="87"/>
        <v>6203.1383053344925</v>
      </c>
      <c r="L157" s="409">
        <f t="shared" si="87"/>
        <v>6309.7825646553738</v>
      </c>
      <c r="M157" s="409">
        <f t="shared" si="87"/>
        <v>6418.2602504591541</v>
      </c>
      <c r="N157" s="409">
        <f t="shared" si="87"/>
        <v>6528.6028829860225</v>
      </c>
      <c r="O157" s="409">
        <f t="shared" si="87"/>
        <v>6640.8425243716529</v>
      </c>
      <c r="P157" s="409">
        <f t="shared" si="87"/>
        <v>6755.0117879634681</v>
      </c>
      <c r="Q157" s="409"/>
      <c r="R157" s="409"/>
      <c r="S157" s="409"/>
    </row>
    <row r="158" spans="2:19">
      <c r="B158" s="170" t="s">
        <v>392</v>
      </c>
      <c r="E158" s="234">
        <v>18.88524</v>
      </c>
      <c r="F158" s="234">
        <v>20.941800000000001</v>
      </c>
      <c r="G158" s="423">
        <v>21.543720000000004</v>
      </c>
      <c r="H158" s="423">
        <v>22.328191058934763</v>
      </c>
      <c r="I158" s="423">
        <f>J158</f>
        <v>23.779523477765522</v>
      </c>
      <c r="J158" s="423">
        <f>K158</f>
        <v>23.779523477765522</v>
      </c>
      <c r="K158" s="423">
        <v>23.779523477765522</v>
      </c>
      <c r="L158" s="423">
        <v>24.635586322965082</v>
      </c>
      <c r="M158" s="423">
        <v>25.103662463101415</v>
      </c>
      <c r="N158" s="423">
        <v>25.681046699752745</v>
      </c>
      <c r="O158" s="423">
        <v>26.502840194144834</v>
      </c>
      <c r="P158" s="423">
        <v>27.403936760745758</v>
      </c>
      <c r="Q158" s="409"/>
      <c r="R158" s="409"/>
      <c r="S158" s="409"/>
    </row>
    <row r="159" spans="2:19">
      <c r="B159" s="168" t="s">
        <v>393</v>
      </c>
      <c r="C159" s="243">
        <f>AVERAGE(F159:I159)</f>
        <v>0.75145857047320752</v>
      </c>
      <c r="D159" s="207"/>
      <c r="E159" s="218">
        <f>E160/E155-1</f>
        <v>0.93356585241495527</v>
      </c>
      <c r="F159" s="218">
        <f t="shared" ref="F159:J159" si="88">F160/F155-1</f>
        <v>0.84417991423688998</v>
      </c>
      <c r="G159" s="417">
        <f t="shared" si="88"/>
        <v>0.72321365746253319</v>
      </c>
      <c r="H159" s="417">
        <f t="shared" si="88"/>
        <v>0.68922477442668328</v>
      </c>
      <c r="I159" s="417">
        <f t="shared" si="88"/>
        <v>0.74921593576672385</v>
      </c>
      <c r="J159" s="417">
        <f t="shared" si="88"/>
        <v>0.74921593576672385</v>
      </c>
      <c r="K159" s="417">
        <f>J159</f>
        <v>0.74921593576672385</v>
      </c>
      <c r="L159" s="425">
        <f>C159</f>
        <v>0.75145857047320752</v>
      </c>
      <c r="M159" s="425">
        <f>L159</f>
        <v>0.75145857047320752</v>
      </c>
      <c r="N159" s="425">
        <f t="shared" ref="N159:P159" si="89">M159</f>
        <v>0.75145857047320752</v>
      </c>
      <c r="O159" s="425">
        <f t="shared" si="89"/>
        <v>0.75145857047320752</v>
      </c>
      <c r="P159" s="425">
        <f t="shared" si="89"/>
        <v>0.75145857047320752</v>
      </c>
      <c r="Q159" s="409"/>
      <c r="R159" s="409"/>
      <c r="S159" s="409"/>
    </row>
    <row r="160" spans="2:19">
      <c r="B160" s="207" t="s">
        <v>394</v>
      </c>
      <c r="C160" s="207"/>
      <c r="D160" s="207"/>
      <c r="E160" s="207">
        <f>E143</f>
        <v>149.96963343185419</v>
      </c>
      <c r="F160" s="207">
        <f t="shared" ref="F160:I160" si="90">F143</f>
        <v>162.23087415048542</v>
      </c>
      <c r="G160" s="419">
        <f t="shared" si="90"/>
        <v>163.80677449116348</v>
      </c>
      <c r="H160" s="419">
        <f t="shared" si="90"/>
        <v>174.71109373868612</v>
      </c>
      <c r="I160" s="419">
        <f t="shared" si="90"/>
        <v>183.64610121186243</v>
      </c>
      <c r="J160" s="426">
        <f>I160</f>
        <v>183.64610121186243</v>
      </c>
      <c r="K160" s="419">
        <f>K155*(1+K159)</f>
        <v>183.64610121186243</v>
      </c>
      <c r="L160" s="419">
        <f t="shared" ref="L160:P160" si="91">L155*(1+L159)</f>
        <v>190.50128600612075</v>
      </c>
      <c r="M160" s="419">
        <f t="shared" si="91"/>
        <v>194.12081044023702</v>
      </c>
      <c r="N160" s="419">
        <f t="shared" si="91"/>
        <v>198.58558908036244</v>
      </c>
      <c r="O160" s="419">
        <f t="shared" si="91"/>
        <v>204.94032793093407</v>
      </c>
      <c r="P160" s="419">
        <f t="shared" si="91"/>
        <v>211.90829908058581</v>
      </c>
      <c r="Q160" s="419"/>
      <c r="R160" s="409"/>
      <c r="S160" s="409"/>
    </row>
    <row r="161" spans="1:19">
      <c r="G161" s="409"/>
      <c r="H161" s="409"/>
      <c r="I161" s="409"/>
      <c r="J161" s="410"/>
      <c r="K161" s="409"/>
      <c r="L161" s="409"/>
      <c r="M161" s="409"/>
      <c r="N161" s="409"/>
      <c r="O161" s="409"/>
      <c r="P161" s="409"/>
      <c r="Q161" s="409"/>
      <c r="R161" s="409"/>
      <c r="S161" s="409"/>
    </row>
    <row r="162" spans="1:19">
      <c r="G162" s="409"/>
      <c r="H162" s="409"/>
      <c r="I162" s="409"/>
      <c r="J162" s="410"/>
      <c r="K162" s="409"/>
      <c r="L162" s="409">
        <f>1/L285-L156</f>
        <v>0</v>
      </c>
      <c r="M162" s="409">
        <f t="shared" ref="M162:P162" si="92">1/M285-M156</f>
        <v>0</v>
      </c>
      <c r="N162" s="409">
        <f t="shared" si="92"/>
        <v>0</v>
      </c>
      <c r="O162" s="409">
        <f t="shared" si="92"/>
        <v>0</v>
      </c>
      <c r="P162" s="409">
        <f t="shared" si="92"/>
        <v>0</v>
      </c>
      <c r="Q162" s="409"/>
      <c r="R162" s="409"/>
      <c r="S162" s="409"/>
    </row>
    <row r="164" spans="1:19">
      <c r="A164" s="154">
        <v>2</v>
      </c>
      <c r="B164" s="162" t="s">
        <v>77</v>
      </c>
      <c r="C164" s="162"/>
      <c r="D164" s="162"/>
      <c r="E164" s="162"/>
      <c r="F164" s="162"/>
      <c r="G164" s="162"/>
      <c r="H164" s="162"/>
      <c r="I164" s="162"/>
      <c r="J164" s="163"/>
      <c r="K164" s="162"/>
      <c r="L164" s="162"/>
      <c r="M164" s="162"/>
      <c r="N164" s="162"/>
      <c r="O164" s="162"/>
      <c r="P164" s="162"/>
      <c r="Q164" s="162"/>
    </row>
    <row r="166" spans="1:19">
      <c r="B166" s="196" t="s">
        <v>77</v>
      </c>
      <c r="C166" s="196"/>
      <c r="D166" s="196"/>
      <c r="E166" s="196"/>
      <c r="F166" s="196"/>
      <c r="G166" s="196"/>
      <c r="H166" s="196"/>
      <c r="I166" s="197"/>
      <c r="J166" s="198"/>
      <c r="K166" s="196"/>
      <c r="L166" s="196"/>
      <c r="M166" s="196"/>
      <c r="N166" s="196"/>
      <c r="O166" s="196"/>
      <c r="P166" s="196"/>
      <c r="Q166" s="196"/>
    </row>
    <row r="167" spans="1:19">
      <c r="B167" s="168" t="s">
        <v>75</v>
      </c>
      <c r="E167" s="154">
        <f t="shared" ref="E167:P167" si="93">SUM(E169:E173)</f>
        <v>146539.554191</v>
      </c>
      <c r="F167" s="154">
        <f t="shared" si="93"/>
        <v>183446.230767</v>
      </c>
      <c r="G167" s="154">
        <f t="shared" si="93"/>
        <v>188323.74674600002</v>
      </c>
      <c r="H167" s="154">
        <f t="shared" si="93"/>
        <v>195520.81554894126</v>
      </c>
      <c r="I167" s="154">
        <f t="shared" si="93"/>
        <v>156595.88456746715</v>
      </c>
      <c r="J167" s="154">
        <f t="shared" si="93"/>
        <v>53559.47996973346</v>
      </c>
      <c r="K167" s="154">
        <f t="shared" si="93"/>
        <v>210155.3645372006</v>
      </c>
      <c r="L167" s="154">
        <f t="shared" si="93"/>
        <v>251506.90157378948</v>
      </c>
      <c r="M167" s="154">
        <f t="shared" si="93"/>
        <v>301316.77935604868</v>
      </c>
      <c r="N167" s="154">
        <f t="shared" si="93"/>
        <v>352484.51213512733</v>
      </c>
      <c r="O167" s="154">
        <f t="shared" si="93"/>
        <v>406595.60646033066</v>
      </c>
      <c r="P167" s="154">
        <f t="shared" si="93"/>
        <v>460812.76019129844</v>
      </c>
    </row>
    <row r="168" spans="1:19">
      <c r="B168" s="168"/>
      <c r="E168" s="244">
        <f t="shared" ref="E168:P168" si="94">E167/E9</f>
        <v>0.27159662189980166</v>
      </c>
      <c r="F168" s="244">
        <f t="shared" si="94"/>
        <v>0.28040844095522099</v>
      </c>
      <c r="G168" s="244">
        <f t="shared" si="94"/>
        <v>0.28477137924818763</v>
      </c>
      <c r="H168" s="244">
        <f t="shared" si="94"/>
        <v>0.28692028238430395</v>
      </c>
      <c r="I168" s="186">
        <f t="shared" si="94"/>
        <v>0.29317550327573377</v>
      </c>
      <c r="J168" s="245">
        <f t="shared" si="94"/>
        <v>0.28674760141306427</v>
      </c>
      <c r="K168" s="244">
        <f t="shared" si="94"/>
        <v>0.29151010188060961</v>
      </c>
      <c r="L168" s="244">
        <f t="shared" si="94"/>
        <v>0.33481501106837963</v>
      </c>
      <c r="M168" s="244">
        <f t="shared" si="94"/>
        <v>0.38429068782278503</v>
      </c>
      <c r="N168" s="244">
        <f t="shared" si="94"/>
        <v>0.4316413457546418</v>
      </c>
      <c r="O168" s="244">
        <f t="shared" si="94"/>
        <v>0.47882073866559416</v>
      </c>
      <c r="P168" s="244">
        <f t="shared" si="94"/>
        <v>0.52268798866913768</v>
      </c>
    </row>
    <row r="169" spans="1:19">
      <c r="B169" s="170" t="s">
        <v>79</v>
      </c>
      <c r="E169" s="154">
        <f>E191</f>
        <v>111086.93835899999</v>
      </c>
      <c r="F169" s="154">
        <f t="shared" ref="F169:P169" si="95">F191</f>
        <v>137736.373678</v>
      </c>
      <c r="G169" s="154">
        <f t="shared" si="95"/>
        <v>142179.64018399999</v>
      </c>
      <c r="H169" s="154">
        <f t="shared" si="95"/>
        <v>147332.30980094124</v>
      </c>
      <c r="I169" s="221">
        <f t="shared" si="95"/>
        <v>116770.64193291175</v>
      </c>
      <c r="J169" s="166">
        <f t="shared" si="95"/>
        <v>38923.547310970578</v>
      </c>
      <c r="K169" s="154">
        <f t="shared" si="95"/>
        <v>155694.18924388231</v>
      </c>
      <c r="L169" s="154">
        <f t="shared" si="95"/>
        <v>164166.17120622404</v>
      </c>
      <c r="M169" s="154">
        <f t="shared" si="95"/>
        <v>168630.65063927873</v>
      </c>
      <c r="N169" s="154">
        <f t="shared" si="95"/>
        <v>173035.90196370997</v>
      </c>
      <c r="O169" s="154">
        <f t="shared" si="95"/>
        <v>178894.60610303219</v>
      </c>
      <c r="P169" s="154">
        <f t="shared" si="95"/>
        <v>184810.64111708308</v>
      </c>
    </row>
    <row r="170" spans="1:19">
      <c r="B170" s="170" t="s">
        <v>80</v>
      </c>
      <c r="E170" s="154">
        <f>E238</f>
        <v>6300.2719699999998</v>
      </c>
      <c r="F170" s="154">
        <f t="shared" ref="F170:P172" si="96">F238</f>
        <v>6669.136708</v>
      </c>
      <c r="G170" s="154">
        <f t="shared" si="96"/>
        <v>6055.5184170000011</v>
      </c>
      <c r="H170" s="154">
        <f t="shared" si="96"/>
        <v>6772.0051059999996</v>
      </c>
      <c r="I170" s="221">
        <f>I238</f>
        <v>5447.7139220146919</v>
      </c>
      <c r="J170" s="166">
        <f t="shared" si="96"/>
        <v>1815.9046406715638</v>
      </c>
      <c r="K170" s="154">
        <f t="shared" si="96"/>
        <v>7263.6185626862552</v>
      </c>
      <c r="L170" s="154">
        <f t="shared" si="96"/>
        <v>7517.4056174203524</v>
      </c>
      <c r="M170" s="154">
        <f t="shared" si="96"/>
        <v>7637.5355022467702</v>
      </c>
      <c r="N170" s="154">
        <f t="shared" si="96"/>
        <v>7747.911803113815</v>
      </c>
      <c r="O170" s="154">
        <f t="shared" si="96"/>
        <v>7864.9089704121207</v>
      </c>
      <c r="P170" s="154">
        <f t="shared" si="96"/>
        <v>7968.2990777935502</v>
      </c>
    </row>
    <row r="171" spans="1:19">
      <c r="B171" s="170" t="s">
        <v>81</v>
      </c>
      <c r="E171" s="409">
        <f>E239</f>
        <v>9378.2497090000015</v>
      </c>
      <c r="F171" s="409">
        <f t="shared" si="96"/>
        <v>12396.082686999998</v>
      </c>
      <c r="G171" s="409">
        <f t="shared" si="96"/>
        <v>10164.076360000003</v>
      </c>
      <c r="H171" s="409">
        <f t="shared" si="96"/>
        <v>8319.5578419999983</v>
      </c>
      <c r="I171" s="427">
        <f t="shared" si="96"/>
        <v>8288.8635504407066</v>
      </c>
      <c r="J171" s="410">
        <f t="shared" si="96"/>
        <v>2762.9545168135687</v>
      </c>
      <c r="K171" s="409">
        <f t="shared" si="96"/>
        <v>11051.818067254275</v>
      </c>
      <c r="L171" s="409">
        <f t="shared" si="96"/>
        <v>11450.62983261599</v>
      </c>
      <c r="M171" s="154">
        <f t="shared" si="96"/>
        <v>11841.769659696873</v>
      </c>
      <c r="N171" s="154">
        <f t="shared" si="96"/>
        <v>12226.996175473158</v>
      </c>
      <c r="O171" s="154">
        <f t="shared" si="96"/>
        <v>12607.860954132102</v>
      </c>
      <c r="P171" s="154">
        <f t="shared" si="96"/>
        <v>12975.355509647345</v>
      </c>
    </row>
    <row r="172" spans="1:19">
      <c r="B172" s="170" t="s">
        <v>83</v>
      </c>
      <c r="E172" s="409">
        <f>E240</f>
        <v>19774.094153000002</v>
      </c>
      <c r="F172" s="409">
        <f>F240</f>
        <v>26644.637694000001</v>
      </c>
      <c r="G172" s="409">
        <f t="shared" si="96"/>
        <v>29924.511784999999</v>
      </c>
      <c r="H172" s="409">
        <f t="shared" si="96"/>
        <v>33096.942800000004</v>
      </c>
      <c r="I172" s="409">
        <f t="shared" si="96"/>
        <v>26088.665162100006</v>
      </c>
      <c r="J172" s="409">
        <f t="shared" si="96"/>
        <v>8696.2217207000012</v>
      </c>
      <c r="K172" s="409">
        <f t="shared" si="96"/>
        <v>34784.886882800005</v>
      </c>
      <c r="L172" s="409">
        <f t="shared" si="96"/>
        <v>36040.121276020844</v>
      </c>
      <c r="M172" s="154">
        <f t="shared" si="96"/>
        <v>37271.208736705645</v>
      </c>
      <c r="N172" s="154">
        <f t="shared" si="96"/>
        <v>38483.684430205947</v>
      </c>
      <c r="O172" s="154">
        <f t="shared" si="96"/>
        <v>39682.431836530697</v>
      </c>
      <c r="P172" s="154">
        <f t="shared" si="96"/>
        <v>40839.097325036921</v>
      </c>
    </row>
    <row r="173" spans="1:19">
      <c r="B173" s="170" t="s">
        <v>94</v>
      </c>
      <c r="E173" s="409">
        <f>E384</f>
        <v>0</v>
      </c>
      <c r="F173" s="409">
        <f>F384</f>
        <v>0</v>
      </c>
      <c r="G173" s="409">
        <f>G384</f>
        <v>0</v>
      </c>
      <c r="H173" s="409">
        <f>H384</f>
        <v>0</v>
      </c>
      <c r="I173" s="427"/>
      <c r="J173" s="410">
        <f t="shared" ref="J173:P173" si="97">J384</f>
        <v>1360.8517805777537</v>
      </c>
      <c r="K173" s="409">
        <f t="shared" si="97"/>
        <v>1360.8517805777537</v>
      </c>
      <c r="L173" s="409">
        <f t="shared" si="97"/>
        <v>32332.573641508228</v>
      </c>
      <c r="M173" s="154">
        <f t="shared" si="97"/>
        <v>75935.614818120608</v>
      </c>
      <c r="N173" s="154">
        <f t="shared" si="97"/>
        <v>120990.01776262441</v>
      </c>
      <c r="O173" s="154">
        <f t="shared" si="97"/>
        <v>167545.79859622353</v>
      </c>
      <c r="P173" s="154">
        <f t="shared" si="97"/>
        <v>214219.36716173752</v>
      </c>
    </row>
    <row r="174" spans="1:19">
      <c r="B174" s="168" t="s">
        <v>53</v>
      </c>
      <c r="E174" s="409">
        <f t="shared" ref="E174:P174" si="98">SUM(E176:E178)</f>
        <v>177303.919062</v>
      </c>
      <c r="F174" s="409">
        <f t="shared" si="98"/>
        <v>186725.22318699997</v>
      </c>
      <c r="G174" s="409">
        <f t="shared" si="98"/>
        <v>209275.60466700001</v>
      </c>
      <c r="H174" s="409">
        <f t="shared" si="98"/>
        <v>225815.64507299999</v>
      </c>
      <c r="I174" s="409">
        <f t="shared" si="98"/>
        <v>178642.26070438846</v>
      </c>
      <c r="J174" s="409">
        <f t="shared" si="98"/>
        <v>59564.827668771155</v>
      </c>
      <c r="K174" s="409">
        <f t="shared" si="98"/>
        <v>238207.08837315961</v>
      </c>
      <c r="L174" s="409">
        <f t="shared" si="98"/>
        <v>251546.74210525784</v>
      </c>
      <c r="M174" s="154">
        <f t="shared" si="98"/>
        <v>261283.96709734556</v>
      </c>
      <c r="N174" s="154">
        <f t="shared" si="98"/>
        <v>272437.05652762484</v>
      </c>
      <c r="O174" s="154">
        <f t="shared" si="98"/>
        <v>286525.2640327182</v>
      </c>
      <c r="P174" s="154">
        <f t="shared" si="98"/>
        <v>301875.93601219676</v>
      </c>
    </row>
    <row r="175" spans="1:19">
      <c r="B175" s="168"/>
      <c r="E175" s="414">
        <f t="shared" ref="E175:P175" si="99">E174/E12</f>
        <v>0.93681891392996486</v>
      </c>
      <c r="F175" s="414">
        <f t="shared" si="99"/>
        <v>0.93121724108053405</v>
      </c>
      <c r="G175" s="414">
        <f t="shared" si="99"/>
        <v>0.94077761836266471</v>
      </c>
      <c r="H175" s="414">
        <f t="shared" si="99"/>
        <v>0.94343715949727991</v>
      </c>
      <c r="I175" s="428">
        <f t="shared" si="99"/>
        <v>0.92313433774014342</v>
      </c>
      <c r="J175" s="429">
        <f t="shared" si="99"/>
        <v>0.92340419661851125</v>
      </c>
      <c r="K175" s="414">
        <f t="shared" si="99"/>
        <v>0.92320180245973538</v>
      </c>
      <c r="L175" s="414">
        <f t="shared" si="99"/>
        <v>0.92393523915713305</v>
      </c>
      <c r="M175" s="244">
        <f t="shared" si="99"/>
        <v>0.92588805782591455</v>
      </c>
      <c r="N175" s="244">
        <f t="shared" si="99"/>
        <v>0.92775507247350131</v>
      </c>
      <c r="O175" s="244">
        <f t="shared" si="99"/>
        <v>0.92949584518293604</v>
      </c>
      <c r="P175" s="244">
        <f t="shared" si="99"/>
        <v>0.93108548851025574</v>
      </c>
    </row>
    <row r="176" spans="1:19">
      <c r="B176" s="170" t="s">
        <v>106</v>
      </c>
      <c r="E176" s="409">
        <f>E278</f>
        <v>97882.198919999995</v>
      </c>
      <c r="F176" s="409">
        <f t="shared" ref="F176:P177" si="100">F278</f>
        <v>108729.8256</v>
      </c>
      <c r="G176" s="409">
        <f t="shared" si="100"/>
        <v>129089.97024000001</v>
      </c>
      <c r="H176" s="409">
        <f t="shared" si="100"/>
        <v>141694.70045999999</v>
      </c>
      <c r="I176" s="427">
        <f>I278</f>
        <v>110630.75472564613</v>
      </c>
      <c r="J176" s="410">
        <f t="shared" si="100"/>
        <v>36876.918241882042</v>
      </c>
      <c r="K176" s="409">
        <f t="shared" si="100"/>
        <v>147507.67296752817</v>
      </c>
      <c r="L176" s="409">
        <f t="shared" si="100"/>
        <v>155445.19305070746</v>
      </c>
      <c r="M176" s="154">
        <f t="shared" si="100"/>
        <v>161121.83892786733</v>
      </c>
      <c r="N176" s="154">
        <f t="shared" si="100"/>
        <v>167661.35552210442</v>
      </c>
      <c r="O176" s="154">
        <f t="shared" si="100"/>
        <v>176001.18817790327</v>
      </c>
      <c r="P176" s="154">
        <f t="shared" si="100"/>
        <v>185113.91585544299</v>
      </c>
    </row>
    <row r="177" spans="2:17">
      <c r="B177" s="170" t="s">
        <v>395</v>
      </c>
      <c r="E177" s="409">
        <f>E279</f>
        <v>79421.720142000006</v>
      </c>
      <c r="F177" s="409">
        <f t="shared" si="100"/>
        <v>77995.397586999985</v>
      </c>
      <c r="G177" s="409">
        <f t="shared" si="100"/>
        <v>80185.634426999997</v>
      </c>
      <c r="H177" s="409">
        <f t="shared" si="100"/>
        <v>84120.944613</v>
      </c>
      <c r="I177" s="427">
        <f t="shared" si="100"/>
        <v>68011.505978742338</v>
      </c>
      <c r="J177" s="410">
        <f t="shared" si="100"/>
        <v>22670.501992914113</v>
      </c>
      <c r="K177" s="409">
        <f t="shared" si="100"/>
        <v>90682.007971656451</v>
      </c>
      <c r="L177" s="409">
        <f t="shared" si="100"/>
        <v>95684.205818311661</v>
      </c>
      <c r="M177" s="154">
        <f t="shared" si="100"/>
        <v>99178.462165567471</v>
      </c>
      <c r="N177" s="154">
        <f t="shared" si="100"/>
        <v>103203.85812329984</v>
      </c>
      <c r="O177" s="154">
        <f t="shared" si="100"/>
        <v>108337.43767418001</v>
      </c>
      <c r="P177" s="154">
        <f t="shared" si="100"/>
        <v>113946.77234417846</v>
      </c>
    </row>
    <row r="178" spans="2:17">
      <c r="B178" s="170" t="s">
        <v>94</v>
      </c>
      <c r="E178" s="409">
        <f>E387</f>
        <v>0</v>
      </c>
      <c r="F178" s="409">
        <f>F387</f>
        <v>0</v>
      </c>
      <c r="G178" s="409">
        <f>G387</f>
        <v>0</v>
      </c>
      <c r="H178" s="409">
        <f>H387</f>
        <v>0</v>
      </c>
      <c r="I178" s="427"/>
      <c r="J178" s="410">
        <f t="shared" ref="J178:P178" si="101">J387</f>
        <v>17.407433975000004</v>
      </c>
      <c r="K178" s="409">
        <f t="shared" si="101"/>
        <v>17.407433975000004</v>
      </c>
      <c r="L178" s="409">
        <f t="shared" si="101"/>
        <v>417.34323623871387</v>
      </c>
      <c r="M178" s="154">
        <f t="shared" si="101"/>
        <v>983.66600391076406</v>
      </c>
      <c r="N178" s="154">
        <f t="shared" si="101"/>
        <v>1571.8428822205929</v>
      </c>
      <c r="O178" s="154">
        <f t="shared" si="101"/>
        <v>2186.6381806349186</v>
      </c>
      <c r="P178" s="154">
        <f t="shared" si="101"/>
        <v>2815.2478125753169</v>
      </c>
    </row>
    <row r="179" spans="2:17" ht="13.8" thickBot="1">
      <c r="B179" s="175" t="s">
        <v>396</v>
      </c>
      <c r="C179" s="199"/>
      <c r="D179" s="199"/>
      <c r="E179" s="175">
        <f t="shared" ref="E179:Q179" si="102">SUM(E167,E174)</f>
        <v>323843.473253</v>
      </c>
      <c r="F179" s="175">
        <f t="shared" si="102"/>
        <v>370171.45395399997</v>
      </c>
      <c r="G179" s="175">
        <f t="shared" si="102"/>
        <v>397599.35141300003</v>
      </c>
      <c r="H179" s="175">
        <f t="shared" si="102"/>
        <v>421336.46062194125</v>
      </c>
      <c r="I179" s="200">
        <f t="shared" si="102"/>
        <v>335238.14527185564</v>
      </c>
      <c r="J179" s="176">
        <f t="shared" si="102"/>
        <v>113124.30763850462</v>
      </c>
      <c r="K179" s="175">
        <f t="shared" si="102"/>
        <v>448362.45291036018</v>
      </c>
      <c r="L179" s="175">
        <f t="shared" si="102"/>
        <v>503053.64367904735</v>
      </c>
      <c r="M179" s="175">
        <f t="shared" si="102"/>
        <v>562600.74645339418</v>
      </c>
      <c r="N179" s="175">
        <f t="shared" si="102"/>
        <v>624921.56866275216</v>
      </c>
      <c r="O179" s="175">
        <f t="shared" si="102"/>
        <v>693120.8704930488</v>
      </c>
      <c r="P179" s="175">
        <f t="shared" si="102"/>
        <v>762688.69620349514</v>
      </c>
      <c r="Q179" s="175">
        <f t="shared" si="102"/>
        <v>0</v>
      </c>
    </row>
    <row r="180" spans="2:17">
      <c r="K180" s="201"/>
      <c r="L180" s="201"/>
      <c r="M180" s="201"/>
      <c r="N180" s="201"/>
      <c r="O180" s="201"/>
      <c r="P180" s="201"/>
    </row>
    <row r="183" spans="2:17">
      <c r="B183" s="171" t="s">
        <v>397</v>
      </c>
    </row>
    <row r="185" spans="2:17">
      <c r="B185" s="196" t="s">
        <v>106</v>
      </c>
      <c r="C185" s="196"/>
      <c r="D185" s="196"/>
      <c r="E185" s="196"/>
      <c r="F185" s="196"/>
      <c r="G185" s="196"/>
      <c r="H185" s="196"/>
      <c r="I185" s="197"/>
      <c r="J185" s="198"/>
      <c r="K185" s="196"/>
      <c r="L185" s="196"/>
      <c r="M185" s="196"/>
      <c r="N185" s="196"/>
      <c r="O185" s="196"/>
      <c r="P185" s="196"/>
      <c r="Q185" s="196"/>
    </row>
    <row r="186" spans="2:17">
      <c r="B186" s="168" t="s">
        <v>398</v>
      </c>
      <c r="E186" s="154">
        <f>E194</f>
        <v>80922.174039999998</v>
      </c>
      <c r="F186" s="154">
        <f t="shared" ref="F186:P186" si="103">F194</f>
        <v>98296.654473999995</v>
      </c>
      <c r="G186" s="154">
        <f t="shared" si="103"/>
        <v>102748.25024599998</v>
      </c>
      <c r="H186" s="154">
        <f t="shared" si="103"/>
        <v>104751.99668111831</v>
      </c>
      <c r="I186" s="154">
        <f t="shared" si="103"/>
        <v>81526.145334225395</v>
      </c>
      <c r="J186" s="154">
        <f t="shared" si="103"/>
        <v>27175.381778075131</v>
      </c>
      <c r="K186" s="247">
        <f t="shared" si="103"/>
        <v>108701.52711230052</v>
      </c>
      <c r="L186" s="154">
        <f t="shared" si="103"/>
        <v>114954.24326600808</v>
      </c>
      <c r="M186" s="154">
        <f t="shared" si="103"/>
        <v>118300.46944697389</v>
      </c>
      <c r="N186" s="154">
        <f t="shared" si="103"/>
        <v>121554.81153116672</v>
      </c>
      <c r="O186" s="154">
        <f t="shared" si="103"/>
        <v>125828.89163041978</v>
      </c>
      <c r="P186" s="154">
        <f t="shared" si="103"/>
        <v>130125.7933731641</v>
      </c>
    </row>
    <row r="187" spans="2:17">
      <c r="B187" s="168" t="s">
        <v>399</v>
      </c>
      <c r="E187" s="154">
        <f>E202</f>
        <v>6248.1442290000014</v>
      </c>
      <c r="F187" s="154">
        <f t="shared" ref="F187:P187" si="104">F202</f>
        <v>7906.8828300000005</v>
      </c>
      <c r="G187" s="154">
        <f t="shared" si="104"/>
        <v>8160.4060590000008</v>
      </c>
      <c r="H187" s="154">
        <f t="shared" si="104"/>
        <v>8478.4947159999992</v>
      </c>
      <c r="I187" s="154">
        <f t="shared" si="104"/>
        <v>6644.6444871518488</v>
      </c>
      <c r="J187" s="154">
        <f t="shared" si="104"/>
        <v>2214.8814957172831</v>
      </c>
      <c r="K187" s="247">
        <f t="shared" si="104"/>
        <v>8859.5259828691323</v>
      </c>
      <c r="L187" s="154">
        <f t="shared" si="104"/>
        <v>9056.8378173500241</v>
      </c>
      <c r="M187" s="154">
        <f t="shared" si="104"/>
        <v>9089.6824129093784</v>
      </c>
      <c r="N187" s="154">
        <f t="shared" si="104"/>
        <v>9144.0419837910231</v>
      </c>
      <c r="O187" s="154">
        <f t="shared" si="104"/>
        <v>9267.236445634373</v>
      </c>
      <c r="P187" s="154">
        <f t="shared" si="104"/>
        <v>9392.0271382401097</v>
      </c>
    </row>
    <row r="188" spans="2:17">
      <c r="B188" s="168" t="s">
        <v>400</v>
      </c>
      <c r="E188" s="154">
        <f>E210</f>
        <v>19770.456152000002</v>
      </c>
      <c r="F188" s="154">
        <f t="shared" ref="F188:P188" si="105">F210</f>
        <v>25621.445157999999</v>
      </c>
      <c r="G188" s="154">
        <f t="shared" si="105"/>
        <v>25971.345703999996</v>
      </c>
      <c r="H188" s="154">
        <f t="shared" si="105"/>
        <v>27496.396713822935</v>
      </c>
      <c r="I188" s="154">
        <f t="shared" si="105"/>
        <v>22622.132169430006</v>
      </c>
      <c r="J188" s="154">
        <f t="shared" si="105"/>
        <v>7540.7107231433356</v>
      </c>
      <c r="K188" s="247">
        <f t="shared" si="105"/>
        <v>30162.842892573342</v>
      </c>
      <c r="L188" s="154">
        <f t="shared" si="105"/>
        <v>31897.866309505582</v>
      </c>
      <c r="M188" s="154">
        <f t="shared" si="105"/>
        <v>32826.387713581295</v>
      </c>
      <c r="N188" s="154">
        <f t="shared" si="105"/>
        <v>33729.412828424327</v>
      </c>
      <c r="O188" s="154">
        <f t="shared" si="105"/>
        <v>34915.398066799651</v>
      </c>
      <c r="P188" s="154">
        <f t="shared" si="105"/>
        <v>36107.715926854398</v>
      </c>
    </row>
    <row r="189" spans="2:17">
      <c r="B189" s="168" t="s">
        <v>401</v>
      </c>
      <c r="E189" s="154">
        <f>E219</f>
        <v>1033.990151</v>
      </c>
      <c r="F189" s="154">
        <f t="shared" ref="F189:P189" si="106">F219</f>
        <v>1471.5951430000002</v>
      </c>
      <c r="G189" s="154">
        <f t="shared" si="106"/>
        <v>1246.016707</v>
      </c>
      <c r="H189" s="154">
        <f>H219</f>
        <v>1581.6416759999997</v>
      </c>
      <c r="I189" s="154">
        <f t="shared" si="106"/>
        <v>1260.3409719265308</v>
      </c>
      <c r="J189" s="154">
        <f t="shared" si="106"/>
        <v>420.11365730884359</v>
      </c>
      <c r="K189" s="247">
        <f t="shared" si="106"/>
        <v>1680.4546292353743</v>
      </c>
      <c r="L189" s="154">
        <f t="shared" si="106"/>
        <v>1740.950995887848</v>
      </c>
      <c r="M189" s="154">
        <f t="shared" si="106"/>
        <v>1774.0290648097168</v>
      </c>
      <c r="N189" s="154">
        <f t="shared" si="106"/>
        <v>1814.8317333003397</v>
      </c>
      <c r="O189" s="154">
        <f t="shared" si="106"/>
        <v>1872.906348765951</v>
      </c>
      <c r="P189" s="154">
        <f t="shared" si="106"/>
        <v>1936.5851646239933</v>
      </c>
    </row>
    <row r="190" spans="2:17">
      <c r="B190" s="248" t="s">
        <v>402</v>
      </c>
      <c r="C190" s="177"/>
      <c r="D190" s="177"/>
      <c r="E190" s="177">
        <f>E227</f>
        <v>3112.1737869999997</v>
      </c>
      <c r="F190" s="177">
        <f t="shared" ref="F190:P190" si="107">F227</f>
        <v>4439.7960730000004</v>
      </c>
      <c r="G190" s="177">
        <f t="shared" si="107"/>
        <v>4053.6214680000003</v>
      </c>
      <c r="H190" s="177">
        <f t="shared" si="107"/>
        <v>5023.7800140000008</v>
      </c>
      <c r="I190" s="177">
        <f t="shared" si="107"/>
        <v>4717.3789701779569</v>
      </c>
      <c r="J190" s="177">
        <f t="shared" si="107"/>
        <v>1572.4596567259857</v>
      </c>
      <c r="K190" s="249">
        <f t="shared" si="107"/>
        <v>6289.8386269039429</v>
      </c>
      <c r="L190" s="177">
        <f t="shared" si="107"/>
        <v>6516.2728174724853</v>
      </c>
      <c r="M190" s="177">
        <f t="shared" si="107"/>
        <v>6640.0820010044617</v>
      </c>
      <c r="N190" s="177">
        <f t="shared" si="107"/>
        <v>6792.8038870275632</v>
      </c>
      <c r="O190" s="177">
        <f t="shared" si="107"/>
        <v>7010.173611412446</v>
      </c>
      <c r="P190" s="177">
        <f t="shared" si="107"/>
        <v>7248.5195142004695</v>
      </c>
      <c r="Q190" s="177"/>
    </row>
    <row r="191" spans="2:17" ht="13.8" thickBot="1">
      <c r="B191" s="175" t="s">
        <v>403</v>
      </c>
      <c r="C191" s="199"/>
      <c r="D191" s="199"/>
      <c r="E191" s="175">
        <f>SUM(E186:E190)</f>
        <v>111086.93835899999</v>
      </c>
      <c r="F191" s="175">
        <f t="shared" ref="F191:P191" si="108">SUM(F186:F190)</f>
        <v>137736.373678</v>
      </c>
      <c r="G191" s="175">
        <f t="shared" si="108"/>
        <v>142179.64018399999</v>
      </c>
      <c r="H191" s="175">
        <f t="shared" si="108"/>
        <v>147332.30980094124</v>
      </c>
      <c r="I191" s="175">
        <f t="shared" si="108"/>
        <v>116770.64193291175</v>
      </c>
      <c r="J191" s="175">
        <f t="shared" si="108"/>
        <v>38923.547310970578</v>
      </c>
      <c r="K191" s="250">
        <f t="shared" si="108"/>
        <v>155694.18924388231</v>
      </c>
      <c r="L191" s="175">
        <f t="shared" si="108"/>
        <v>164166.17120622404</v>
      </c>
      <c r="M191" s="175">
        <f t="shared" si="108"/>
        <v>168630.65063927873</v>
      </c>
      <c r="N191" s="175">
        <f t="shared" si="108"/>
        <v>173035.90196370997</v>
      </c>
      <c r="O191" s="175">
        <f t="shared" si="108"/>
        <v>178894.60610303219</v>
      </c>
      <c r="P191" s="175">
        <f t="shared" si="108"/>
        <v>184810.64111708308</v>
      </c>
      <c r="Q191" s="175"/>
    </row>
    <row r="192" spans="2:17">
      <c r="F192" s="194"/>
      <c r="G192" s="194"/>
      <c r="H192" s="194"/>
      <c r="I192" s="194"/>
      <c r="J192" s="194"/>
      <c r="K192" s="174"/>
      <c r="L192" s="174"/>
      <c r="M192" s="174"/>
      <c r="N192" s="174"/>
      <c r="O192" s="174"/>
      <c r="P192" s="174"/>
    </row>
    <row r="193" spans="2:19">
      <c r="J193" s="154"/>
      <c r="K193" s="201"/>
      <c r="L193" s="201"/>
      <c r="M193" s="201"/>
      <c r="N193" s="201"/>
      <c r="O193" s="201"/>
      <c r="P193" s="201"/>
    </row>
    <row r="194" spans="2:19">
      <c r="B194" s="154" t="s">
        <v>398</v>
      </c>
      <c r="E194" s="171">
        <f t="shared" ref="E194:H194" si="109">E195*E198</f>
        <v>80922.174039999998</v>
      </c>
      <c r="F194" s="171">
        <f t="shared" si="109"/>
        <v>98296.654473999995</v>
      </c>
      <c r="G194" s="171">
        <f t="shared" si="109"/>
        <v>102748.25024599998</v>
      </c>
      <c r="H194" s="171">
        <f t="shared" si="109"/>
        <v>104751.99668111831</v>
      </c>
      <c r="I194" s="171">
        <v>81526.145334225395</v>
      </c>
      <c r="J194" s="171">
        <f>J195*J198/4</f>
        <v>27175.381778075131</v>
      </c>
      <c r="K194" s="171">
        <f>SUM(I194:J194)</f>
        <v>108701.52711230052</v>
      </c>
      <c r="L194" s="171">
        <f t="shared" ref="L194:P194" si="110">L195*L198</f>
        <v>114954.24326600808</v>
      </c>
      <c r="M194" s="171">
        <f t="shared" si="110"/>
        <v>118300.46944697389</v>
      </c>
      <c r="N194" s="171">
        <f t="shared" si="110"/>
        <v>121554.81153116672</v>
      </c>
      <c r="O194" s="171">
        <f t="shared" si="110"/>
        <v>125828.89163041978</v>
      </c>
      <c r="P194" s="171">
        <f t="shared" si="110"/>
        <v>130125.7933731641</v>
      </c>
    </row>
    <row r="195" spans="2:19">
      <c r="C195" s="154" t="s">
        <v>404</v>
      </c>
      <c r="E195" s="154">
        <v>1473.3333333333333</v>
      </c>
      <c r="F195" s="154">
        <v>1830.5833333333333</v>
      </c>
      <c r="G195" s="154">
        <v>1842.9166666666667</v>
      </c>
      <c r="H195" s="154">
        <v>1815.6666666666667</v>
      </c>
      <c r="I195" s="154">
        <v>1803</v>
      </c>
      <c r="J195" s="154">
        <f>I195</f>
        <v>1803</v>
      </c>
      <c r="K195" s="154">
        <f>J195</f>
        <v>1803</v>
      </c>
      <c r="L195" s="154">
        <f t="shared" ref="L195:P195" si="111">L$77/L196</f>
        <v>1840.4555491304914</v>
      </c>
      <c r="M195" s="154">
        <f>M$77/M196</f>
        <v>1858.714170528657</v>
      </c>
      <c r="N195" s="154">
        <f t="shared" si="111"/>
        <v>1866.9069071342581</v>
      </c>
      <c r="O195" s="154">
        <f t="shared" si="111"/>
        <v>1872.6265738596023</v>
      </c>
      <c r="P195" s="154">
        <f t="shared" si="111"/>
        <v>1872.8960019234662</v>
      </c>
    </row>
    <row r="196" spans="2:19">
      <c r="C196" s="168" t="s">
        <v>405</v>
      </c>
      <c r="E196" s="234">
        <f>E$77/E195</f>
        <v>371.4760180995475</v>
      </c>
      <c r="F196" s="164">
        <f>F$77/F195</f>
        <v>299.48486365912504</v>
      </c>
      <c r="G196" s="164">
        <f>G$77/G195</f>
        <v>301.54483382319694</v>
      </c>
      <c r="H196" s="164">
        <f>H$77/H195</f>
        <v>320.45309344593352</v>
      </c>
      <c r="I196" s="164"/>
      <c r="J196" s="164">
        <f>J$77/J195</f>
        <v>335.08876275383227</v>
      </c>
      <c r="K196" s="411">
        <f>K$77/K195</f>
        <v>335.08876275383227</v>
      </c>
      <c r="L196" s="411">
        <f>K196*(1+L197)</f>
        <v>340.1150941951397</v>
      </c>
      <c r="M196" s="411">
        <f t="shared" ref="M196:P196" si="112">L196*(1+M197)</f>
        <v>348.27785645582304</v>
      </c>
      <c r="N196" s="411">
        <f t="shared" si="112"/>
        <v>358.02963643658609</v>
      </c>
      <c r="O196" s="411">
        <f t="shared" si="112"/>
        <v>368.05446625681049</v>
      </c>
      <c r="P196" s="411">
        <f t="shared" si="112"/>
        <v>378.72804577825798</v>
      </c>
      <c r="Q196" s="409"/>
      <c r="R196" s="409"/>
      <c r="S196" s="409"/>
    </row>
    <row r="197" spans="2:19">
      <c r="C197" s="170" t="s">
        <v>178</v>
      </c>
      <c r="E197" s="234"/>
      <c r="F197" s="174">
        <f>F196/E196-1</f>
        <v>-0.19379758297379612</v>
      </c>
      <c r="G197" s="174">
        <f>G196/F196-1</f>
        <v>6.8783782222014977E-3</v>
      </c>
      <c r="H197" s="174">
        <f>H196/G196-1</f>
        <v>6.2704637924000828E-2</v>
      </c>
      <c r="I197" s="174"/>
      <c r="J197" s="174"/>
      <c r="K197" s="266">
        <f>K196/H196-1</f>
        <v>4.5671799109556988E-2</v>
      </c>
      <c r="L197" s="339">
        <v>1.4999999999999999E-2</v>
      </c>
      <c r="M197" s="339">
        <v>2.4E-2</v>
      </c>
      <c r="N197" s="339">
        <v>2.7999999999999997E-2</v>
      </c>
      <c r="O197" s="339">
        <v>2.7999999999999997E-2</v>
      </c>
      <c r="P197" s="339">
        <v>2.8999999999999998E-2</v>
      </c>
      <c r="Q197" s="409"/>
      <c r="R197" s="409"/>
      <c r="S197" s="409"/>
    </row>
    <row r="198" spans="2:19">
      <c r="C198" s="154" t="s">
        <v>406</v>
      </c>
      <c r="E198" s="234">
        <v>54.924552515837107</v>
      </c>
      <c r="F198" s="234">
        <v>53.696902339327174</v>
      </c>
      <c r="G198" s="234">
        <v>55.753063665023724</v>
      </c>
      <c r="H198" s="234">
        <v>57.693407388168701</v>
      </c>
      <c r="I198" s="234">
        <f>(I194/3*4)/I195</f>
        <v>60.289255192623692</v>
      </c>
      <c r="J198" s="234">
        <f>I198</f>
        <v>60.289255192623692</v>
      </c>
      <c r="K198" s="423">
        <f>J198</f>
        <v>60.289255192623692</v>
      </c>
      <c r="L198" s="423">
        <f>K198*(1+L199)</f>
        <v>62.459668379558146</v>
      </c>
      <c r="M198" s="423">
        <f t="shared" ref="M198:P198" si="113">L198*(1+M199)</f>
        <v>63.646402078769746</v>
      </c>
      <c r="N198" s="423">
        <f t="shared" si="113"/>
        <v>65.110269326581445</v>
      </c>
      <c r="O198" s="423">
        <f t="shared" si="113"/>
        <v>67.19379794503206</v>
      </c>
      <c r="P198" s="423">
        <f t="shared" si="113"/>
        <v>69.478387075163155</v>
      </c>
      <c r="Q198" s="409"/>
      <c r="R198" s="409"/>
      <c r="S198" s="409"/>
    </row>
    <row r="199" spans="2:19">
      <c r="C199" s="170" t="s">
        <v>178</v>
      </c>
      <c r="F199" s="174">
        <f>F198/E198-1</f>
        <v>-2.2351573572783279E-2</v>
      </c>
      <c r="G199" s="174">
        <f>G198/F198-1</f>
        <v>3.8291991457962249E-2</v>
      </c>
      <c r="H199" s="174">
        <f>H198/G198-1</f>
        <v>3.480245919404501E-2</v>
      </c>
      <c r="I199" s="174"/>
      <c r="J199" s="174"/>
      <c r="K199" s="266">
        <f>K198/H198-1</f>
        <v>4.4993837631911671E-2</v>
      </c>
      <c r="L199" s="266">
        <v>3.6000000000000004E-2</v>
      </c>
      <c r="M199" s="266">
        <v>1.9E-2</v>
      </c>
      <c r="N199" s="266">
        <v>2.3E-2</v>
      </c>
      <c r="O199" s="266">
        <v>3.2000000000000001E-2</v>
      </c>
      <c r="P199" s="266">
        <v>3.4000000000000002E-2</v>
      </c>
      <c r="Q199" s="409"/>
      <c r="R199" s="409"/>
      <c r="S199" s="409"/>
    </row>
    <row r="200" spans="2:19">
      <c r="C200" s="154" t="s">
        <v>407</v>
      </c>
      <c r="E200" s="154">
        <f>E$10/E195</f>
        <v>352.96545081312217</v>
      </c>
      <c r="F200" s="154">
        <f t="shared" ref="F200:H200" si="114">F$10/F195</f>
        <v>338.70149192934855</v>
      </c>
      <c r="G200" s="154">
        <f t="shared" si="114"/>
        <v>345.50219293511191</v>
      </c>
      <c r="H200" s="154">
        <f t="shared" si="114"/>
        <v>363.22939318854424</v>
      </c>
      <c r="J200" s="154"/>
      <c r="K200" s="409">
        <f t="shared" ref="K200:P200" si="115">K$10/K195</f>
        <v>387.55488497565625</v>
      </c>
      <c r="L200" s="409">
        <f t="shared" si="115"/>
        <v>395.87897591709083</v>
      </c>
      <c r="M200" s="409">
        <f t="shared" si="115"/>
        <v>409.45856242801739</v>
      </c>
      <c r="N200" s="409">
        <f t="shared" si="115"/>
        <v>424.84744362033791</v>
      </c>
      <c r="O200" s="409">
        <f t="shared" si="115"/>
        <v>440.68723283465459</v>
      </c>
      <c r="P200" s="409">
        <f t="shared" si="115"/>
        <v>457.76954134762894</v>
      </c>
      <c r="Q200" s="409"/>
      <c r="R200" s="409"/>
      <c r="S200" s="409"/>
    </row>
    <row r="201" spans="2:19">
      <c r="J201" s="154"/>
      <c r="K201" s="409"/>
      <c r="L201" s="420"/>
      <c r="M201" s="420"/>
      <c r="N201" s="420"/>
      <c r="O201" s="420"/>
      <c r="P201" s="420"/>
      <c r="Q201" s="409"/>
      <c r="R201" s="409"/>
      <c r="S201" s="409"/>
    </row>
    <row r="202" spans="2:19">
      <c r="B202" s="154" t="s">
        <v>399</v>
      </c>
      <c r="E202" s="171">
        <f t="shared" ref="E202:H202" si="116">E203*E206</f>
        <v>6248.1442290000014</v>
      </c>
      <c r="F202" s="171">
        <f t="shared" si="116"/>
        <v>7906.8828300000005</v>
      </c>
      <c r="G202" s="171">
        <f t="shared" si="116"/>
        <v>8160.4060590000008</v>
      </c>
      <c r="H202" s="171">
        <f t="shared" si="116"/>
        <v>8478.4947159999992</v>
      </c>
      <c r="I202" s="171">
        <v>6644.6444871518488</v>
      </c>
      <c r="J202" s="171">
        <f>J203*J206/4</f>
        <v>2214.8814957172831</v>
      </c>
      <c r="K202" s="430">
        <f>SUM(I202:J202)</f>
        <v>8859.5259828691323</v>
      </c>
      <c r="L202" s="430">
        <f t="shared" ref="L202:P202" si="117">L203*L206</f>
        <v>9056.8378173500241</v>
      </c>
      <c r="M202" s="430">
        <f t="shared" si="117"/>
        <v>9089.6824129093784</v>
      </c>
      <c r="N202" s="430">
        <f t="shared" si="117"/>
        <v>9144.0419837910231</v>
      </c>
      <c r="O202" s="430">
        <f t="shared" si="117"/>
        <v>9267.236445634373</v>
      </c>
      <c r="P202" s="430">
        <f t="shared" si="117"/>
        <v>9392.0271382401097</v>
      </c>
      <c r="Q202" s="409"/>
      <c r="R202" s="409"/>
      <c r="S202" s="409"/>
    </row>
    <row r="203" spans="2:19">
      <c r="C203" s="154" t="s">
        <v>408</v>
      </c>
      <c r="E203" s="154">
        <v>97.833333333333329</v>
      </c>
      <c r="F203" s="154">
        <v>122.33333333333333</v>
      </c>
      <c r="G203" s="154">
        <v>121.41666666666667</v>
      </c>
      <c r="H203" s="154">
        <v>120</v>
      </c>
      <c r="I203" s="154">
        <v>120</v>
      </c>
      <c r="J203" s="154">
        <f>I203</f>
        <v>120</v>
      </c>
      <c r="K203" s="409">
        <f>AVERAGE(I203:J203)</f>
        <v>120</v>
      </c>
      <c r="L203" s="409">
        <f>L$77/L204</f>
        <v>118.40978574550026</v>
      </c>
      <c r="M203" s="409">
        <f>M$77/M204</f>
        <v>116.62335474319306</v>
      </c>
      <c r="N203" s="409">
        <f t="shared" ref="N203:P203" si="118">N$77/N204</f>
        <v>114.68309321633643</v>
      </c>
      <c r="O203" s="409">
        <f t="shared" si="118"/>
        <v>112.62420368134106</v>
      </c>
      <c r="P203" s="409">
        <f t="shared" si="118"/>
        <v>110.38759956965342</v>
      </c>
      <c r="Q203" s="409"/>
      <c r="R203" s="409"/>
      <c r="S203" s="409"/>
    </row>
    <row r="204" spans="2:19">
      <c r="C204" s="168" t="s">
        <v>405</v>
      </c>
      <c r="E204" s="234">
        <f>E$77/E203</f>
        <v>5594.2896081771723</v>
      </c>
      <c r="F204" s="164">
        <f>F$77/F203</f>
        <v>4481.4604904632151</v>
      </c>
      <c r="G204" s="164">
        <f>G$77/G203</f>
        <v>4576.9828414550448</v>
      </c>
      <c r="H204" s="164">
        <f>H$77/H203</f>
        <v>4848.6333333333332</v>
      </c>
      <c r="I204" s="234"/>
      <c r="J204" s="234"/>
      <c r="K204" s="411">
        <f>K$77/K203</f>
        <v>5034.70866037633</v>
      </c>
      <c r="L204" s="411">
        <f>K204*(1+L205)</f>
        <v>5286.4440933951464</v>
      </c>
      <c r="M204" s="411">
        <f t="shared" ref="M204:P204" si="119">L204*(1+M205)</f>
        <v>5550.7662980649038</v>
      </c>
      <c r="N204" s="411">
        <f t="shared" si="119"/>
        <v>5828.3046129681488</v>
      </c>
      <c r="O204" s="411">
        <f t="shared" si="119"/>
        <v>6119.7198436165563</v>
      </c>
      <c r="P204" s="411">
        <f t="shared" si="119"/>
        <v>6425.7058357973847</v>
      </c>
      <c r="Q204" s="409"/>
      <c r="R204" s="409"/>
      <c r="S204" s="409"/>
    </row>
    <row r="205" spans="2:19">
      <c r="C205" s="170" t="s">
        <v>178</v>
      </c>
      <c r="F205" s="174">
        <f>F204/E204-1</f>
        <v>-0.19892232895617967</v>
      </c>
      <c r="G205" s="174">
        <f>G204/F204-1</f>
        <v>2.1315004605107157E-2</v>
      </c>
      <c r="H205" s="174">
        <f>H204/G204-1</f>
        <v>5.9351433310580015E-2</v>
      </c>
      <c r="I205" s="174"/>
      <c r="J205" s="174"/>
      <c r="K205" s="266">
        <f>K204/H204-1</f>
        <v>3.8376860911252697E-2</v>
      </c>
      <c r="L205" s="266">
        <v>0.05</v>
      </c>
      <c r="M205" s="266">
        <v>0.05</v>
      </c>
      <c r="N205" s="266">
        <v>0.05</v>
      </c>
      <c r="O205" s="266">
        <v>0.05</v>
      </c>
      <c r="P205" s="266">
        <f>O205</f>
        <v>0.05</v>
      </c>
      <c r="Q205" s="409"/>
      <c r="R205" s="409"/>
      <c r="S205" s="409"/>
    </row>
    <row r="206" spans="2:19">
      <c r="C206" s="154" t="s">
        <v>409</v>
      </c>
      <c r="E206" s="234">
        <v>63.865188030664413</v>
      </c>
      <c r="F206" s="234">
        <v>64.633919591280659</v>
      </c>
      <c r="G206" s="234">
        <v>67.209933224433769</v>
      </c>
      <c r="H206" s="234">
        <v>70.65412263333333</v>
      </c>
      <c r="I206" s="234">
        <f>(I202/3*4)/I203</f>
        <v>73.82938319057611</v>
      </c>
      <c r="J206" s="234">
        <f>I206</f>
        <v>73.82938319057611</v>
      </c>
      <c r="K206" s="423">
        <f>J206</f>
        <v>73.82938319057611</v>
      </c>
      <c r="L206" s="423">
        <f>K206*(1+L207)</f>
        <v>76.487240985436856</v>
      </c>
      <c r="M206" s="423">
        <f t="shared" ref="M206:P206" si="120">L206*(1+M207)</f>
        <v>77.940498564160151</v>
      </c>
      <c r="N206" s="423">
        <f t="shared" si="120"/>
        <v>79.733130031135829</v>
      </c>
      <c r="O206" s="423">
        <f t="shared" si="120"/>
        <v>82.284590192132171</v>
      </c>
      <c r="P206" s="423">
        <f t="shared" si="120"/>
        <v>85.082266258664674</v>
      </c>
      <c r="Q206" s="409"/>
      <c r="R206" s="409"/>
      <c r="S206" s="409"/>
    </row>
    <row r="207" spans="2:19">
      <c r="C207" s="170" t="s">
        <v>178</v>
      </c>
      <c r="F207" s="174">
        <f>F206/E206-1</f>
        <v>1.2036785364933689E-2</v>
      </c>
      <c r="G207" s="174">
        <f>G206/F206-1</f>
        <v>3.9855445088937902E-2</v>
      </c>
      <c r="H207" s="174">
        <f>H206/G206-1</f>
        <v>5.1245243726078415E-2</v>
      </c>
      <c r="I207" s="174"/>
      <c r="J207" s="174"/>
      <c r="K207" s="266">
        <f>K206/H206-1</f>
        <v>4.4940909870484269E-2</v>
      </c>
      <c r="L207" s="266">
        <f t="shared" ref="L207:P207" si="121">L199</f>
        <v>3.6000000000000004E-2</v>
      </c>
      <c r="M207" s="266">
        <f t="shared" si="121"/>
        <v>1.9E-2</v>
      </c>
      <c r="N207" s="266">
        <f t="shared" si="121"/>
        <v>2.3E-2</v>
      </c>
      <c r="O207" s="266">
        <f t="shared" si="121"/>
        <v>3.2000000000000001E-2</v>
      </c>
      <c r="P207" s="266">
        <f t="shared" si="121"/>
        <v>3.4000000000000002E-2</v>
      </c>
      <c r="Q207" s="409"/>
      <c r="R207" s="409"/>
      <c r="S207" s="409"/>
    </row>
    <row r="208" spans="2:19">
      <c r="C208" s="154" t="s">
        <v>407</v>
      </c>
      <c r="E208" s="154">
        <f>E$10/E203</f>
        <v>5315.5274023645661</v>
      </c>
      <c r="F208" s="154">
        <f t="shared" ref="F208:H208" si="122">F$10/F203</f>
        <v>5068.2940553215258</v>
      </c>
      <c r="G208" s="154">
        <f t="shared" si="122"/>
        <v>5244.1873690871653</v>
      </c>
      <c r="H208" s="154">
        <f t="shared" si="122"/>
        <v>5495.8625130500013</v>
      </c>
      <c r="J208" s="154"/>
      <c r="K208" s="409">
        <f t="shared" ref="K208:P208" si="123">K$10/K203</f>
        <v>5823.0121467592353</v>
      </c>
      <c r="L208" s="409">
        <f t="shared" si="123"/>
        <v>6153.1878756768519</v>
      </c>
      <c r="M208" s="409">
        <f t="shared" si="123"/>
        <v>6525.8492512510211</v>
      </c>
      <c r="N208" s="409">
        <f t="shared" si="123"/>
        <v>6916.0205286489254</v>
      </c>
      <c r="O208" s="409">
        <f t="shared" si="123"/>
        <v>7327.4002922299869</v>
      </c>
      <c r="P208" s="409">
        <f t="shared" si="123"/>
        <v>7766.7668029263677</v>
      </c>
      <c r="Q208" s="409"/>
      <c r="R208" s="409"/>
      <c r="S208" s="409"/>
    </row>
    <row r="209" spans="2:19">
      <c r="J209" s="154"/>
      <c r="K209" s="409"/>
      <c r="L209" s="409"/>
      <c r="M209" s="409"/>
      <c r="N209" s="409"/>
      <c r="O209" s="409"/>
      <c r="P209" s="409"/>
      <c r="Q209" s="409"/>
      <c r="R209" s="409"/>
      <c r="S209" s="409"/>
    </row>
    <row r="210" spans="2:19">
      <c r="B210" s="154" t="s">
        <v>400</v>
      </c>
      <c r="E210" s="171">
        <f t="shared" ref="E210:H210" si="124">E211*E214</f>
        <v>19770.456152000002</v>
      </c>
      <c r="F210" s="171">
        <f t="shared" si="124"/>
        <v>25621.445157999999</v>
      </c>
      <c r="G210" s="171">
        <f t="shared" si="124"/>
        <v>25971.345703999996</v>
      </c>
      <c r="H210" s="171">
        <f t="shared" si="124"/>
        <v>27496.396713822935</v>
      </c>
      <c r="I210" s="171">
        <v>22622.132169430006</v>
      </c>
      <c r="J210" s="171">
        <f>J211*J214/4</f>
        <v>7540.7107231433356</v>
      </c>
      <c r="K210" s="430">
        <f>SUM(I210:J210)</f>
        <v>30162.842892573342</v>
      </c>
      <c r="L210" s="430">
        <f t="shared" ref="L210:P210" si="125">L211*L214</f>
        <v>31897.866309505582</v>
      </c>
      <c r="M210" s="430">
        <f t="shared" si="125"/>
        <v>32826.387713581295</v>
      </c>
      <c r="N210" s="430">
        <f t="shared" si="125"/>
        <v>33729.412828424327</v>
      </c>
      <c r="O210" s="430">
        <f t="shared" si="125"/>
        <v>34915.398066799651</v>
      </c>
      <c r="P210" s="430">
        <f t="shared" si="125"/>
        <v>36107.715926854398</v>
      </c>
      <c r="Q210" s="409"/>
      <c r="R210" s="409"/>
      <c r="S210" s="409"/>
    </row>
    <row r="211" spans="2:19">
      <c r="C211" s="154" t="s">
        <v>410</v>
      </c>
      <c r="E211" s="154">
        <v>344.08333333333331</v>
      </c>
      <c r="F211" s="154">
        <v>427.25</v>
      </c>
      <c r="G211" s="154">
        <v>408.16666666666669</v>
      </c>
      <c r="H211" s="154">
        <v>420.16666666666669</v>
      </c>
      <c r="I211" s="154">
        <v>438.55555556000002</v>
      </c>
      <c r="J211" s="154">
        <f>I211</f>
        <v>438.55555556000002</v>
      </c>
      <c r="K211" s="409">
        <f>AVERAGE(I211:J211)</f>
        <v>438.55555556000002</v>
      </c>
      <c r="L211" s="409">
        <f>L$77/L212</f>
        <v>447.66611527033137</v>
      </c>
      <c r="M211" s="409">
        <f>M$77/M212</f>
        <v>452.10727991316674</v>
      </c>
      <c r="N211" s="409">
        <f t="shared" ref="N211:P211" si="126">N$77/N212</f>
        <v>454.10005315422393</v>
      </c>
      <c r="O211" s="409">
        <f t="shared" si="126"/>
        <v>455.49128533301007</v>
      </c>
      <c r="P211" s="409">
        <f t="shared" si="126"/>
        <v>455.5568200940923</v>
      </c>
      <c r="Q211" s="409"/>
      <c r="R211" s="409"/>
      <c r="S211" s="409"/>
    </row>
    <row r="212" spans="2:19">
      <c r="C212" s="168" t="s">
        <v>405</v>
      </c>
      <c r="E212" s="234">
        <f>E$77/E211</f>
        <v>1590.6263017679826</v>
      </c>
      <c r="F212" s="164">
        <f>F$77/F211</f>
        <v>1283.1644236395553</v>
      </c>
      <c r="G212" s="164">
        <f>G$77/G211</f>
        <v>1361.5075541037158</v>
      </c>
      <c r="H212" s="164">
        <f>H$77/H211</f>
        <v>1384.7742959143197</v>
      </c>
      <c r="I212" s="234"/>
      <c r="J212" s="234"/>
      <c r="K212" s="411">
        <f>K$77/K211</f>
        <v>1377.6248677859974</v>
      </c>
      <c r="L212" s="411">
        <f>K212*(1+L213)</f>
        <v>1398.2892408027872</v>
      </c>
      <c r="M212" s="411">
        <f t="shared" ref="M212:P212" si="127">L212*(1+M213)</f>
        <v>1431.8481825820541</v>
      </c>
      <c r="N212" s="411">
        <f t="shared" si="127"/>
        <v>1471.9399316943516</v>
      </c>
      <c r="O212" s="411">
        <f t="shared" si="127"/>
        <v>1513.1542497817934</v>
      </c>
      <c r="P212" s="411">
        <f t="shared" si="127"/>
        <v>1557.0357230254654</v>
      </c>
      <c r="Q212" s="409"/>
      <c r="R212" s="409"/>
      <c r="S212" s="409"/>
    </row>
    <row r="213" spans="2:19">
      <c r="C213" s="170" t="s">
        <v>178</v>
      </c>
      <c r="F213" s="174">
        <f>F212/E212-1</f>
        <v>-0.19329611096376509</v>
      </c>
      <c r="G213" s="174">
        <f>G212/F212-1</f>
        <v>6.1054631051840502E-2</v>
      </c>
      <c r="H213" s="174">
        <f>H212/G212-1</f>
        <v>1.7088955357225544E-2</v>
      </c>
      <c r="I213" s="174"/>
      <c r="J213" s="174"/>
      <c r="K213" s="266">
        <f>K212/H212-1</f>
        <v>-5.1628833300966237E-3</v>
      </c>
      <c r="L213" s="339">
        <v>1.4999999999999999E-2</v>
      </c>
      <c r="M213" s="339">
        <v>2.4E-2</v>
      </c>
      <c r="N213" s="339">
        <v>2.7999999999999997E-2</v>
      </c>
      <c r="O213" s="339">
        <v>2.7999999999999997E-2</v>
      </c>
      <c r="P213" s="339">
        <v>2.8999999999999998E-2</v>
      </c>
      <c r="Q213" s="409"/>
      <c r="R213" s="409"/>
      <c r="S213" s="409"/>
    </row>
    <row r="214" spans="2:19">
      <c r="C214" s="154" t="s">
        <v>411</v>
      </c>
      <c r="E214" s="234">
        <v>57.458337085008488</v>
      </c>
      <c r="F214" s="234">
        <v>59.968274214160324</v>
      </c>
      <c r="G214" s="234">
        <v>63.629266730910565</v>
      </c>
      <c r="H214" s="234">
        <v>65.441642317706311</v>
      </c>
      <c r="I214" s="234">
        <f>(I210/3*4)/I211</f>
        <v>68.777701046467939</v>
      </c>
      <c r="J214" s="234">
        <f>I214</f>
        <v>68.777701046467939</v>
      </c>
      <c r="K214" s="423">
        <f>J214</f>
        <v>68.777701046467939</v>
      </c>
      <c r="L214" s="423">
        <f>K214*(1+L215)</f>
        <v>71.253698284140782</v>
      </c>
      <c r="M214" s="423">
        <f t="shared" ref="M214:P214" si="128">L214*(1+M215)</f>
        <v>72.607518551539457</v>
      </c>
      <c r="N214" s="423">
        <f t="shared" si="128"/>
        <v>74.27749147822486</v>
      </c>
      <c r="O214" s="423">
        <f t="shared" si="128"/>
        <v>76.654371205528051</v>
      </c>
      <c r="P214" s="423">
        <f t="shared" si="128"/>
        <v>79.260619826516006</v>
      </c>
      <c r="Q214" s="409"/>
      <c r="R214" s="409"/>
      <c r="S214" s="409"/>
    </row>
    <row r="215" spans="2:19">
      <c r="C215" s="170" t="s">
        <v>178</v>
      </c>
      <c r="F215" s="174">
        <f>F214/E214-1</f>
        <v>4.3682731810327891E-2</v>
      </c>
      <c r="G215" s="174">
        <f>G214/F214-1</f>
        <v>6.104882231021036E-2</v>
      </c>
      <c r="H215" s="174">
        <f>H214/G214-1</f>
        <v>2.8483364337048123E-2</v>
      </c>
      <c r="I215" s="174"/>
      <c r="J215" s="174"/>
      <c r="K215" s="266">
        <f>K214/H214-1</f>
        <v>5.0977613192616955E-2</v>
      </c>
      <c r="L215" s="266">
        <f t="shared" ref="L215:P215" si="129">L207</f>
        <v>3.6000000000000004E-2</v>
      </c>
      <c r="M215" s="266">
        <f t="shared" si="129"/>
        <v>1.9E-2</v>
      </c>
      <c r="N215" s="266">
        <f t="shared" si="129"/>
        <v>2.3E-2</v>
      </c>
      <c r="O215" s="266">
        <f t="shared" si="129"/>
        <v>3.2000000000000001E-2</v>
      </c>
      <c r="P215" s="266">
        <f t="shared" si="129"/>
        <v>3.4000000000000002E-2</v>
      </c>
      <c r="Q215" s="409"/>
      <c r="R215" s="409"/>
      <c r="S215" s="409"/>
    </row>
    <row r="216" spans="2:19">
      <c r="C216" s="154" t="s">
        <v>407</v>
      </c>
      <c r="E216" s="154">
        <f>E$10/E211</f>
        <v>1511.3657472453381</v>
      </c>
      <c r="F216" s="154">
        <f t="shared" ref="F216:H216" si="130">F$10/F211</f>
        <v>1451.1908861345814</v>
      </c>
      <c r="G216" s="154">
        <f t="shared" si="130"/>
        <v>1559.9797870069417</v>
      </c>
      <c r="H216" s="154">
        <f t="shared" si="130"/>
        <v>1569.623565805633</v>
      </c>
      <c r="J216" s="154"/>
      <c r="K216" s="409">
        <f t="shared" ref="K216:P216" si="131">K$10/K211</f>
        <v>1593.3248336549887</v>
      </c>
      <c r="L216" s="409">
        <f t="shared" si="131"/>
        <v>1627.5470337323363</v>
      </c>
      <c r="M216" s="409">
        <f t="shared" si="131"/>
        <v>1683.3757518247035</v>
      </c>
      <c r="N216" s="409">
        <f t="shared" si="131"/>
        <v>1746.6428851171418</v>
      </c>
      <c r="O216" s="409">
        <f t="shared" si="131"/>
        <v>1811.763802162521</v>
      </c>
      <c r="P216" s="409">
        <f t="shared" si="131"/>
        <v>1881.9929940138577</v>
      </c>
      <c r="Q216" s="409"/>
      <c r="R216" s="409"/>
      <c r="S216" s="409"/>
    </row>
    <row r="217" spans="2:19">
      <c r="J217" s="154"/>
      <c r="K217" s="431">
        <f>K210/K48</f>
        <v>4.1839395458622357E-2</v>
      </c>
      <c r="L217" s="431">
        <f t="shared" ref="L217:P217" si="132">L210/L48</f>
        <v>4.2463584079188536E-2</v>
      </c>
      <c r="M217" s="431">
        <f t="shared" si="132"/>
        <v>4.186582353677458E-2</v>
      </c>
      <c r="N217" s="431">
        <f t="shared" si="132"/>
        <v>4.1303968383137532E-2</v>
      </c>
      <c r="O217" s="431">
        <f t="shared" si="132"/>
        <v>4.11175537254099E-2</v>
      </c>
      <c r="P217" s="431">
        <f t="shared" si="132"/>
        <v>4.095604775659703E-2</v>
      </c>
      <c r="Q217" s="409"/>
      <c r="R217" s="409"/>
      <c r="S217" s="409"/>
    </row>
    <row r="218" spans="2:19">
      <c r="J218" s="154"/>
      <c r="K218" s="409"/>
      <c r="L218" s="409"/>
      <c r="M218" s="409"/>
      <c r="N218" s="409"/>
      <c r="O218" s="409"/>
      <c r="P218" s="409"/>
      <c r="Q218" s="409"/>
      <c r="R218" s="409"/>
      <c r="S218" s="409"/>
    </row>
    <row r="219" spans="2:19">
      <c r="B219" s="154" t="s">
        <v>412</v>
      </c>
      <c r="E219" s="171">
        <f t="shared" ref="E219:H219" si="133">E220*E223</f>
        <v>1033.990151</v>
      </c>
      <c r="F219" s="171">
        <f t="shared" si="133"/>
        <v>1471.5951430000002</v>
      </c>
      <c r="G219" s="171">
        <f t="shared" si="133"/>
        <v>1246.016707</v>
      </c>
      <c r="H219" s="171">
        <f t="shared" si="133"/>
        <v>1581.6416759999997</v>
      </c>
      <c r="I219" s="171">
        <v>1260.3409719265308</v>
      </c>
      <c r="J219" s="171">
        <f>J220*J223/4</f>
        <v>420.11365730884359</v>
      </c>
      <c r="K219" s="430">
        <f>SUM(I219:J219)</f>
        <v>1680.4546292353743</v>
      </c>
      <c r="L219" s="430">
        <f t="shared" ref="L219:P219" si="134">L220*L223</f>
        <v>1740.950995887848</v>
      </c>
      <c r="M219" s="430">
        <f t="shared" si="134"/>
        <v>1774.0290648097168</v>
      </c>
      <c r="N219" s="430">
        <f t="shared" si="134"/>
        <v>1814.8317333003397</v>
      </c>
      <c r="O219" s="430">
        <f t="shared" si="134"/>
        <v>1872.906348765951</v>
      </c>
      <c r="P219" s="430">
        <f t="shared" si="134"/>
        <v>1936.5851646239933</v>
      </c>
      <c r="Q219" s="409"/>
      <c r="R219" s="409"/>
      <c r="S219" s="409"/>
    </row>
    <row r="220" spans="2:19">
      <c r="C220" s="154" t="s">
        <v>413</v>
      </c>
      <c r="E220" s="154">
        <v>14.166666666666666</v>
      </c>
      <c r="F220" s="154">
        <v>18.083333333333332</v>
      </c>
      <c r="G220" s="154">
        <v>18.25</v>
      </c>
      <c r="H220" s="154">
        <v>19.416666666666668</v>
      </c>
      <c r="I220" s="154">
        <v>20.888888888899999</v>
      </c>
      <c r="J220" s="154">
        <f>I220</f>
        <v>20.888888888899999</v>
      </c>
      <c r="K220" s="432">
        <f>AVERAGE(I220:J220)</f>
        <v>20.888888888899999</v>
      </c>
      <c r="L220" s="432">
        <f t="shared" ref="L220:P220" si="135">L$77/L221</f>
        <v>20.888888888899999</v>
      </c>
      <c r="M220" s="432">
        <f t="shared" si="135"/>
        <v>20.888888888899999</v>
      </c>
      <c r="N220" s="432">
        <f t="shared" si="135"/>
        <v>20.888888888899995</v>
      </c>
      <c r="O220" s="432">
        <f t="shared" si="135"/>
        <v>20.888888888899999</v>
      </c>
      <c r="P220" s="432">
        <f t="shared" si="135"/>
        <v>20.888888888899999</v>
      </c>
      <c r="Q220" s="409"/>
      <c r="R220" s="409"/>
      <c r="S220" s="409"/>
    </row>
    <row r="221" spans="2:19">
      <c r="C221" s="168" t="s">
        <v>405</v>
      </c>
      <c r="E221" s="234">
        <f>E$77/E220</f>
        <v>38633.50588235294</v>
      </c>
      <c r="F221" s="164">
        <f>F$77/F220</f>
        <v>30316.976958525349</v>
      </c>
      <c r="G221" s="164">
        <f>G$77/G220</f>
        <v>30450.520547945205</v>
      </c>
      <c r="H221" s="164">
        <f>H$77/H220</f>
        <v>29965.802575107293</v>
      </c>
      <c r="I221" s="164"/>
      <c r="J221" s="164"/>
      <c r="K221" s="411">
        <f>K$77/K220</f>
        <v>28922.794431933748</v>
      </c>
      <c r="L221" s="411">
        <f>K221*(1+L222)</f>
        <v>29966.4915536562</v>
      </c>
      <c r="M221" s="411">
        <f t="shared" ref="M221:P221" si="136">L221*(1+M222)</f>
        <v>30990.1110833987</v>
      </c>
      <c r="N221" s="411">
        <f t="shared" si="136"/>
        <v>31998.255377642923</v>
      </c>
      <c r="O221" s="411">
        <f t="shared" si="136"/>
        <v>32994.98493222682</v>
      </c>
      <c r="P221" s="411">
        <f t="shared" si="136"/>
        <v>33956.724387160037</v>
      </c>
      <c r="Q221" s="409"/>
      <c r="R221" s="409"/>
      <c r="S221" s="409"/>
    </row>
    <row r="222" spans="2:19">
      <c r="C222" s="170" t="s">
        <v>178</v>
      </c>
      <c r="F222" s="174">
        <f>F221/E221-1</f>
        <v>-0.2152672591804935</v>
      </c>
      <c r="G222" s="174">
        <f>G221/F221-1</f>
        <v>4.4049111361779136E-3</v>
      </c>
      <c r="H222" s="174">
        <f>H221/G221-1</f>
        <v>-1.5918216310118916E-2</v>
      </c>
      <c r="I222" s="174"/>
      <c r="J222" s="174"/>
      <c r="K222" s="266">
        <f>K221/H221-1</f>
        <v>-3.4806614658803636E-2</v>
      </c>
      <c r="L222" s="339">
        <f>L78</f>
        <v>3.6085625273127198E-2</v>
      </c>
      <c r="M222" s="339">
        <f t="shared" ref="M222:P222" si="137">M78</f>
        <v>3.4158804607128168E-2</v>
      </c>
      <c r="N222" s="339">
        <f t="shared" si="137"/>
        <v>3.253116103815068E-2</v>
      </c>
      <c r="O222" s="339">
        <f t="shared" si="137"/>
        <v>3.1149496834140145E-2</v>
      </c>
      <c r="P222" s="339">
        <f t="shared" si="137"/>
        <v>2.9148049526577235E-2</v>
      </c>
      <c r="Q222" s="409"/>
      <c r="R222" s="409"/>
      <c r="S222" s="409"/>
    </row>
    <row r="223" spans="2:19">
      <c r="C223" s="154" t="s">
        <v>414</v>
      </c>
      <c r="E223" s="234">
        <v>72.987540070588238</v>
      </c>
      <c r="F223" s="234">
        <v>81.37853325345624</v>
      </c>
      <c r="G223" s="234">
        <v>68.274888054794516</v>
      </c>
      <c r="H223" s="234">
        <v>81.457940394849771</v>
      </c>
      <c r="I223" s="234">
        <f>(I219/3*4)/I220</f>
        <v>80.447296080374073</v>
      </c>
      <c r="J223" s="234">
        <f>I223</f>
        <v>80.447296080374073</v>
      </c>
      <c r="K223" s="423">
        <f>J223</f>
        <v>80.447296080374073</v>
      </c>
      <c r="L223" s="423">
        <f>K223*(1+L224)</f>
        <v>83.343398739267542</v>
      </c>
      <c r="M223" s="423">
        <f t="shared" ref="M223:P223" si="138">L223*(1+M224)</f>
        <v>84.926923315313616</v>
      </c>
      <c r="N223" s="423">
        <f t="shared" si="138"/>
        <v>86.880242551565814</v>
      </c>
      <c r="O223" s="423">
        <f t="shared" si="138"/>
        <v>89.66041031321592</v>
      </c>
      <c r="P223" s="423">
        <f t="shared" si="138"/>
        <v>92.708864263865266</v>
      </c>
      <c r="Q223" s="409"/>
      <c r="R223" s="409"/>
      <c r="S223" s="409"/>
    </row>
    <row r="224" spans="2:19">
      <c r="C224" s="170" t="s">
        <v>178</v>
      </c>
      <c r="F224" s="174">
        <f>F223/E223-1</f>
        <v>0.11496473473078894</v>
      </c>
      <c r="G224" s="174">
        <f>G223/F223-1</f>
        <v>-0.16102090655590917</v>
      </c>
      <c r="H224" s="174">
        <f>H223/G223-1</f>
        <v>0.19308786459635208</v>
      </c>
      <c r="I224" s="174"/>
      <c r="J224" s="174"/>
      <c r="K224" s="266">
        <f>K223/H223-1</f>
        <v>-1.2406946573615962E-2</v>
      </c>
      <c r="L224" s="266">
        <f t="shared" ref="L224:P224" si="139">L215</f>
        <v>3.6000000000000004E-2</v>
      </c>
      <c r="M224" s="266">
        <f t="shared" si="139"/>
        <v>1.9E-2</v>
      </c>
      <c r="N224" s="266">
        <f t="shared" si="139"/>
        <v>2.3E-2</v>
      </c>
      <c r="O224" s="266">
        <f t="shared" si="139"/>
        <v>3.2000000000000001E-2</v>
      </c>
      <c r="P224" s="266">
        <f t="shared" si="139"/>
        <v>3.4000000000000002E-2</v>
      </c>
      <c r="Q224" s="409"/>
      <c r="R224" s="409"/>
      <c r="S224" s="409"/>
    </row>
    <row r="225" spans="2:19">
      <c r="C225" s="154" t="s">
        <v>407</v>
      </c>
      <c r="E225" s="154">
        <f>E$10/E220</f>
        <v>36708.406884564705</v>
      </c>
      <c r="F225" s="154">
        <f t="shared" ref="F225:H225" si="140">F$10/F220</f>
        <v>34286.892503281102</v>
      </c>
      <c r="G225" s="154">
        <f t="shared" si="140"/>
        <v>34889.410944109593</v>
      </c>
      <c r="H225" s="154">
        <f t="shared" si="140"/>
        <v>33965.845574214596</v>
      </c>
      <c r="J225" s="154"/>
      <c r="K225" s="409">
        <f t="shared" ref="K225:P225" si="141">K$10/K220</f>
        <v>33451.346374982073</v>
      </c>
      <c r="L225" s="409">
        <f t="shared" si="141"/>
        <v>34879.675117515246</v>
      </c>
      <c r="M225" s="409">
        <f t="shared" si="141"/>
        <v>36434.031330104233</v>
      </c>
      <c r="N225" s="409">
        <f t="shared" si="141"/>
        <v>37969.976823162098</v>
      </c>
      <c r="O225" s="409">
        <f t="shared" si="141"/>
        <v>39506.295780305867</v>
      </c>
      <c r="P225" s="409">
        <f t="shared" si="141"/>
        <v>41043.578160248479</v>
      </c>
      <c r="Q225" s="409"/>
      <c r="R225" s="409"/>
      <c r="S225" s="409"/>
    </row>
    <row r="226" spans="2:19">
      <c r="J226" s="154"/>
    </row>
    <row r="227" spans="2:19">
      <c r="B227" s="154" t="s">
        <v>402</v>
      </c>
      <c r="E227" s="171">
        <f t="shared" ref="E227:H227" si="142">E228*E231</f>
        <v>3112.1737869999997</v>
      </c>
      <c r="F227" s="171">
        <f t="shared" si="142"/>
        <v>4439.7960730000004</v>
      </c>
      <c r="G227" s="171">
        <f t="shared" si="142"/>
        <v>4053.6214680000003</v>
      </c>
      <c r="H227" s="171">
        <f t="shared" si="142"/>
        <v>5023.7800140000008</v>
      </c>
      <c r="I227" s="171">
        <v>4717.3789701779569</v>
      </c>
      <c r="J227" s="171">
        <f>J228*J231/4</f>
        <v>1572.4596567259857</v>
      </c>
      <c r="K227" s="171">
        <f>SUM(I227:J227)</f>
        <v>6289.8386269039429</v>
      </c>
      <c r="L227" s="171">
        <f t="shared" ref="L227:P227" si="143">L228*L231</f>
        <v>6516.2728174724853</v>
      </c>
      <c r="M227" s="171">
        <f t="shared" si="143"/>
        <v>6640.0820010044617</v>
      </c>
      <c r="N227" s="171">
        <f t="shared" si="143"/>
        <v>6792.8038870275632</v>
      </c>
      <c r="O227" s="171">
        <f t="shared" si="143"/>
        <v>7010.173611412446</v>
      </c>
      <c r="P227" s="171">
        <f t="shared" si="143"/>
        <v>7248.5195142004695</v>
      </c>
    </row>
    <row r="228" spans="2:19">
      <c r="C228" s="154" t="s">
        <v>415</v>
      </c>
      <c r="E228" s="154">
        <v>43.083333333333336</v>
      </c>
      <c r="F228" s="154">
        <v>57.833333333333336</v>
      </c>
      <c r="G228" s="154">
        <v>48.916666666666664</v>
      </c>
      <c r="H228" s="154">
        <v>53.25</v>
      </c>
      <c r="I228" s="154">
        <f>K228</f>
        <v>59</v>
      </c>
      <c r="J228" s="154">
        <f>K228</f>
        <v>59</v>
      </c>
      <c r="K228" s="241">
        <v>59</v>
      </c>
      <c r="L228" s="241">
        <f>K228</f>
        <v>59</v>
      </c>
      <c r="M228" s="241">
        <f>L228</f>
        <v>59</v>
      </c>
      <c r="N228" s="241">
        <f>M228</f>
        <v>59</v>
      </c>
      <c r="O228" s="241">
        <f t="shared" ref="O228:P228" si="144">N228</f>
        <v>59</v>
      </c>
      <c r="P228" s="241">
        <f t="shared" si="144"/>
        <v>59</v>
      </c>
    </row>
    <row r="229" spans="2:19">
      <c r="C229" s="168" t="s">
        <v>405</v>
      </c>
      <c r="E229" s="234">
        <f>E$77/E228</f>
        <v>12703.473887814313</v>
      </c>
      <c r="F229" s="164">
        <f>F$77/F228</f>
        <v>9479.515850144091</v>
      </c>
      <c r="G229" s="164">
        <f>G$77/G228</f>
        <v>11360.586030664395</v>
      </c>
      <c r="H229" s="164">
        <f>H$77/H228</f>
        <v>10926.49765258216</v>
      </c>
      <c r="I229" s="234"/>
      <c r="J229" s="234"/>
      <c r="K229" s="164">
        <f>K$77/K228</f>
        <v>10240.085410934909</v>
      </c>
      <c r="L229" s="164">
        <f>K229*(1+L230)</f>
        <v>10240.085410934909</v>
      </c>
      <c r="M229" s="164">
        <f t="shared" ref="M229:P229" si="145">L229*(1+M230)</f>
        <v>10240.085410934909</v>
      </c>
      <c r="N229" s="164">
        <f t="shared" si="145"/>
        <v>10240.085410934909</v>
      </c>
      <c r="O229" s="164">
        <f t="shared" si="145"/>
        <v>10240.085410934909</v>
      </c>
      <c r="P229" s="164">
        <f t="shared" si="145"/>
        <v>10240.085410934909</v>
      </c>
    </row>
    <row r="230" spans="2:19">
      <c r="C230" s="170" t="s">
        <v>178</v>
      </c>
      <c r="F230" s="174">
        <f>F229/E229-1</f>
        <v>-0.25378554450076629</v>
      </c>
      <c r="G230" s="174">
        <f>G229/F229-1</f>
        <v>0.19843525874707102</v>
      </c>
      <c r="H230" s="174">
        <f>H229/G229-1</f>
        <v>-3.8210033963965162E-2</v>
      </c>
      <c r="I230" s="174"/>
      <c r="J230" s="174"/>
      <c r="K230" s="174"/>
      <c r="L230" s="174"/>
      <c r="M230" s="174"/>
      <c r="N230" s="174"/>
      <c r="O230" s="174"/>
      <c r="P230" s="174"/>
    </row>
    <row r="231" spans="2:19">
      <c r="C231" s="154" t="s">
        <v>416</v>
      </c>
      <c r="E231" s="234">
        <v>72.23614205802707</v>
      </c>
      <c r="F231" s="234">
        <v>76.768808178674362</v>
      </c>
      <c r="G231" s="234">
        <v>82.867900538330503</v>
      </c>
      <c r="H231" s="234">
        <v>94.343286647887339</v>
      </c>
      <c r="I231" s="234">
        <f>(I227/3*4)/I228</f>
        <v>106.60743435430412</v>
      </c>
      <c r="J231" s="234">
        <f>I231</f>
        <v>106.60743435430412</v>
      </c>
      <c r="K231" s="234">
        <f>J231</f>
        <v>106.60743435430412</v>
      </c>
      <c r="L231" s="234">
        <f>K231*(1+L232)</f>
        <v>110.44530199105907</v>
      </c>
      <c r="M231" s="234">
        <f t="shared" ref="M231:P231" si="146">L231*(1+M232)</f>
        <v>112.54376272888918</v>
      </c>
      <c r="N231" s="234">
        <f t="shared" si="146"/>
        <v>115.13226927165361</v>
      </c>
      <c r="O231" s="234">
        <f t="shared" si="146"/>
        <v>118.81650188834654</v>
      </c>
      <c r="P231" s="234">
        <f t="shared" si="146"/>
        <v>122.85626295255032</v>
      </c>
    </row>
    <row r="232" spans="2:19">
      <c r="C232" s="170" t="s">
        <v>178</v>
      </c>
      <c r="F232" s="174">
        <f>F231/E231-1</f>
        <v>6.2747898648936928E-2</v>
      </c>
      <c r="G232" s="174">
        <f>G231/F231-1</f>
        <v>7.9447532199026671E-2</v>
      </c>
      <c r="H232" s="174">
        <f>H231/G231-1</f>
        <v>0.13847806008128449</v>
      </c>
      <c r="I232" s="195"/>
      <c r="J232" s="174"/>
      <c r="K232" s="174">
        <f>K231/H231-1</f>
        <v>0.12999491688464948</v>
      </c>
      <c r="L232" s="174">
        <f t="shared" ref="L232:P232" si="147">L224</f>
        <v>3.6000000000000004E-2</v>
      </c>
      <c r="M232" s="174">
        <f t="shared" si="147"/>
        <v>1.9E-2</v>
      </c>
      <c r="N232" s="174">
        <f t="shared" si="147"/>
        <v>2.3E-2</v>
      </c>
      <c r="O232" s="174">
        <f t="shared" si="147"/>
        <v>3.2000000000000001E-2</v>
      </c>
      <c r="P232" s="174">
        <f t="shared" si="147"/>
        <v>3.4000000000000002E-2</v>
      </c>
    </row>
    <row r="233" spans="2:19">
      <c r="C233" s="154" t="s">
        <v>407</v>
      </c>
      <c r="E233" s="154">
        <f>E$10/E228</f>
        <v>12070.462611945841</v>
      </c>
      <c r="F233" s="154">
        <f t="shared" ref="F233:H233" si="148">F$10/F228</f>
        <v>10720.829500305474</v>
      </c>
      <c r="G233" s="154">
        <f t="shared" si="148"/>
        <v>13016.66268613288</v>
      </c>
      <c r="H233" s="154">
        <f t="shared" si="148"/>
        <v>12385.04228292958</v>
      </c>
      <c r="J233" s="154"/>
      <c r="K233" s="154">
        <f t="shared" ref="K233:P233" si="149">K$10/K228</f>
        <v>11843.414535781494</v>
      </c>
      <c r="L233" s="154">
        <f t="shared" si="149"/>
        <v>12349.112847639084</v>
      </c>
      <c r="M233" s="154">
        <f t="shared" si="149"/>
        <v>12899.431054733028</v>
      </c>
      <c r="N233" s="154">
        <f t="shared" si="149"/>
        <v>13443.230965646459</v>
      </c>
      <c r="O233" s="154">
        <f t="shared" si="149"/>
        <v>13987.163101132679</v>
      </c>
      <c r="P233" s="154">
        <f t="shared" si="149"/>
        <v>14531.436335462935</v>
      </c>
    </row>
    <row r="234" spans="2:19">
      <c r="J234" s="154"/>
    </row>
    <row r="235" spans="2:19">
      <c r="J235" s="154"/>
    </row>
    <row r="236" spans="2:19">
      <c r="B236" s="171" t="s">
        <v>417</v>
      </c>
      <c r="J236" s="154"/>
    </row>
    <row r="237" spans="2:19">
      <c r="J237" s="154"/>
    </row>
    <row r="238" spans="2:19">
      <c r="B238" s="196" t="s">
        <v>80</v>
      </c>
      <c r="C238" s="196"/>
      <c r="D238" s="196"/>
      <c r="E238" s="196">
        <f>E244</f>
        <v>6300.2719699999998</v>
      </c>
      <c r="F238" s="196">
        <f>F244</f>
        <v>6669.136708</v>
      </c>
      <c r="G238" s="196">
        <f t="shared" ref="G238:P238" si="150">G244</f>
        <v>6055.5184170000011</v>
      </c>
      <c r="H238" s="196">
        <f t="shared" si="150"/>
        <v>6772.0051059999996</v>
      </c>
      <c r="I238" s="196">
        <f t="shared" si="150"/>
        <v>5447.7139220146919</v>
      </c>
      <c r="J238" s="196">
        <f t="shared" si="150"/>
        <v>1815.9046406715638</v>
      </c>
      <c r="K238" s="196">
        <f t="shared" si="150"/>
        <v>7263.6185626862552</v>
      </c>
      <c r="L238" s="196">
        <f t="shared" si="150"/>
        <v>7517.4056174203524</v>
      </c>
      <c r="M238" s="196">
        <f t="shared" si="150"/>
        <v>7637.5355022467702</v>
      </c>
      <c r="N238" s="196">
        <f t="shared" si="150"/>
        <v>7747.911803113815</v>
      </c>
      <c r="O238" s="196">
        <f t="shared" si="150"/>
        <v>7864.9089704121207</v>
      </c>
      <c r="P238" s="196">
        <f t="shared" si="150"/>
        <v>7968.2990777935502</v>
      </c>
      <c r="Q238" s="196"/>
    </row>
    <row r="239" spans="2:19">
      <c r="B239" s="154" t="s">
        <v>81</v>
      </c>
      <c r="E239" s="154">
        <f>E250</f>
        <v>9378.2497090000015</v>
      </c>
      <c r="F239" s="154">
        <f>F250</f>
        <v>12396.082686999998</v>
      </c>
      <c r="G239" s="154">
        <f t="shared" ref="G239:P239" si="151">G250</f>
        <v>10164.076360000003</v>
      </c>
      <c r="H239" s="154">
        <f t="shared" si="151"/>
        <v>8319.5578419999983</v>
      </c>
      <c r="I239" s="154">
        <f>I250</f>
        <v>8288.8635504407066</v>
      </c>
      <c r="J239" s="154">
        <f t="shared" si="151"/>
        <v>2762.9545168135687</v>
      </c>
      <c r="K239" s="154">
        <f t="shared" si="151"/>
        <v>11051.818067254275</v>
      </c>
      <c r="L239" s="154">
        <f t="shared" si="151"/>
        <v>11450.62983261599</v>
      </c>
      <c r="M239" s="154">
        <f t="shared" si="151"/>
        <v>11841.769659696873</v>
      </c>
      <c r="N239" s="154">
        <f t="shared" si="151"/>
        <v>12226.996175473158</v>
      </c>
      <c r="O239" s="154">
        <f t="shared" si="151"/>
        <v>12607.860954132102</v>
      </c>
      <c r="P239" s="154">
        <f t="shared" si="151"/>
        <v>12975.355509647345</v>
      </c>
    </row>
    <row r="240" spans="2:19">
      <c r="B240" s="177" t="s">
        <v>418</v>
      </c>
      <c r="C240" s="177"/>
      <c r="D240" s="177"/>
      <c r="E240" s="177">
        <f>E253</f>
        <v>19774.094153000002</v>
      </c>
      <c r="F240" s="177">
        <f>F253</f>
        <v>26644.637694000001</v>
      </c>
      <c r="G240" s="177">
        <f t="shared" ref="G240:P240" si="152">G253</f>
        <v>29924.511784999999</v>
      </c>
      <c r="H240" s="177">
        <f t="shared" si="152"/>
        <v>33096.942800000004</v>
      </c>
      <c r="I240" s="177">
        <f t="shared" si="152"/>
        <v>26088.665162100006</v>
      </c>
      <c r="J240" s="177">
        <f t="shared" si="152"/>
        <v>8696.2217207000012</v>
      </c>
      <c r="K240" s="177">
        <f t="shared" si="152"/>
        <v>34784.886882800005</v>
      </c>
      <c r="L240" s="177">
        <f t="shared" si="152"/>
        <v>36040.121276020844</v>
      </c>
      <c r="M240" s="177">
        <f t="shared" si="152"/>
        <v>37271.208736705645</v>
      </c>
      <c r="N240" s="177">
        <f t="shared" si="152"/>
        <v>38483.684430205947</v>
      </c>
      <c r="O240" s="177">
        <f t="shared" si="152"/>
        <v>39682.431836530697</v>
      </c>
      <c r="P240" s="177">
        <f t="shared" si="152"/>
        <v>40839.097325036921</v>
      </c>
      <c r="Q240" s="177"/>
    </row>
    <row r="241" spans="2:16" s="251" customFormat="1">
      <c r="B241" s="251" t="s">
        <v>419</v>
      </c>
      <c r="F241" s="251">
        <f>SUM(F238:F240)</f>
        <v>45709.857088999997</v>
      </c>
      <c r="G241" s="251">
        <f t="shared" ref="G241:P241" si="153">SUM(G238:G240)</f>
        <v>46144.106562000001</v>
      </c>
      <c r="H241" s="251">
        <f t="shared" si="153"/>
        <v>48188.505748000003</v>
      </c>
      <c r="I241" s="251">
        <f t="shared" si="153"/>
        <v>39825.242634555405</v>
      </c>
      <c r="J241" s="251">
        <f t="shared" si="153"/>
        <v>13275.080878185134</v>
      </c>
      <c r="K241" s="251">
        <f t="shared" si="153"/>
        <v>53100.323512740535</v>
      </c>
      <c r="L241" s="251">
        <f t="shared" si="153"/>
        <v>55008.15672605719</v>
      </c>
      <c r="M241" s="251">
        <f t="shared" si="153"/>
        <v>56750.513898649289</v>
      </c>
      <c r="N241" s="251">
        <f t="shared" si="153"/>
        <v>58458.592408792916</v>
      </c>
      <c r="O241" s="251">
        <f t="shared" si="153"/>
        <v>60155.201761074917</v>
      </c>
      <c r="P241" s="251">
        <f t="shared" si="153"/>
        <v>61782.751912477819</v>
      </c>
    </row>
    <row r="242" spans="2:16">
      <c r="F242" s="194">
        <f t="shared" ref="F242:P242" si="154">F241/F9</f>
        <v>6.9870226872593574E-2</v>
      </c>
      <c r="G242" s="194">
        <f t="shared" si="154"/>
        <v>6.9776228950878122E-2</v>
      </c>
      <c r="H242" s="194">
        <f t="shared" si="154"/>
        <v>7.0715026622998778E-2</v>
      </c>
      <c r="I242" s="194">
        <f t="shared" si="154"/>
        <v>7.4559977005229927E-2</v>
      </c>
      <c r="J242" s="194">
        <f t="shared" si="154"/>
        <v>7.1072340555493357E-2</v>
      </c>
      <c r="K242" s="174">
        <f t="shared" si="154"/>
        <v>7.3656367284177807E-2</v>
      </c>
      <c r="L242" s="174">
        <f t="shared" si="154"/>
        <v>7.3228831844530842E-2</v>
      </c>
      <c r="M242" s="174">
        <f t="shared" si="154"/>
        <v>7.2377960719666318E-2</v>
      </c>
      <c r="N242" s="174">
        <f t="shared" si="154"/>
        <v>7.1586536796771835E-2</v>
      </c>
      <c r="O242" s="174">
        <f t="shared" si="154"/>
        <v>7.0840800254997227E-2</v>
      </c>
      <c r="P242" s="174">
        <f t="shared" si="154"/>
        <v>7.0078576639612644E-2</v>
      </c>
    </row>
    <row r="244" spans="2:16">
      <c r="B244" s="154" t="s">
        <v>80</v>
      </c>
      <c r="E244" s="171">
        <v>6300.2719699999998</v>
      </c>
      <c r="F244" s="171">
        <v>6669.136708</v>
      </c>
      <c r="G244" s="171">
        <v>6055.5184170000011</v>
      </c>
      <c r="H244" s="171">
        <v>6772.0051059999996</v>
      </c>
      <c r="I244" s="171">
        <v>5447.7139220146919</v>
      </c>
      <c r="J244" s="172">
        <f>J245*J247/4</f>
        <v>1815.9046406715638</v>
      </c>
      <c r="K244" s="171">
        <f t="shared" ref="K244:P244" si="155">K245*K247</f>
        <v>7263.6185626862552</v>
      </c>
      <c r="L244" s="171">
        <f t="shared" si="155"/>
        <v>7517.4056174203524</v>
      </c>
      <c r="M244" s="171">
        <f t="shared" si="155"/>
        <v>7637.5355022467702</v>
      </c>
      <c r="N244" s="171">
        <f t="shared" si="155"/>
        <v>7747.911803113815</v>
      </c>
      <c r="O244" s="171">
        <f t="shared" si="155"/>
        <v>7864.9089704121207</v>
      </c>
      <c r="P244" s="171">
        <f t="shared" si="155"/>
        <v>7968.2990777935502</v>
      </c>
    </row>
    <row r="245" spans="2:16">
      <c r="C245" s="154" t="s">
        <v>420</v>
      </c>
      <c r="E245" s="154">
        <v>1161.5833333333335</v>
      </c>
      <c r="F245" s="154">
        <v>1422.5</v>
      </c>
      <c r="G245" s="154">
        <v>1409.25</v>
      </c>
      <c r="H245" s="154">
        <v>1409.25</v>
      </c>
      <c r="I245" s="154">
        <f>K245</f>
        <v>1409.25</v>
      </c>
      <c r="J245" s="166">
        <f>K245</f>
        <v>1409.25</v>
      </c>
      <c r="K245" s="154">
        <v>1409.25</v>
      </c>
      <c r="L245" s="154">
        <f>L195/L246</f>
        <v>1428.4901685031089</v>
      </c>
      <c r="M245" s="154">
        <f>M195/M246</f>
        <v>1442.6618018087991</v>
      </c>
      <c r="N245" s="154">
        <f>N195/N246</f>
        <v>1449.020685999056</v>
      </c>
      <c r="O245" s="154">
        <f>O195/O246</f>
        <v>1453.460069328976</v>
      </c>
      <c r="P245" s="154">
        <f>P195/P246</f>
        <v>1453.6691889355486</v>
      </c>
    </row>
    <row r="246" spans="2:16">
      <c r="C246" s="168" t="s">
        <v>421</v>
      </c>
      <c r="E246" s="252">
        <f>E195/E245</f>
        <v>1.2683836717124612</v>
      </c>
      <c r="F246" s="252">
        <f>F195/F245</f>
        <v>1.2868775629759812</v>
      </c>
      <c r="G246" s="252">
        <f>G195/G245</f>
        <v>1.307728697297617</v>
      </c>
      <c r="H246" s="252">
        <f>H195/H245</f>
        <v>1.2883921707764179</v>
      </c>
      <c r="I246" s="252">
        <f>H246</f>
        <v>1.2883921707764179</v>
      </c>
      <c r="J246" s="235">
        <f>I246</f>
        <v>1.2883921707764179</v>
      </c>
      <c r="K246" s="234">
        <f>J246</f>
        <v>1.2883921707764179</v>
      </c>
      <c r="L246" s="234">
        <f t="shared" ref="L246:P246" si="156">K246</f>
        <v>1.2883921707764179</v>
      </c>
      <c r="M246" s="234">
        <f t="shared" si="156"/>
        <v>1.2883921707764179</v>
      </c>
      <c r="N246" s="234">
        <f t="shared" si="156"/>
        <v>1.2883921707764179</v>
      </c>
      <c r="O246" s="234">
        <f t="shared" si="156"/>
        <v>1.2883921707764179</v>
      </c>
      <c r="P246" s="234">
        <f t="shared" si="156"/>
        <v>1.2883921707764179</v>
      </c>
    </row>
    <row r="247" spans="2:16">
      <c r="C247" s="154" t="s">
        <v>422</v>
      </c>
      <c r="E247" s="234">
        <f>E244/E245</f>
        <v>5.4238656747255893</v>
      </c>
      <c r="F247" s="234">
        <f t="shared" ref="F247:H247" si="157">F244/F245</f>
        <v>4.6883210601054479</v>
      </c>
      <c r="G247" s="234">
        <f t="shared" si="157"/>
        <v>4.2969795401809483</v>
      </c>
      <c r="H247" s="234">
        <f t="shared" si="157"/>
        <v>4.8053965627106612</v>
      </c>
      <c r="I247" s="234">
        <f>(I244/3*4)/I245</f>
        <v>5.1542441459544124</v>
      </c>
      <c r="J247" s="235">
        <f>I247</f>
        <v>5.1542441459544124</v>
      </c>
      <c r="K247" s="234">
        <f>J247</f>
        <v>5.1542441459544124</v>
      </c>
      <c r="L247" s="234">
        <f>K247*(1+L248)</f>
        <v>5.2624832730194546</v>
      </c>
      <c r="M247" s="234">
        <f t="shared" ref="M247:P247" si="158">L247*(1+M248)</f>
        <v>5.2940581726575715</v>
      </c>
      <c r="N247" s="234">
        <f t="shared" si="158"/>
        <v>5.3469987543841473</v>
      </c>
      <c r="O247" s="234">
        <f t="shared" si="158"/>
        <v>5.4111627394367572</v>
      </c>
      <c r="P247" s="234">
        <f t="shared" si="158"/>
        <v>5.4815078550494345</v>
      </c>
    </row>
    <row r="248" spans="2:16">
      <c r="C248" s="168" t="s">
        <v>364</v>
      </c>
      <c r="F248" s="174">
        <f>F247/E247-1</f>
        <v>-0.1356126163019985</v>
      </c>
      <c r="G248" s="174">
        <f>G247/F247-1</f>
        <v>-8.3471570079651891E-2</v>
      </c>
      <c r="H248" s="174">
        <f t="shared" ref="H248:I248" si="159">H247/G247-1</f>
        <v>0.11831962842166632</v>
      </c>
      <c r="I248" s="174">
        <f t="shared" si="159"/>
        <v>7.2594962495035054E-2</v>
      </c>
      <c r="K248" s="174">
        <f>K247/H247-1</f>
        <v>7.2594962495035054E-2</v>
      </c>
      <c r="L248" s="174">
        <v>2.1000000000000001E-2</v>
      </c>
      <c r="M248" s="174">
        <v>6.0000000000000001E-3</v>
      </c>
      <c r="N248" s="174">
        <v>0.01</v>
      </c>
      <c r="O248" s="174">
        <v>1.2E-2</v>
      </c>
      <c r="P248" s="174">
        <v>1.3000000000000001E-2</v>
      </c>
    </row>
    <row r="250" spans="2:16">
      <c r="B250" s="154" t="s">
        <v>81</v>
      </c>
      <c r="E250" s="171">
        <v>9378.2497090000015</v>
      </c>
      <c r="F250" s="171">
        <v>12396.082686999998</v>
      </c>
      <c r="G250" s="171">
        <v>10164.076360000003</v>
      </c>
      <c r="H250" s="171">
        <v>8319.5578419999983</v>
      </c>
      <c r="I250" s="171">
        <v>8288.8635504407066</v>
      </c>
      <c r="J250" s="172">
        <f>I250/3</f>
        <v>2762.9545168135687</v>
      </c>
      <c r="K250" s="171">
        <f>I250+J250</f>
        <v>11051.818067254275</v>
      </c>
      <c r="L250" s="171">
        <f>K250*(1+L251)</f>
        <v>11450.62983261599</v>
      </c>
      <c r="M250" s="171">
        <f t="shared" ref="M250:P250" si="160">L250*(1+M251)</f>
        <v>11841.769659696873</v>
      </c>
      <c r="N250" s="171">
        <f t="shared" si="160"/>
        <v>12226.996175473158</v>
      </c>
      <c r="O250" s="171">
        <f t="shared" si="160"/>
        <v>12607.860954132102</v>
      </c>
      <c r="P250" s="171">
        <f t="shared" si="160"/>
        <v>12975.355509647345</v>
      </c>
    </row>
    <row r="251" spans="2:16">
      <c r="C251" s="154" t="s">
        <v>178</v>
      </c>
      <c r="F251" s="174">
        <f>F250/E250-1</f>
        <v>0.32179064021977144</v>
      </c>
      <c r="G251" s="174">
        <f>G250/F250-1</f>
        <v>-0.1800573925939315</v>
      </c>
      <c r="H251" s="174">
        <f>H250/G250-1</f>
        <v>-0.18147428774334828</v>
      </c>
      <c r="K251" s="174">
        <f>K250/H250-1</f>
        <v>0.32841411492578176</v>
      </c>
      <c r="L251" s="253">
        <f>L222</f>
        <v>3.6085625273127198E-2</v>
      </c>
      <c r="M251" s="253">
        <f t="shared" ref="M251:P251" si="161">M222</f>
        <v>3.4158804607128168E-2</v>
      </c>
      <c r="N251" s="253">
        <f t="shared" si="161"/>
        <v>3.253116103815068E-2</v>
      </c>
      <c r="O251" s="253">
        <f t="shared" si="161"/>
        <v>3.1149496834140145E-2</v>
      </c>
      <c r="P251" s="253">
        <f t="shared" si="161"/>
        <v>2.9148049526577235E-2</v>
      </c>
    </row>
    <row r="252" spans="2:16">
      <c r="F252" s="174"/>
      <c r="G252" s="174"/>
      <c r="H252" s="174"/>
      <c r="K252" s="174"/>
    </row>
    <row r="253" spans="2:16" s="251" customFormat="1">
      <c r="B253" s="154" t="s">
        <v>418</v>
      </c>
      <c r="E253" s="251">
        <f>SUM(E258,E260,E262,E264,E266,E268,E270)</f>
        <v>19774.094153000002</v>
      </c>
      <c r="F253" s="251">
        <f>SUM(F258,F260,F262,F264,F266,F268,F270)</f>
        <v>26644.637694000001</v>
      </c>
      <c r="G253" s="251">
        <f>SUM(G258,G260,G262,G264,G266,G268,G270)</f>
        <v>29924.511784999999</v>
      </c>
      <c r="H253" s="251">
        <v>33096.942800000004</v>
      </c>
      <c r="I253" s="433">
        <f>K253-J253</f>
        <v>26088.665162100006</v>
      </c>
      <c r="J253" s="251">
        <f>K253/4</f>
        <v>8696.2217207000012</v>
      </c>
      <c r="K253" s="251">
        <f>H253*(1+K254)</f>
        <v>34784.886882800005</v>
      </c>
      <c r="L253" s="251">
        <f>K253*(1+L254)</f>
        <v>36040.121276020844</v>
      </c>
      <c r="M253" s="251">
        <f t="shared" ref="M253:P253" si="162">L253*(1+M254)</f>
        <v>37271.208736705645</v>
      </c>
      <c r="N253" s="251">
        <f t="shared" si="162"/>
        <v>38483.684430205947</v>
      </c>
      <c r="O253" s="251">
        <f t="shared" si="162"/>
        <v>39682.431836530697</v>
      </c>
      <c r="P253" s="251">
        <f t="shared" si="162"/>
        <v>40839.097325036921</v>
      </c>
    </row>
    <row r="254" spans="2:16">
      <c r="F254" s="174">
        <f>F253/E253-1</f>
        <v>0.34745174609971419</v>
      </c>
      <c r="G254" s="174">
        <f>G253/F253-1</f>
        <v>0.12309696715217777</v>
      </c>
      <c r="H254" s="174">
        <f>H253/G253-1</f>
        <v>0.10601446191647557</v>
      </c>
      <c r="I254" s="174"/>
      <c r="K254" s="174">
        <v>5.0999999999999997E-2</v>
      </c>
      <c r="L254" s="253">
        <f>L251</f>
        <v>3.6085625273127198E-2</v>
      </c>
      <c r="M254" s="253">
        <f t="shared" ref="M254:P254" si="163">M251</f>
        <v>3.4158804607128168E-2</v>
      </c>
      <c r="N254" s="253">
        <f t="shared" si="163"/>
        <v>3.253116103815068E-2</v>
      </c>
      <c r="O254" s="253">
        <f t="shared" si="163"/>
        <v>3.1149496834140145E-2</v>
      </c>
      <c r="P254" s="253">
        <f t="shared" si="163"/>
        <v>2.9148049526577235E-2</v>
      </c>
    </row>
    <row r="255" spans="2:16">
      <c r="F255" s="154">
        <v>0</v>
      </c>
      <c r="G255" s="154">
        <v>0</v>
      </c>
      <c r="H255" s="174"/>
      <c r="K255" s="195">
        <f>K253-SUM(I253:J253)</f>
        <v>0</v>
      </c>
      <c r="L255" s="174"/>
      <c r="M255" s="174"/>
      <c r="N255" s="174"/>
      <c r="O255" s="174"/>
      <c r="P255" s="174"/>
    </row>
    <row r="256" spans="2:16">
      <c r="C256" s="154" t="s">
        <v>423</v>
      </c>
      <c r="F256" s="209">
        <f t="shared" ref="F256:P256" si="164">F253/F48</f>
        <v>4.0727908577641248E-2</v>
      </c>
      <c r="G256" s="209">
        <f t="shared" si="164"/>
        <v>4.5249973206175569E-2</v>
      </c>
      <c r="H256" s="209">
        <f t="shared" si="164"/>
        <v>4.8568660823001451E-2</v>
      </c>
      <c r="I256" s="209">
        <f t="shared" si="164"/>
        <v>4.884264717311583E-2</v>
      </c>
      <c r="J256" s="209">
        <f t="shared" si="164"/>
        <v>4.6557971085157371E-2</v>
      </c>
      <c r="K256" s="209">
        <f t="shared" si="164"/>
        <v>4.8250711760039582E-2</v>
      </c>
      <c r="L256" s="209">
        <f t="shared" si="164"/>
        <v>4.7977902508557595E-2</v>
      </c>
      <c r="M256" s="209">
        <f t="shared" si="164"/>
        <v>4.7534619452740692E-2</v>
      </c>
      <c r="N256" s="209">
        <f t="shared" si="164"/>
        <v>4.7125898486805158E-2</v>
      </c>
      <c r="O256" s="209">
        <f t="shared" si="164"/>
        <v>4.673137393054571E-2</v>
      </c>
      <c r="P256" s="209">
        <f t="shared" si="164"/>
        <v>4.6322731234754097E-2</v>
      </c>
    </row>
    <row r="257" spans="2:17" ht="13.8" customHeight="1">
      <c r="H257" s="174"/>
      <c r="K257" s="195"/>
      <c r="L257" s="174"/>
      <c r="M257" s="174"/>
      <c r="N257" s="174"/>
      <c r="O257" s="174"/>
      <c r="P257" s="174"/>
    </row>
    <row r="258" spans="2:17" hidden="1" outlineLevel="1">
      <c r="B258" s="254" t="s">
        <v>82</v>
      </c>
      <c r="C258" s="254"/>
      <c r="D258" s="254"/>
      <c r="E258" s="255">
        <v>2470.4065430000001</v>
      </c>
      <c r="F258" s="255">
        <v>3738.5266449999999</v>
      </c>
      <c r="G258" s="255">
        <v>3244.7332859999997</v>
      </c>
      <c r="H258" s="255"/>
      <c r="I258" s="255">
        <f>$K258*$I$326</f>
        <v>2404.0572058791918</v>
      </c>
      <c r="J258" s="256">
        <f>K258-I258</f>
        <v>840.67608012080791</v>
      </c>
      <c r="K258" s="255">
        <f>G258*(1+K259)</f>
        <v>3244.7332859999997</v>
      </c>
      <c r="L258" s="255">
        <f>K258*(1+L259)</f>
        <v>3410.2146835859994</v>
      </c>
      <c r="M258" s="255">
        <f t="shared" ref="M258:P258" si="165">L258*(1+M259)</f>
        <v>3481.829191941305</v>
      </c>
      <c r="N258" s="255">
        <f t="shared" si="165"/>
        <v>3502.720167092953</v>
      </c>
      <c r="O258" s="255">
        <f t="shared" si="165"/>
        <v>3537.7473687638826</v>
      </c>
      <c r="P258" s="255">
        <f t="shared" si="165"/>
        <v>3580.2003371890492</v>
      </c>
      <c r="Q258" s="254"/>
    </row>
    <row r="259" spans="2:17" hidden="1" outlineLevel="1">
      <c r="B259" s="257"/>
      <c r="C259" s="254" t="s">
        <v>178</v>
      </c>
      <c r="D259" s="254"/>
      <c r="E259" s="254"/>
      <c r="F259" s="258">
        <f>F258/E258-1</f>
        <v>0.51332445892084899</v>
      </c>
      <c r="G259" s="258">
        <f>G258/F258-1</f>
        <v>-0.13208234309642064</v>
      </c>
      <c r="H259" s="258"/>
      <c r="I259" s="254"/>
      <c r="J259" s="259"/>
      <c r="K259" s="258">
        <v>0</v>
      </c>
      <c r="L259" s="258">
        <v>5.0999999999999997E-2</v>
      </c>
      <c r="M259" s="258">
        <v>2.1000000000000001E-2</v>
      </c>
      <c r="N259" s="258">
        <v>6.0000000000000001E-3</v>
      </c>
      <c r="O259" s="258">
        <v>0.01</v>
      </c>
      <c r="P259" s="258">
        <v>1.2E-2</v>
      </c>
      <c r="Q259" s="260"/>
    </row>
    <row r="260" spans="2:17" hidden="1" outlineLevel="1">
      <c r="B260" s="257" t="s">
        <v>84</v>
      </c>
      <c r="C260" s="254"/>
      <c r="D260" s="254"/>
      <c r="E260" s="255">
        <v>298.18874200000005</v>
      </c>
      <c r="F260" s="255">
        <v>309.04202700000002</v>
      </c>
      <c r="G260" s="255">
        <v>368.16915699999998</v>
      </c>
      <c r="H260" s="255"/>
      <c r="I260" s="255">
        <f>$K260*$I$326</f>
        <v>272.78042194939212</v>
      </c>
      <c r="J260" s="256">
        <f>K260-I260</f>
        <v>95.388735050607863</v>
      </c>
      <c r="K260" s="255">
        <f>G260*(1+K261)</f>
        <v>368.16915699999998</v>
      </c>
      <c r="L260" s="255">
        <f>K260*(1+L261)</f>
        <v>386.94578400699999</v>
      </c>
      <c r="M260" s="255">
        <f t="shared" ref="M260:P260" si="166">L260*(1+M261)</f>
        <v>395.07164547114695</v>
      </c>
      <c r="N260" s="255">
        <f t="shared" si="166"/>
        <v>397.44207534397384</v>
      </c>
      <c r="O260" s="255">
        <f t="shared" si="166"/>
        <v>401.41649609741359</v>
      </c>
      <c r="P260" s="255">
        <f t="shared" si="166"/>
        <v>406.23349405058258</v>
      </c>
      <c r="Q260" s="260"/>
    </row>
    <row r="261" spans="2:17" hidden="1" outlineLevel="1">
      <c r="B261" s="257"/>
      <c r="C261" s="254" t="s">
        <v>178</v>
      </c>
      <c r="D261" s="254"/>
      <c r="E261" s="254"/>
      <c r="F261" s="258">
        <f>F260/E260-1</f>
        <v>3.6397366738949444E-2</v>
      </c>
      <c r="G261" s="258">
        <f>G260/F260-1</f>
        <v>0.19132391336534926</v>
      </c>
      <c r="H261" s="258"/>
      <c r="I261" s="254"/>
      <c r="J261" s="259"/>
      <c r="K261" s="258">
        <v>0</v>
      </c>
      <c r="L261" s="258">
        <v>5.0999999999999997E-2</v>
      </c>
      <c r="M261" s="258">
        <v>2.1000000000000001E-2</v>
      </c>
      <c r="N261" s="258">
        <v>6.0000000000000001E-3</v>
      </c>
      <c r="O261" s="258">
        <v>0.01</v>
      </c>
      <c r="P261" s="258">
        <v>1.2E-2</v>
      </c>
      <c r="Q261" s="260"/>
    </row>
    <row r="262" spans="2:17" hidden="1" outlineLevel="1">
      <c r="B262" s="257" t="s">
        <v>424</v>
      </c>
      <c r="C262" s="254"/>
      <c r="D262" s="254"/>
      <c r="E262" s="255">
        <v>5323.6299840000001</v>
      </c>
      <c r="F262" s="255">
        <v>5811.191476</v>
      </c>
      <c r="G262" s="255">
        <v>5889.4315500000012</v>
      </c>
      <c r="H262" s="255"/>
      <c r="I262" s="255">
        <f>$K262*$I$326</f>
        <v>4363.5421183612689</v>
      </c>
      <c r="J262" s="256">
        <f>K262-I262</f>
        <v>1525.8894316387323</v>
      </c>
      <c r="K262" s="255">
        <f>G262*(1+K263)</f>
        <v>5889.4315500000012</v>
      </c>
      <c r="L262" s="255">
        <f>K262*(1+L263)</f>
        <v>6189.7925590500008</v>
      </c>
      <c r="M262" s="255">
        <f t="shared" ref="M262:P262" si="167">L262*(1+M263)</f>
        <v>6319.7782027900503</v>
      </c>
      <c r="N262" s="255">
        <f t="shared" si="167"/>
        <v>6357.6968720067907</v>
      </c>
      <c r="O262" s="255">
        <f t="shared" si="167"/>
        <v>6421.2738407268589</v>
      </c>
      <c r="P262" s="255">
        <f t="shared" si="167"/>
        <v>6498.3291268155817</v>
      </c>
      <c r="Q262" s="260"/>
    </row>
    <row r="263" spans="2:17" hidden="1" outlineLevel="1">
      <c r="B263" s="257"/>
      <c r="C263" s="254" t="s">
        <v>178</v>
      </c>
      <c r="D263" s="254"/>
      <c r="E263" s="254"/>
      <c r="F263" s="258">
        <f>F262/E262-1</f>
        <v>9.1584406404154661E-2</v>
      </c>
      <c r="G263" s="258">
        <f>G262/F262-1</f>
        <v>1.3463688870540613E-2</v>
      </c>
      <c r="H263" s="258"/>
      <c r="I263" s="254"/>
      <c r="J263" s="259"/>
      <c r="K263" s="258">
        <v>0</v>
      </c>
      <c r="L263" s="258">
        <v>5.0999999999999997E-2</v>
      </c>
      <c r="M263" s="258">
        <v>2.1000000000000001E-2</v>
      </c>
      <c r="N263" s="258">
        <v>6.0000000000000001E-3</v>
      </c>
      <c r="O263" s="258">
        <v>0.01</v>
      </c>
      <c r="P263" s="258">
        <v>1.2E-2</v>
      </c>
      <c r="Q263" s="260"/>
    </row>
    <row r="264" spans="2:17" hidden="1" outlineLevel="1">
      <c r="B264" s="257" t="s">
        <v>425</v>
      </c>
      <c r="C264" s="254"/>
      <c r="D264" s="254"/>
      <c r="E264" s="255">
        <v>3656.7264889999997</v>
      </c>
      <c r="F264" s="255">
        <v>5578.8210130000007</v>
      </c>
      <c r="G264" s="255">
        <v>6953.1826459999975</v>
      </c>
      <c r="H264" s="255"/>
      <c r="I264" s="255">
        <f>$K264*$I$326</f>
        <v>5151.6865549578615</v>
      </c>
      <c r="J264" s="256">
        <f>K264-I264</f>
        <v>1801.496091042136</v>
      </c>
      <c r="K264" s="255">
        <f>G264*(1+K265)</f>
        <v>6953.1826459999975</v>
      </c>
      <c r="L264" s="255">
        <f>K264*(1+L265)</f>
        <v>7307.7949609459965</v>
      </c>
      <c r="M264" s="255">
        <f t="shared" ref="M264:P264" si="168">L264*(1+M265)</f>
        <v>7461.2586551258619</v>
      </c>
      <c r="N264" s="255">
        <f t="shared" si="168"/>
        <v>7506.0262070566168</v>
      </c>
      <c r="O264" s="255">
        <f t="shared" si="168"/>
        <v>7581.0864691271827</v>
      </c>
      <c r="P264" s="255">
        <f t="shared" si="168"/>
        <v>7672.0595067567092</v>
      </c>
      <c r="Q264" s="260"/>
    </row>
    <row r="265" spans="2:17" hidden="1" outlineLevel="1">
      <c r="B265" s="257"/>
      <c r="C265" s="254" t="s">
        <v>178</v>
      </c>
      <c r="D265" s="254"/>
      <c r="E265" s="254"/>
      <c r="F265" s="258">
        <f>F264/E264-1</f>
        <v>0.52563256502283107</v>
      </c>
      <c r="G265" s="258">
        <f>G264/F264-1</f>
        <v>0.24635341944066713</v>
      </c>
      <c r="H265" s="258"/>
      <c r="I265" s="254"/>
      <c r="J265" s="259"/>
      <c r="K265" s="258">
        <v>0</v>
      </c>
      <c r="L265" s="258">
        <v>5.0999999999999997E-2</v>
      </c>
      <c r="M265" s="258">
        <v>2.1000000000000001E-2</v>
      </c>
      <c r="N265" s="258">
        <v>6.0000000000000001E-3</v>
      </c>
      <c r="O265" s="258">
        <v>0.01</v>
      </c>
      <c r="P265" s="258">
        <v>1.2E-2</v>
      </c>
      <c r="Q265" s="260"/>
    </row>
    <row r="266" spans="2:17" hidden="1" outlineLevel="1">
      <c r="B266" s="257" t="s">
        <v>426</v>
      </c>
      <c r="C266" s="254"/>
      <c r="D266" s="254"/>
      <c r="E266" s="255">
        <v>5371.2610279999999</v>
      </c>
      <c r="F266" s="255">
        <v>7289.3528150000002</v>
      </c>
      <c r="G266" s="255">
        <v>7437.1644159999996</v>
      </c>
      <c r="H266" s="255"/>
      <c r="I266" s="255">
        <f>$K266*$I$326</f>
        <v>5510.2737666411431</v>
      </c>
      <c r="J266" s="256">
        <f>K266-I266</f>
        <v>1926.8906493588565</v>
      </c>
      <c r="K266" s="255">
        <f>G266*(1+K267)</f>
        <v>7437.1644159999996</v>
      </c>
      <c r="L266" s="255">
        <f>K266*(1+L267)</f>
        <v>7816.4598012159995</v>
      </c>
      <c r="M266" s="255">
        <f t="shared" ref="M266:P266" si="169">L266*(1+M267)</f>
        <v>7980.6054570415345</v>
      </c>
      <c r="N266" s="255">
        <f t="shared" si="169"/>
        <v>8028.489089783784</v>
      </c>
      <c r="O266" s="255">
        <f t="shared" si="169"/>
        <v>8108.7739806816217</v>
      </c>
      <c r="P266" s="255">
        <f t="shared" si="169"/>
        <v>8206.079268449801</v>
      </c>
      <c r="Q266" s="260"/>
    </row>
    <row r="267" spans="2:17" hidden="1" outlineLevel="1">
      <c r="B267" s="257"/>
      <c r="C267" s="254" t="s">
        <v>178</v>
      </c>
      <c r="D267" s="254"/>
      <c r="E267" s="254"/>
      <c r="F267" s="258">
        <f>F266/E266-1</f>
        <v>0.35710269469331779</v>
      </c>
      <c r="G267" s="258">
        <f>G266/F266-1</f>
        <v>2.0277739979307041E-2</v>
      </c>
      <c r="H267" s="258"/>
      <c r="I267" s="254"/>
      <c r="J267" s="259"/>
      <c r="K267" s="258">
        <v>0</v>
      </c>
      <c r="L267" s="258">
        <v>5.0999999999999997E-2</v>
      </c>
      <c r="M267" s="258">
        <v>2.1000000000000001E-2</v>
      </c>
      <c r="N267" s="258">
        <v>6.0000000000000001E-3</v>
      </c>
      <c r="O267" s="258">
        <v>0.01</v>
      </c>
      <c r="P267" s="258">
        <v>1.2E-2</v>
      </c>
      <c r="Q267" s="260"/>
    </row>
    <row r="268" spans="2:17" hidden="1" outlineLevel="1">
      <c r="B268" s="257" t="s">
        <v>427</v>
      </c>
      <c r="C268" s="254"/>
      <c r="D268" s="254"/>
      <c r="E268" s="255">
        <v>1063.616051</v>
      </c>
      <c r="F268" s="255">
        <v>1780.991751</v>
      </c>
      <c r="G268" s="255">
        <v>2902.5053910000006</v>
      </c>
      <c r="H268" s="255"/>
      <c r="I268" s="255">
        <f>$K268*$I$326</f>
        <v>2150.4969392842581</v>
      </c>
      <c r="J268" s="256">
        <f>K268-I268</f>
        <v>752.00845171574247</v>
      </c>
      <c r="K268" s="255">
        <f>G268*(1+K269)</f>
        <v>2902.5053910000006</v>
      </c>
      <c r="L268" s="255">
        <f>K268*(1+L269)</f>
        <v>3050.5331659410003</v>
      </c>
      <c r="M268" s="255">
        <f t="shared" ref="M268:P268" si="170">L268*(1+M269)</f>
        <v>3114.5943624257611</v>
      </c>
      <c r="N268" s="255">
        <f t="shared" si="170"/>
        <v>3133.2819286003155</v>
      </c>
      <c r="O268" s="255">
        <f t="shared" si="170"/>
        <v>3164.6147478863186</v>
      </c>
      <c r="P268" s="255">
        <f t="shared" si="170"/>
        <v>3202.5901248609543</v>
      </c>
      <c r="Q268" s="260"/>
    </row>
    <row r="269" spans="2:17" hidden="1" outlineLevel="1">
      <c r="B269" s="257"/>
      <c r="C269" s="254" t="s">
        <v>178</v>
      </c>
      <c r="D269" s="254"/>
      <c r="E269" s="254"/>
      <c r="F269" s="258">
        <f>F268/E268-1</f>
        <v>0.67446866688927032</v>
      </c>
      <c r="G269" s="258">
        <f>G268/F268-1</f>
        <v>0.62971298961395394</v>
      </c>
      <c r="H269" s="258"/>
      <c r="I269" s="254"/>
      <c r="J269" s="259"/>
      <c r="K269" s="258">
        <v>0</v>
      </c>
      <c r="L269" s="258">
        <v>5.0999999999999997E-2</v>
      </c>
      <c r="M269" s="258">
        <v>2.1000000000000001E-2</v>
      </c>
      <c r="N269" s="258">
        <v>6.0000000000000001E-3</v>
      </c>
      <c r="O269" s="258">
        <v>0.01</v>
      </c>
      <c r="P269" s="258">
        <v>1.2E-2</v>
      </c>
      <c r="Q269" s="260"/>
    </row>
    <row r="270" spans="2:17" hidden="1" outlineLevel="1">
      <c r="B270" s="257" t="s">
        <v>83</v>
      </c>
      <c r="C270" s="254"/>
      <c r="D270" s="254"/>
      <c r="E270" s="255">
        <v>1590.265316</v>
      </c>
      <c r="F270" s="255">
        <v>2136.7119669999997</v>
      </c>
      <c r="G270" s="255">
        <v>3129.325339</v>
      </c>
      <c r="H270" s="255"/>
      <c r="I270" s="255" t="e">
        <f>#REF!</f>
        <v>#REF!</v>
      </c>
      <c r="J270" s="256" t="e">
        <f>#REF!</f>
        <v>#REF!</v>
      </c>
      <c r="K270" s="255" t="e">
        <f>SUM(I270:J270)</f>
        <v>#REF!</v>
      </c>
      <c r="L270" s="255" t="e">
        <f>K270*(1+L271)</f>
        <v>#REF!</v>
      </c>
      <c r="M270" s="255" t="e">
        <f t="shared" ref="M270:P270" si="171">L270*(1+M271)</f>
        <v>#REF!</v>
      </c>
      <c r="N270" s="255" t="e">
        <f t="shared" si="171"/>
        <v>#REF!</v>
      </c>
      <c r="O270" s="255" t="e">
        <f t="shared" si="171"/>
        <v>#REF!</v>
      </c>
      <c r="P270" s="255" t="e">
        <f t="shared" si="171"/>
        <v>#REF!</v>
      </c>
      <c r="Q270" s="260"/>
    </row>
    <row r="271" spans="2:17" hidden="1" outlineLevel="1">
      <c r="B271" s="261"/>
      <c r="C271" s="262" t="s">
        <v>178</v>
      </c>
      <c r="D271" s="262"/>
      <c r="E271" s="262"/>
      <c r="F271" s="263">
        <f>F270/E270-1</f>
        <v>0.34361980073518739</v>
      </c>
      <c r="G271" s="263">
        <f>G270/F270-1</f>
        <v>0.46455179141138792</v>
      </c>
      <c r="H271" s="263"/>
      <c r="I271" s="262"/>
      <c r="J271" s="264"/>
      <c r="K271" s="263">
        <v>0</v>
      </c>
      <c r="L271" s="263">
        <v>2.6000000000000002E-2</v>
      </c>
      <c r="M271" s="263">
        <v>1.4999999999999999E-2</v>
      </c>
      <c r="N271" s="263">
        <v>2.4E-2</v>
      </c>
      <c r="O271" s="263">
        <v>2.7999999999999997E-2</v>
      </c>
      <c r="P271" s="263">
        <v>2.7999999999999997E-2</v>
      </c>
      <c r="Q271" s="265"/>
    </row>
    <row r="272" spans="2:17" collapsed="1"/>
    <row r="273" spans="2:17">
      <c r="K273" s="266"/>
      <c r="L273" s="266"/>
      <c r="M273" s="266"/>
      <c r="N273" s="266"/>
      <c r="O273" s="266"/>
      <c r="P273" s="266"/>
    </row>
    <row r="275" spans="2:17">
      <c r="B275" s="171" t="s">
        <v>428</v>
      </c>
    </row>
    <row r="277" spans="2:17">
      <c r="B277" s="196" t="s">
        <v>77</v>
      </c>
      <c r="C277" s="196"/>
      <c r="D277" s="196"/>
      <c r="E277" s="196"/>
      <c r="F277" s="196"/>
      <c r="G277" s="196"/>
      <c r="H277" s="196"/>
      <c r="I277" s="197"/>
      <c r="J277" s="198"/>
      <c r="K277" s="196"/>
      <c r="L277" s="196"/>
      <c r="M277" s="196"/>
      <c r="N277" s="196"/>
      <c r="O277" s="196"/>
      <c r="P277" s="196"/>
      <c r="Q277" s="196"/>
    </row>
    <row r="278" spans="2:17">
      <c r="B278" s="168" t="s">
        <v>106</v>
      </c>
      <c r="E278" s="154">
        <f>E283</f>
        <v>97882.198919999995</v>
      </c>
      <c r="F278" s="154">
        <f t="shared" ref="F278:P278" si="172">F283</f>
        <v>108729.8256</v>
      </c>
      <c r="G278" s="154">
        <f t="shared" si="172"/>
        <v>129089.97024000001</v>
      </c>
      <c r="H278" s="154">
        <f t="shared" si="172"/>
        <v>141694.70045999999</v>
      </c>
      <c r="I278" s="154">
        <f t="shared" si="172"/>
        <v>110630.75472564613</v>
      </c>
      <c r="J278" s="154">
        <f t="shared" si="172"/>
        <v>36876.918241882042</v>
      </c>
      <c r="K278" s="154">
        <f t="shared" si="172"/>
        <v>147507.67296752817</v>
      </c>
      <c r="L278" s="154">
        <f t="shared" si="172"/>
        <v>155445.19305070746</v>
      </c>
      <c r="M278" s="154">
        <f t="shared" si="172"/>
        <v>161121.83892786733</v>
      </c>
      <c r="N278" s="154">
        <f t="shared" si="172"/>
        <v>167661.35552210442</v>
      </c>
      <c r="O278" s="154">
        <f t="shared" si="172"/>
        <v>176001.18817790327</v>
      </c>
      <c r="P278" s="154">
        <f t="shared" si="172"/>
        <v>185113.91585544299</v>
      </c>
    </row>
    <row r="279" spans="2:17">
      <c r="B279" s="168" t="s">
        <v>429</v>
      </c>
      <c r="E279" s="154">
        <f>E291</f>
        <v>79421.720142000006</v>
      </c>
      <c r="F279" s="154">
        <f t="shared" ref="F279:P279" si="173">F291</f>
        <v>77995.397586999985</v>
      </c>
      <c r="G279" s="154">
        <f t="shared" si="173"/>
        <v>80185.634426999997</v>
      </c>
      <c r="H279" s="154">
        <f t="shared" si="173"/>
        <v>84120.944613</v>
      </c>
      <c r="I279" s="154">
        <f t="shared" si="173"/>
        <v>68011.505978742338</v>
      </c>
      <c r="J279" s="154">
        <f t="shared" si="173"/>
        <v>22670.501992914113</v>
      </c>
      <c r="K279" s="154">
        <f t="shared" si="173"/>
        <v>90682.007971656451</v>
      </c>
      <c r="L279" s="154">
        <f t="shared" si="173"/>
        <v>95684.205818311661</v>
      </c>
      <c r="M279" s="154">
        <f t="shared" si="173"/>
        <v>99178.462165567471</v>
      </c>
      <c r="N279" s="154">
        <f t="shared" si="173"/>
        <v>103203.85812329984</v>
      </c>
      <c r="O279" s="154">
        <f t="shared" si="173"/>
        <v>108337.43767418001</v>
      </c>
      <c r="P279" s="154">
        <f t="shared" si="173"/>
        <v>113946.77234417846</v>
      </c>
    </row>
    <row r="280" spans="2:17" ht="13.8" thickBot="1">
      <c r="B280" s="175" t="s">
        <v>430</v>
      </c>
      <c r="C280" s="175"/>
      <c r="D280" s="175"/>
      <c r="E280" s="175">
        <f t="shared" ref="E280:P280" si="174">SUM(E278:E279)</f>
        <v>177303.919062</v>
      </c>
      <c r="F280" s="175">
        <f t="shared" si="174"/>
        <v>186725.22318699997</v>
      </c>
      <c r="G280" s="175">
        <f t="shared" si="174"/>
        <v>209275.60466700001</v>
      </c>
      <c r="H280" s="175">
        <f t="shared" ref="H280" si="175">SUM(H278:H279)</f>
        <v>225815.64507299999</v>
      </c>
      <c r="I280" s="200">
        <f t="shared" si="174"/>
        <v>178642.26070438846</v>
      </c>
      <c r="J280" s="176">
        <f t="shared" si="174"/>
        <v>59547.420234796155</v>
      </c>
      <c r="K280" s="175">
        <f t="shared" si="174"/>
        <v>238189.68093918462</v>
      </c>
      <c r="L280" s="175">
        <f t="shared" si="174"/>
        <v>251129.39886901912</v>
      </c>
      <c r="M280" s="175">
        <f t="shared" si="174"/>
        <v>260300.3010934348</v>
      </c>
      <c r="N280" s="175">
        <f t="shared" si="174"/>
        <v>270865.21364540426</v>
      </c>
      <c r="O280" s="175">
        <f t="shared" si="174"/>
        <v>284338.62585208326</v>
      </c>
      <c r="P280" s="175">
        <f t="shared" si="174"/>
        <v>299060.68819962145</v>
      </c>
      <c r="Q280" s="175"/>
    </row>
    <row r="281" spans="2:17">
      <c r="J281" s="194">
        <f t="shared" ref="J281:P281" si="176">J280/J12</f>
        <v>0.92313433774014331</v>
      </c>
      <c r="K281" s="174">
        <f t="shared" si="176"/>
        <v>0.92313433774014342</v>
      </c>
      <c r="L281" s="174">
        <f t="shared" si="176"/>
        <v>0.92240233072207367</v>
      </c>
      <c r="M281" s="174">
        <f t="shared" si="176"/>
        <v>0.92240233072207356</v>
      </c>
      <c r="N281" s="174">
        <f t="shared" si="176"/>
        <v>0.92240233072207356</v>
      </c>
      <c r="O281" s="174">
        <f t="shared" si="176"/>
        <v>0.92240233072207356</v>
      </c>
      <c r="P281" s="174">
        <f t="shared" si="176"/>
        <v>0.92240233072207356</v>
      </c>
    </row>
    <row r="282" spans="2:17">
      <c r="K282" s="154">
        <f>K285*K151</f>
        <v>318.23004789404814</v>
      </c>
    </row>
    <row r="283" spans="2:17">
      <c r="B283" s="154" t="s">
        <v>106</v>
      </c>
      <c r="E283" s="171">
        <v>97882.198919999995</v>
      </c>
      <c r="F283" s="171">
        <v>108729.8256</v>
      </c>
      <c r="G283" s="171">
        <v>129089.97024000001</v>
      </c>
      <c r="H283" s="430">
        <v>141694.70045999999</v>
      </c>
      <c r="I283" s="430">
        <f>I284*I287/4*3</f>
        <v>110630.75472564613</v>
      </c>
      <c r="J283" s="434">
        <f>J284*J287/4</f>
        <v>36876.918241882042</v>
      </c>
      <c r="K283" s="171">
        <f>SUM(I283:J283)</f>
        <v>147507.67296752817</v>
      </c>
      <c r="L283" s="171">
        <f t="shared" ref="L283:P283" si="177">L284*L287</f>
        <v>155445.19305070746</v>
      </c>
      <c r="M283" s="171">
        <f t="shared" si="177"/>
        <v>161121.83892786733</v>
      </c>
      <c r="N283" s="171">
        <f t="shared" si="177"/>
        <v>167661.35552210442</v>
      </c>
      <c r="O283" s="171">
        <f t="shared" si="177"/>
        <v>176001.18817790327</v>
      </c>
      <c r="P283" s="171">
        <f t="shared" si="177"/>
        <v>185113.91585544299</v>
      </c>
    </row>
    <row r="284" spans="2:17">
      <c r="C284" s="154" t="s">
        <v>431</v>
      </c>
      <c r="E284" s="154">
        <v>5183</v>
      </c>
      <c r="F284" s="154">
        <v>5192</v>
      </c>
      <c r="G284" s="154">
        <v>5992</v>
      </c>
      <c r="H284" s="409">
        <v>6346</v>
      </c>
      <c r="I284" s="409">
        <f>I157</f>
        <v>6203.1383053344925</v>
      </c>
      <c r="J284" s="409">
        <f t="shared" ref="J284:P284" si="178">J157</f>
        <v>6203.1383053344925</v>
      </c>
      <c r="K284" s="154">
        <f t="shared" si="178"/>
        <v>6203.1383053344925</v>
      </c>
      <c r="L284" s="154">
        <f t="shared" si="178"/>
        <v>6309.7825646553738</v>
      </c>
      <c r="M284" s="154">
        <f t="shared" si="178"/>
        <v>6418.2602504591541</v>
      </c>
      <c r="N284" s="154">
        <f t="shared" si="178"/>
        <v>6528.6028829860225</v>
      </c>
      <c r="O284" s="154">
        <f t="shared" si="178"/>
        <v>6640.8425243716529</v>
      </c>
      <c r="P284" s="154">
        <f t="shared" si="178"/>
        <v>6755.0117879634681</v>
      </c>
    </row>
    <row r="285" spans="2:17">
      <c r="C285" s="168" t="s">
        <v>405</v>
      </c>
      <c r="E285" s="217">
        <f>E$151/E284</f>
        <v>0.24348832722361566</v>
      </c>
      <c r="F285" s="217">
        <f t="shared" ref="F285:H285" si="179">F$151/F284</f>
        <v>0.23805855161787365</v>
      </c>
      <c r="G285" s="217">
        <f t="shared" si="179"/>
        <v>0.22663551401869159</v>
      </c>
      <c r="H285" s="435">
        <f t="shared" si="179"/>
        <v>0.21588402143082255</v>
      </c>
      <c r="I285" s="435">
        <f>1/I156</f>
        <v>0.22649825472885987</v>
      </c>
      <c r="J285" s="435">
        <f t="shared" ref="J285:P285" si="180">1/J156</f>
        <v>0.22649825472885987</v>
      </c>
      <c r="K285" s="217">
        <f t="shared" si="180"/>
        <v>0.22649825472885987</v>
      </c>
      <c r="L285" s="217">
        <f t="shared" si="180"/>
        <v>0.22649825472885987</v>
      </c>
      <c r="M285" s="217">
        <f t="shared" si="180"/>
        <v>0.22649825472885987</v>
      </c>
      <c r="N285" s="217">
        <f t="shared" si="180"/>
        <v>0.22649825472885987</v>
      </c>
      <c r="O285" s="217">
        <f t="shared" si="180"/>
        <v>0.22649825472885987</v>
      </c>
      <c r="P285" s="217">
        <f t="shared" si="180"/>
        <v>0.22649825472885987</v>
      </c>
    </row>
    <row r="286" spans="2:17">
      <c r="C286" s="168" t="s">
        <v>178</v>
      </c>
      <c r="F286" s="174">
        <f>F285/E285-1</f>
        <v>-2.2299942127227301E-2</v>
      </c>
      <c r="G286" s="174">
        <f>G285/F285-1</f>
        <v>-4.7984151468408842E-2</v>
      </c>
      <c r="H286" s="266">
        <f>H285/G285-1</f>
        <v>-4.743957554235001E-2</v>
      </c>
      <c r="I286" s="266"/>
      <c r="J286" s="266"/>
      <c r="K286" s="174">
        <f>K285/H285-1</f>
        <v>4.9166368254996318E-2</v>
      </c>
      <c r="L286" s="174">
        <f t="shared" ref="L286:P286" si="181">L285/K285-1</f>
        <v>0</v>
      </c>
      <c r="M286" s="174">
        <f t="shared" si="181"/>
        <v>0</v>
      </c>
      <c r="N286" s="174">
        <f t="shared" si="181"/>
        <v>0</v>
      </c>
      <c r="O286" s="174">
        <f t="shared" si="181"/>
        <v>0</v>
      </c>
      <c r="P286" s="174">
        <f t="shared" si="181"/>
        <v>0</v>
      </c>
    </row>
    <row r="287" spans="2:17">
      <c r="C287" s="154" t="s">
        <v>432</v>
      </c>
      <c r="E287" s="234">
        <f>E283/E284</f>
        <v>18.88524</v>
      </c>
      <c r="F287" s="234">
        <f t="shared" ref="F287:H287" si="182">F283/F284</f>
        <v>20.941800000000001</v>
      </c>
      <c r="G287" s="234">
        <f t="shared" si="182"/>
        <v>21.54372</v>
      </c>
      <c r="H287" s="423">
        <f t="shared" si="182"/>
        <v>22.32819105893476</v>
      </c>
      <c r="I287" s="423">
        <f>K287</f>
        <v>23.779523477765519</v>
      </c>
      <c r="J287" s="423">
        <f>K287</f>
        <v>23.779523477765519</v>
      </c>
      <c r="K287" s="234">
        <f>H287*(1+K288)</f>
        <v>23.779523477765519</v>
      </c>
      <c r="L287" s="234">
        <f>K287*(1+L288)</f>
        <v>24.635586322965079</v>
      </c>
      <c r="M287" s="234">
        <f t="shared" ref="M287:P287" si="183">L287*(1+M288)</f>
        <v>25.103662463101411</v>
      </c>
      <c r="N287" s="234">
        <f t="shared" si="183"/>
        <v>25.681046699752741</v>
      </c>
      <c r="O287" s="234">
        <f t="shared" si="183"/>
        <v>26.502840194144831</v>
      </c>
      <c r="P287" s="234">
        <f t="shared" si="183"/>
        <v>27.403936760745754</v>
      </c>
    </row>
    <row r="288" spans="2:17">
      <c r="C288" s="168" t="s">
        <v>178</v>
      </c>
      <c r="F288" s="174">
        <f>F287/E287-1</f>
        <v>0.10889774236387795</v>
      </c>
      <c r="G288" s="174">
        <f>G287/F287-1</f>
        <v>2.8742514970059974E-2</v>
      </c>
      <c r="H288" s="266">
        <f>H287/G287-1</f>
        <v>3.6412980624272784E-2</v>
      </c>
      <c r="I288" s="266">
        <f>I287/H287-1</f>
        <v>6.4999999999999947E-2</v>
      </c>
      <c r="J288" s="266"/>
      <c r="K288" s="174">
        <v>6.5000000000000002E-2</v>
      </c>
      <c r="L288" s="174">
        <v>3.6000000000000004E-2</v>
      </c>
      <c r="M288" s="174">
        <v>1.9E-2</v>
      </c>
      <c r="N288" s="174">
        <v>2.3E-2</v>
      </c>
      <c r="O288" s="174">
        <v>3.2000000000000001E-2</v>
      </c>
      <c r="P288" s="174">
        <v>3.4000000000000002E-2</v>
      </c>
      <c r="Q288" s="174"/>
    </row>
    <row r="289" spans="1:17">
      <c r="H289" s="409"/>
      <c r="I289" s="409"/>
      <c r="J289" s="410"/>
    </row>
    <row r="290" spans="1:17">
      <c r="H290" s="409"/>
      <c r="I290" s="409"/>
      <c r="J290" s="410"/>
    </row>
    <row r="291" spans="1:17">
      <c r="B291" s="154" t="s">
        <v>433</v>
      </c>
      <c r="E291" s="171">
        <v>79421.720142000006</v>
      </c>
      <c r="F291" s="171">
        <v>77995.397586999985</v>
      </c>
      <c r="G291" s="171">
        <v>80185.634426999997</v>
      </c>
      <c r="H291" s="430">
        <v>84120.944613</v>
      </c>
      <c r="I291" s="430">
        <f>K291/4*3</f>
        <v>68011.505978742338</v>
      </c>
      <c r="J291" s="434">
        <f>K291/4</f>
        <v>22670.501992914113</v>
      </c>
      <c r="K291" s="171">
        <f t="shared" ref="K291:P291" si="184">K144*K292</f>
        <v>90682.007971656451</v>
      </c>
      <c r="L291" s="171">
        <f t="shared" si="184"/>
        <v>95684.205818311661</v>
      </c>
      <c r="M291" s="171">
        <f t="shared" si="184"/>
        <v>99178.462165567471</v>
      </c>
      <c r="N291" s="171">
        <f t="shared" si="184"/>
        <v>103203.85812329984</v>
      </c>
      <c r="O291" s="171">
        <f t="shared" si="184"/>
        <v>108337.43767418001</v>
      </c>
      <c r="P291" s="171">
        <f t="shared" si="184"/>
        <v>113946.77234417846</v>
      </c>
    </row>
    <row r="292" spans="1:17">
      <c r="C292" s="154" t="s">
        <v>212</v>
      </c>
      <c r="E292" s="174">
        <f>E291/E144</f>
        <v>0.41963973497878743</v>
      </c>
      <c r="F292" s="174">
        <f>F291/F144</f>
        <v>0.38897079740109852</v>
      </c>
      <c r="G292" s="174">
        <f>G291/G144</f>
        <v>0.3604665259630605</v>
      </c>
      <c r="H292" s="266">
        <f>H291/H144</f>
        <v>0.35144963057923162</v>
      </c>
      <c r="I292" s="266"/>
      <c r="J292" s="280"/>
      <c r="K292" s="174">
        <f>H292</f>
        <v>0.35144963057923162</v>
      </c>
      <c r="L292" s="174">
        <f t="shared" ref="L292:P292" si="185">K292</f>
        <v>0.35144963057923162</v>
      </c>
      <c r="M292" s="174">
        <f t="shared" si="185"/>
        <v>0.35144963057923162</v>
      </c>
      <c r="N292" s="174">
        <f t="shared" si="185"/>
        <v>0.35144963057923162</v>
      </c>
      <c r="O292" s="174">
        <f t="shared" si="185"/>
        <v>0.35144963057923162</v>
      </c>
      <c r="P292" s="174">
        <f t="shared" si="185"/>
        <v>0.35144963057923162</v>
      </c>
    </row>
    <row r="293" spans="1:17">
      <c r="C293" s="168" t="s">
        <v>178</v>
      </c>
      <c r="F293" s="174">
        <f>F291/E291-1</f>
        <v>-1.7958847434302205E-2</v>
      </c>
      <c r="G293" s="174">
        <f>G291/F291-1</f>
        <v>2.8081616451238745E-2</v>
      </c>
      <c r="H293" s="266">
        <f>H291/G291-1</f>
        <v>4.907749641343373E-2</v>
      </c>
      <c r="I293" s="409"/>
      <c r="J293" s="410"/>
      <c r="K293" s="174">
        <f>K291/G291-1</f>
        <v>0.13090092283565102</v>
      </c>
      <c r="L293" s="174">
        <f t="shared" ref="L293:P293" si="186">L291/K291-1</f>
        <v>5.516196606738899E-2</v>
      </c>
      <c r="M293" s="174">
        <f t="shared" si="186"/>
        <v>3.6518632488739211E-2</v>
      </c>
      <c r="N293" s="174">
        <f t="shared" si="186"/>
        <v>4.0587400427851028E-2</v>
      </c>
      <c r="O293" s="174">
        <f t="shared" si="186"/>
        <v>4.9742128290853005E-2</v>
      </c>
      <c r="P293" s="174">
        <f t="shared" si="186"/>
        <v>5.1776512260408802E-2</v>
      </c>
    </row>
    <row r="297" spans="1:17">
      <c r="A297" s="154">
        <v>3</v>
      </c>
      <c r="B297" s="162" t="s">
        <v>99</v>
      </c>
      <c r="C297" s="162"/>
      <c r="D297" s="162"/>
      <c r="E297" s="162"/>
      <c r="F297" s="162"/>
      <c r="G297" s="162"/>
      <c r="H297" s="162"/>
      <c r="I297" s="162"/>
      <c r="J297" s="163"/>
      <c r="K297" s="162"/>
      <c r="L297" s="162"/>
      <c r="M297" s="162"/>
      <c r="N297" s="162"/>
      <c r="O297" s="162"/>
      <c r="P297" s="162"/>
      <c r="Q297" s="162"/>
    </row>
    <row r="299" spans="1:17">
      <c r="B299" s="196" t="s">
        <v>434</v>
      </c>
      <c r="C299" s="196"/>
      <c r="D299" s="196"/>
      <c r="E299" s="196"/>
      <c r="F299" s="196"/>
      <c r="G299" s="196"/>
      <c r="H299" s="196"/>
      <c r="I299" s="197"/>
      <c r="J299" s="198"/>
      <c r="K299" s="196"/>
      <c r="L299" s="196"/>
      <c r="M299" s="196"/>
      <c r="N299" s="196"/>
      <c r="O299" s="196"/>
      <c r="P299" s="196"/>
      <c r="Q299" s="196"/>
    </row>
    <row r="300" spans="1:17">
      <c r="B300" s="168" t="s">
        <v>75</v>
      </c>
      <c r="E300" s="154">
        <f t="shared" ref="E300:Q300" si="187">SUM(E302:E305)</f>
        <v>78726.74691300001</v>
      </c>
      <c r="F300" s="154">
        <f t="shared" si="187"/>
        <v>103549.99522</v>
      </c>
      <c r="G300" s="154">
        <f t="shared" si="187"/>
        <v>100708.009693</v>
      </c>
      <c r="H300" s="154">
        <f t="shared" si="187"/>
        <v>105502.86233999999</v>
      </c>
      <c r="I300" s="154">
        <f t="shared" si="187"/>
        <v>81292.853296851987</v>
      </c>
      <c r="J300" s="154">
        <f t="shared" si="187"/>
        <v>27082.015384471204</v>
      </c>
      <c r="K300" s="154">
        <f t="shared" si="187"/>
        <v>108374.86868132319</v>
      </c>
      <c r="L300" s="154">
        <f t="shared" si="187"/>
        <v>112848.58588360033</v>
      </c>
      <c r="M300" s="154">
        <f t="shared" si="187"/>
        <v>115831.33769594235</v>
      </c>
      <c r="N300" s="154">
        <f t="shared" si="187"/>
        <v>119197.36342937741</v>
      </c>
      <c r="O300" s="154">
        <f t="shared" si="187"/>
        <v>123256.41423375875</v>
      </c>
      <c r="P300" s="154">
        <f t="shared" si="187"/>
        <v>127148.93392695324</v>
      </c>
      <c r="Q300" s="154">
        <f t="shared" si="187"/>
        <v>0</v>
      </c>
    </row>
    <row r="301" spans="1:17">
      <c r="B301" s="168"/>
      <c r="E301" s="244">
        <f t="shared" ref="E301:P301" si="188">E300/E9</f>
        <v>0.14591226671033949</v>
      </c>
      <c r="F301" s="244">
        <f t="shared" si="188"/>
        <v>0.15828230756858977</v>
      </c>
      <c r="G301" s="244">
        <f t="shared" si="188"/>
        <v>0.15228434712641778</v>
      </c>
      <c r="H301" s="244">
        <f t="shared" si="188"/>
        <v>0.15482193530114424</v>
      </c>
      <c r="I301" s="244">
        <f t="shared" si="188"/>
        <v>0.15219476069792134</v>
      </c>
      <c r="J301" s="245">
        <f t="shared" si="188"/>
        <v>0.14499212758072394</v>
      </c>
      <c r="K301" s="244">
        <f t="shared" si="188"/>
        <v>0.15032863462782506</v>
      </c>
      <c r="L301" s="244">
        <f t="shared" si="188"/>
        <v>0.15022808636757581</v>
      </c>
      <c r="M301" s="244">
        <f t="shared" si="188"/>
        <v>0.14772793114852936</v>
      </c>
      <c r="N301" s="244">
        <f t="shared" si="188"/>
        <v>0.14596530794901336</v>
      </c>
      <c r="O301" s="244">
        <f t="shared" si="188"/>
        <v>0.14515092236846111</v>
      </c>
      <c r="P301" s="244">
        <f t="shared" si="188"/>
        <v>0.14422174530955886</v>
      </c>
    </row>
    <row r="302" spans="1:17">
      <c r="B302" s="170" t="s">
        <v>79</v>
      </c>
      <c r="E302" s="154">
        <f>E316</f>
        <v>51495.206232000004</v>
      </c>
      <c r="F302" s="154">
        <f t="shared" ref="F302:P302" si="189">F316</f>
        <v>65011.844430999998</v>
      </c>
      <c r="G302" s="154">
        <f t="shared" si="189"/>
        <v>64451.822386999993</v>
      </c>
      <c r="H302" s="154">
        <f t="shared" si="189"/>
        <v>66978.637950999997</v>
      </c>
      <c r="I302" s="154">
        <f t="shared" si="189"/>
        <v>50722.463573131652</v>
      </c>
      <c r="J302" s="166">
        <f t="shared" si="189"/>
        <v>16907.487857710552</v>
      </c>
      <c r="K302" s="154">
        <f t="shared" si="189"/>
        <v>67629.951430842208</v>
      </c>
      <c r="L302" s="154">
        <f t="shared" si="189"/>
        <v>70467.647396947592</v>
      </c>
      <c r="M302" s="154">
        <f t="shared" si="189"/>
        <v>72217.207748661967</v>
      </c>
      <c r="N302" s="154">
        <f t="shared" si="189"/>
        <v>74298.324104230531</v>
      </c>
      <c r="O302" s="154">
        <f t="shared" si="189"/>
        <v>77109.434911390432</v>
      </c>
      <c r="P302" s="154">
        <f t="shared" si="189"/>
        <v>79731.155698377697</v>
      </c>
    </row>
    <row r="303" spans="1:17">
      <c r="B303" s="170" t="s">
        <v>90</v>
      </c>
      <c r="E303" s="154">
        <f>E321</f>
        <v>12346.148953</v>
      </c>
      <c r="F303" s="154">
        <f t="shared" ref="F303:P303" si="190">F321</f>
        <v>17923.529001999999</v>
      </c>
      <c r="G303" s="154">
        <f t="shared" si="190"/>
        <v>16764.381788999999</v>
      </c>
      <c r="H303" s="154">
        <f t="shared" si="190"/>
        <v>18373.537100000001</v>
      </c>
      <c r="I303" s="154">
        <f t="shared" si="190"/>
        <v>14111.33673370523</v>
      </c>
      <c r="J303" s="166">
        <f t="shared" si="190"/>
        <v>4688.1765300889529</v>
      </c>
      <c r="K303" s="154">
        <f t="shared" si="190"/>
        <v>18799.513263794182</v>
      </c>
      <c r="L303" s="154">
        <f t="shared" si="190"/>
        <v>19643.620875234956</v>
      </c>
      <c r="M303" s="154">
        <f t="shared" si="190"/>
        <v>20100.132746283965</v>
      </c>
      <c r="N303" s="154">
        <f t="shared" si="190"/>
        <v>20620.104494554223</v>
      </c>
      <c r="O303" s="154">
        <f t="shared" si="190"/>
        <v>21111.767888133836</v>
      </c>
      <c r="P303" s="154">
        <f t="shared" si="190"/>
        <v>21652.839211547645</v>
      </c>
    </row>
    <row r="304" spans="1:17">
      <c r="B304" s="170" t="s">
        <v>94</v>
      </c>
      <c r="E304" s="154">
        <f t="shared" ref="E304:P304" si="191">E385</f>
        <v>0</v>
      </c>
      <c r="F304" s="154">
        <f t="shared" si="191"/>
        <v>0</v>
      </c>
      <c r="G304" s="154">
        <f t="shared" si="191"/>
        <v>0</v>
      </c>
      <c r="H304" s="154">
        <f t="shared" si="191"/>
        <v>0</v>
      </c>
      <c r="I304" s="154">
        <f t="shared" si="191"/>
        <v>0</v>
      </c>
      <c r="J304" s="154">
        <f t="shared" si="191"/>
        <v>0</v>
      </c>
      <c r="K304" s="154">
        <f t="shared" si="191"/>
        <v>0</v>
      </c>
      <c r="L304" s="154">
        <f t="shared" si="191"/>
        <v>0</v>
      </c>
      <c r="M304" s="154">
        <f t="shared" si="191"/>
        <v>0</v>
      </c>
      <c r="N304" s="154">
        <f t="shared" si="191"/>
        <v>0</v>
      </c>
      <c r="O304" s="154">
        <f t="shared" si="191"/>
        <v>0</v>
      </c>
      <c r="P304" s="154">
        <f t="shared" si="191"/>
        <v>0</v>
      </c>
    </row>
    <row r="305" spans="2:17">
      <c r="B305" s="170" t="s">
        <v>101</v>
      </c>
      <c r="E305" s="154">
        <f>E357</f>
        <v>14885.391728000001</v>
      </c>
      <c r="F305" s="154">
        <f>F357</f>
        <v>20614.621787</v>
      </c>
      <c r="G305" s="154">
        <f>G357</f>
        <v>19491.805517000001</v>
      </c>
      <c r="H305" s="154">
        <f t="shared" ref="H305:P305" si="192">H357</f>
        <v>20150.687289000001</v>
      </c>
      <c r="I305" s="154">
        <f t="shared" si="192"/>
        <v>16459.052990015101</v>
      </c>
      <c r="J305" s="154">
        <f t="shared" si="192"/>
        <v>5486.3509966717002</v>
      </c>
      <c r="K305" s="154">
        <f t="shared" si="192"/>
        <v>21945.403986686801</v>
      </c>
      <c r="L305" s="154">
        <f t="shared" si="192"/>
        <v>22737.317611417773</v>
      </c>
      <c r="M305" s="154">
        <f t="shared" si="192"/>
        <v>23513.997200996408</v>
      </c>
      <c r="N305" s="154">
        <f t="shared" si="192"/>
        <v>24278.934830592647</v>
      </c>
      <c r="O305" s="154">
        <f t="shared" si="192"/>
        <v>25035.211434234487</v>
      </c>
      <c r="P305" s="154">
        <f t="shared" si="192"/>
        <v>25764.939017027886</v>
      </c>
    </row>
    <row r="306" spans="2:17">
      <c r="B306" s="168" t="s">
        <v>53</v>
      </c>
      <c r="E306" s="154">
        <f t="shared" ref="E306:Q306" si="193">SUM(E308:E309)</f>
        <v>5247.7374</v>
      </c>
      <c r="F306" s="154">
        <f t="shared" si="193"/>
        <v>7955.3239879999992</v>
      </c>
      <c r="G306" s="154">
        <f t="shared" si="193"/>
        <v>7486.0613239999993</v>
      </c>
      <c r="H306" s="154">
        <f t="shared" si="193"/>
        <v>7891.271533000001</v>
      </c>
      <c r="I306" s="154">
        <f t="shared" si="193"/>
        <v>6303.1531369837503</v>
      </c>
      <c r="J306" s="154">
        <f t="shared" si="193"/>
        <v>2101.0510456612501</v>
      </c>
      <c r="K306" s="154">
        <f t="shared" si="193"/>
        <v>8404.2041826450004</v>
      </c>
      <c r="L306" s="154">
        <f t="shared" si="193"/>
        <v>8706.755533220221</v>
      </c>
      <c r="M306" s="154">
        <f t="shared" si="193"/>
        <v>8872.1838883514029</v>
      </c>
      <c r="N306" s="154">
        <f t="shared" si="193"/>
        <v>9076.2441177834844</v>
      </c>
      <c r="O306" s="154">
        <f t="shared" si="193"/>
        <v>9366.6839295525569</v>
      </c>
      <c r="P306" s="154">
        <f t="shared" si="193"/>
        <v>9685.1511831573443</v>
      </c>
      <c r="Q306" s="154">
        <f t="shared" si="193"/>
        <v>0</v>
      </c>
    </row>
    <row r="307" spans="2:17">
      <c r="B307" s="168"/>
      <c r="E307" s="244">
        <f t="shared" ref="E307:P307" si="194">E306/E12</f>
        <v>2.7727416729793532E-2</v>
      </c>
      <c r="F307" s="244">
        <f t="shared" si="194"/>
        <v>3.9673991170373998E-2</v>
      </c>
      <c r="G307" s="244">
        <f t="shared" si="194"/>
        <v>3.3652842406146535E-2</v>
      </c>
      <c r="H307" s="244">
        <f t="shared" si="194"/>
        <v>3.2969012388439821E-2</v>
      </c>
      <c r="I307" s="414">
        <f t="shared" si="194"/>
        <v>3.2571559908843355E-2</v>
      </c>
      <c r="J307" s="429">
        <f t="shared" si="194"/>
        <v>3.2571559908843348E-2</v>
      </c>
      <c r="K307" s="414">
        <f t="shared" si="194"/>
        <v>3.2571559908843355E-2</v>
      </c>
      <c r="L307" s="244">
        <f t="shared" si="194"/>
        <v>3.1980053442721056E-2</v>
      </c>
      <c r="M307" s="244">
        <f t="shared" si="194"/>
        <v>3.1439545259198974E-2</v>
      </c>
      <c r="N307" s="244">
        <f t="shared" si="194"/>
        <v>3.0908172429280279E-2</v>
      </c>
      <c r="O307" s="244">
        <f t="shared" si="194"/>
        <v>3.0385780552554385E-2</v>
      </c>
      <c r="P307" s="244">
        <f t="shared" si="194"/>
        <v>2.9872217838196262E-2</v>
      </c>
    </row>
    <row r="308" spans="2:17">
      <c r="B308" s="170" t="s">
        <v>79</v>
      </c>
      <c r="E308" s="154">
        <f>E366</f>
        <v>5247.7374</v>
      </c>
      <c r="F308" s="154">
        <f>F366</f>
        <v>7955.3239879999992</v>
      </c>
      <c r="G308" s="154">
        <f>G366</f>
        <v>7486.0613239999993</v>
      </c>
      <c r="H308" s="154">
        <f t="shared" ref="H308:P308" si="195">H366</f>
        <v>7891.271533000001</v>
      </c>
      <c r="I308" s="409">
        <f t="shared" si="195"/>
        <v>6303.1531369837503</v>
      </c>
      <c r="J308" s="409">
        <f t="shared" si="195"/>
        <v>2101.0510456612501</v>
      </c>
      <c r="K308" s="409">
        <f t="shared" si="195"/>
        <v>8404.2041826450004</v>
      </c>
      <c r="L308" s="154">
        <f t="shared" si="195"/>
        <v>8706.755533220221</v>
      </c>
      <c r="M308" s="154">
        <f t="shared" si="195"/>
        <v>8872.1838883514029</v>
      </c>
      <c r="N308" s="154">
        <f t="shared" si="195"/>
        <v>9076.2441177834844</v>
      </c>
      <c r="O308" s="154">
        <f t="shared" si="195"/>
        <v>9366.6839295525569</v>
      </c>
      <c r="P308" s="154">
        <f t="shared" si="195"/>
        <v>9685.1511831573443</v>
      </c>
    </row>
    <row r="309" spans="2:17">
      <c r="B309" s="170" t="s">
        <v>16</v>
      </c>
      <c r="E309" s="154">
        <f t="shared" ref="E309:P309" si="196">E388</f>
        <v>0</v>
      </c>
      <c r="F309" s="154">
        <f t="shared" si="196"/>
        <v>0</v>
      </c>
      <c r="G309" s="154">
        <f t="shared" si="196"/>
        <v>0</v>
      </c>
      <c r="I309" s="427">
        <f t="shared" si="196"/>
        <v>0</v>
      </c>
      <c r="J309" s="410">
        <f t="shared" si="196"/>
        <v>0</v>
      </c>
      <c r="K309" s="409">
        <f t="shared" si="196"/>
        <v>0</v>
      </c>
      <c r="L309" s="154">
        <f t="shared" si="196"/>
        <v>0</v>
      </c>
      <c r="M309" s="154">
        <f t="shared" si="196"/>
        <v>0</v>
      </c>
      <c r="N309" s="154">
        <f t="shared" si="196"/>
        <v>0</v>
      </c>
      <c r="O309" s="154">
        <f t="shared" si="196"/>
        <v>0</v>
      </c>
      <c r="P309" s="154">
        <f t="shared" si="196"/>
        <v>0</v>
      </c>
    </row>
    <row r="310" spans="2:17" ht="13.8" thickBot="1">
      <c r="B310" s="175" t="s">
        <v>435</v>
      </c>
      <c r="C310" s="175"/>
      <c r="D310" s="175"/>
      <c r="E310" s="175">
        <f>SUM(E300,E306)</f>
        <v>83974.484313000008</v>
      </c>
      <c r="F310" s="175">
        <f>SUM(F300,F306)</f>
        <v>111505.319208</v>
      </c>
      <c r="G310" s="175">
        <f>SUM(G300,G306)</f>
        <v>108194.07101699999</v>
      </c>
      <c r="H310" s="175"/>
      <c r="I310" s="200">
        <f t="shared" ref="I310:Q310" si="197">SUM(I300,I306)</f>
        <v>87596.006433835733</v>
      </c>
      <c r="J310" s="176">
        <f t="shared" si="197"/>
        <v>29183.066430132454</v>
      </c>
      <c r="K310" s="175">
        <f t="shared" si="197"/>
        <v>116779.07286396819</v>
      </c>
      <c r="L310" s="175">
        <f t="shared" si="197"/>
        <v>121555.34141682055</v>
      </c>
      <c r="M310" s="175">
        <f t="shared" si="197"/>
        <v>124703.52158429375</v>
      </c>
      <c r="N310" s="175">
        <f t="shared" si="197"/>
        <v>128273.60754716089</v>
      </c>
      <c r="O310" s="175">
        <f t="shared" si="197"/>
        <v>132623.09816331131</v>
      </c>
      <c r="P310" s="175">
        <f t="shared" si="197"/>
        <v>136834.08511011058</v>
      </c>
      <c r="Q310" s="175">
        <f t="shared" si="197"/>
        <v>0</v>
      </c>
    </row>
    <row r="311" spans="2:17">
      <c r="J311" s="194"/>
      <c r="K311" s="174"/>
      <c r="L311" s="174"/>
      <c r="M311" s="174"/>
      <c r="N311" s="174"/>
      <c r="O311" s="174"/>
      <c r="P311" s="174"/>
    </row>
    <row r="312" spans="2:17">
      <c r="J312" s="194"/>
      <c r="K312" s="174"/>
      <c r="L312" s="174"/>
      <c r="M312" s="174"/>
      <c r="N312" s="174"/>
      <c r="O312" s="174"/>
      <c r="P312" s="174"/>
    </row>
    <row r="314" spans="2:17">
      <c r="B314" s="171" t="s">
        <v>436</v>
      </c>
    </row>
    <row r="315" spans="2:17">
      <c r="F315" s="154">
        <v>65011.844430999998</v>
      </c>
      <c r="I315" s="266"/>
    </row>
    <row r="316" spans="2:17">
      <c r="B316" s="154" t="s">
        <v>106</v>
      </c>
      <c r="E316" s="171">
        <f>E317*E318</f>
        <v>51495.206232000004</v>
      </c>
      <c r="F316" s="171">
        <v>65011.844430999998</v>
      </c>
      <c r="G316" s="171">
        <v>64451.822386999993</v>
      </c>
      <c r="H316" s="171">
        <v>66978.637950999997</v>
      </c>
      <c r="I316" s="171">
        <v>50722.463573131652</v>
      </c>
      <c r="J316" s="172">
        <f>J317*J318/4</f>
        <v>16907.487857710552</v>
      </c>
      <c r="K316" s="171">
        <f t="shared" ref="K316:P316" si="198">K317*K318</f>
        <v>67629.951430842208</v>
      </c>
      <c r="L316" s="171">
        <f t="shared" si="198"/>
        <v>70467.647396947592</v>
      </c>
      <c r="M316" s="171">
        <f t="shared" si="198"/>
        <v>72217.207748661967</v>
      </c>
      <c r="N316" s="171">
        <f t="shared" si="198"/>
        <v>74298.324104230531</v>
      </c>
      <c r="O316" s="171">
        <f t="shared" si="198"/>
        <v>77109.434911390432</v>
      </c>
      <c r="P316" s="171">
        <f t="shared" si="198"/>
        <v>79731.155698377697</v>
      </c>
    </row>
    <row r="317" spans="2:17">
      <c r="C317" s="154" t="s">
        <v>358</v>
      </c>
      <c r="E317" s="154">
        <f t="shared" ref="E317:P317" si="199">E83</f>
        <v>752.91666666666663</v>
      </c>
      <c r="F317" s="154">
        <f t="shared" si="199"/>
        <v>903.66666666666663</v>
      </c>
      <c r="G317" s="154">
        <f t="shared" si="199"/>
        <v>869.25</v>
      </c>
      <c r="H317" s="154">
        <f t="shared" si="199"/>
        <v>869.25</v>
      </c>
      <c r="I317" s="154">
        <f t="shared" si="199"/>
        <v>869.25</v>
      </c>
      <c r="J317" s="154">
        <f t="shared" si="199"/>
        <v>869.25</v>
      </c>
      <c r="K317" s="154">
        <f t="shared" si="199"/>
        <v>869.25</v>
      </c>
      <c r="L317" s="154">
        <f t="shared" si="199"/>
        <v>874.25</v>
      </c>
      <c r="M317" s="154">
        <f t="shared" si="199"/>
        <v>879.25</v>
      </c>
      <c r="N317" s="154">
        <f t="shared" si="199"/>
        <v>884.25</v>
      </c>
      <c r="O317" s="154">
        <f t="shared" si="199"/>
        <v>889.25</v>
      </c>
      <c r="P317" s="154">
        <f t="shared" si="199"/>
        <v>889.25</v>
      </c>
    </row>
    <row r="318" spans="2:17">
      <c r="C318" s="154" t="s">
        <v>240</v>
      </c>
      <c r="E318" s="234">
        <v>68.394297153735479</v>
      </c>
      <c r="F318" s="234">
        <f>F316/F317</f>
        <v>71.94228450497971</v>
      </c>
      <c r="G318" s="234">
        <f t="shared" ref="G318:H318" si="200">G316/G317</f>
        <v>74.146473841817652</v>
      </c>
      <c r="H318" s="234">
        <f t="shared" si="200"/>
        <v>77.053365488639628</v>
      </c>
      <c r="I318" s="234">
        <f>(I316/3*4)/I317</f>
        <v>77.802647605225431</v>
      </c>
      <c r="J318" s="235">
        <f>I318</f>
        <v>77.802647605225431</v>
      </c>
      <c r="K318" s="234">
        <f>J318</f>
        <v>77.802647605225431</v>
      </c>
      <c r="L318" s="234">
        <f>K318*(1+L319)</f>
        <v>80.603542919013549</v>
      </c>
      <c r="M318" s="234">
        <f t="shared" ref="M318:P318" si="201">L318*(1+M319)</f>
        <v>82.135010234474805</v>
      </c>
      <c r="N318" s="234">
        <f t="shared" si="201"/>
        <v>84.024115469867724</v>
      </c>
      <c r="O318" s="234">
        <f t="shared" si="201"/>
        <v>86.712887164903492</v>
      </c>
      <c r="P318" s="234">
        <f t="shared" si="201"/>
        <v>89.661125328510209</v>
      </c>
    </row>
    <row r="319" spans="2:17">
      <c r="C319" s="168" t="s">
        <v>178</v>
      </c>
      <c r="F319" s="174">
        <f>F318/E318-1</f>
        <v>5.1875485221657192E-2</v>
      </c>
      <c r="G319" s="174">
        <f>G318/F318-1</f>
        <v>3.0638300576698807E-2</v>
      </c>
      <c r="H319" s="174">
        <f>H318/G318-1</f>
        <v>3.9204718663000238E-2</v>
      </c>
      <c r="I319" s="174">
        <f>I318/H318-1</f>
        <v>9.7241971435533259E-3</v>
      </c>
      <c r="K319" s="174">
        <v>6.5000000000000002E-2</v>
      </c>
      <c r="L319" s="174">
        <v>3.6000000000000004E-2</v>
      </c>
      <c r="M319" s="174">
        <v>1.9E-2</v>
      </c>
      <c r="N319" s="174">
        <v>2.3E-2</v>
      </c>
      <c r="O319" s="174">
        <v>3.2000000000000001E-2</v>
      </c>
      <c r="P319" s="174">
        <v>3.4000000000000002E-2</v>
      </c>
    </row>
    <row r="320" spans="2:17">
      <c r="J320" s="166">
        <f>I321/3</f>
        <v>4703.7789112350765</v>
      </c>
    </row>
    <row r="321" spans="2:16">
      <c r="B321" s="154" t="s">
        <v>437</v>
      </c>
      <c r="E321" s="171">
        <v>12346.148953</v>
      </c>
      <c r="F321" s="171">
        <v>17923.529001999999</v>
      </c>
      <c r="G321" s="171">
        <v>16764.381788999999</v>
      </c>
      <c r="H321" s="171">
        <v>18373.537100000001</v>
      </c>
      <c r="I321" s="171">
        <v>14111.33673370523</v>
      </c>
      <c r="J321" s="172">
        <f>K321-I321</f>
        <v>4688.1765300889529</v>
      </c>
      <c r="K321" s="171">
        <f t="shared" ref="K321:P321" si="202">SUM(K340,K354)*K323</f>
        <v>18799.513263794182</v>
      </c>
      <c r="L321" s="171">
        <f t="shared" si="202"/>
        <v>19643.620875234956</v>
      </c>
      <c r="M321" s="171">
        <f t="shared" si="202"/>
        <v>20100.132746283965</v>
      </c>
      <c r="N321" s="171">
        <f t="shared" si="202"/>
        <v>20620.104494554223</v>
      </c>
      <c r="O321" s="171">
        <f t="shared" si="202"/>
        <v>21111.767888133836</v>
      </c>
      <c r="P321" s="171">
        <f t="shared" si="202"/>
        <v>21652.839211547645</v>
      </c>
    </row>
    <row r="322" spans="2:16">
      <c r="C322" s="168" t="s">
        <v>178</v>
      </c>
      <c r="F322" s="174">
        <f>F321/E321-1</f>
        <v>0.45175058799568002</v>
      </c>
      <c r="G322" s="174">
        <f>G321/F321-1</f>
        <v>-6.4671818416487947E-2</v>
      </c>
      <c r="H322" s="174">
        <f t="shared" ref="H322" si="203">H321/G321-1</f>
        <v>9.5986558362435748E-2</v>
      </c>
      <c r="I322" s="174">
        <f>(I321/3*4)/H321-1</f>
        <v>2.4033398824459651E-2</v>
      </c>
      <c r="K322" s="174">
        <f>K321/H321-1</f>
        <v>2.3184222040413927E-2</v>
      </c>
      <c r="L322" s="174">
        <f>L321/K321-1</f>
        <v>4.4900503518164658E-2</v>
      </c>
      <c r="M322" s="174">
        <f t="shared" ref="M322:P322" si="204">M321/L321-1</f>
        <v>2.3239700763342475E-2</v>
      </c>
      <c r="N322" s="174">
        <f t="shared" si="204"/>
        <v>2.5869070360562185E-2</v>
      </c>
      <c r="O322" s="174">
        <f t="shared" si="204"/>
        <v>2.3843884676213012E-2</v>
      </c>
      <c r="P322" s="174">
        <f t="shared" si="204"/>
        <v>2.5628896939413837E-2</v>
      </c>
    </row>
    <row r="323" spans="2:16">
      <c r="C323" s="154" t="s">
        <v>438</v>
      </c>
      <c r="K323" s="212">
        <v>0.05</v>
      </c>
      <c r="L323" s="212">
        <f t="shared" ref="L323:P323" si="205">K323</f>
        <v>0.05</v>
      </c>
      <c r="M323" s="212">
        <f t="shared" si="205"/>
        <v>0.05</v>
      </c>
      <c r="N323" s="212">
        <f t="shared" si="205"/>
        <v>0.05</v>
      </c>
      <c r="O323" s="212">
        <f t="shared" si="205"/>
        <v>0.05</v>
      </c>
      <c r="P323" s="212">
        <f t="shared" si="205"/>
        <v>0.05</v>
      </c>
    </row>
    <row r="325" spans="2:16">
      <c r="C325" s="154" t="s">
        <v>439</v>
      </c>
      <c r="D325" s="154" t="s">
        <v>75</v>
      </c>
      <c r="I325" s="154">
        <f>I9</f>
        <v>534137.00264100009</v>
      </c>
      <c r="K325" s="154">
        <f>K9</f>
        <v>720919.66344024497</v>
      </c>
    </row>
    <row r="326" spans="2:16">
      <c r="F326" s="154" cm="1">
        <f t="array" ref="F326:F328">TRANSPOSE(E90:G90)</f>
        <v>9.1277185619387247E-2</v>
      </c>
      <c r="I326" s="267">
        <f>I325/K325</f>
        <v>0.74091057537824145</v>
      </c>
    </row>
    <row r="327" spans="2:16">
      <c r="F327" s="154">
        <v>8.264958147258486E-2</v>
      </c>
    </row>
    <row r="328" spans="2:16">
      <c r="C328" s="154" t="s">
        <v>440</v>
      </c>
      <c r="F328" s="154">
        <v>8.3179986730771385E-2</v>
      </c>
    </row>
    <row r="329" spans="2:16">
      <c r="E329" s="211" t="s">
        <v>441</v>
      </c>
      <c r="F329" s="154" t="s">
        <v>442</v>
      </c>
      <c r="K329" s="228">
        <f t="shared" ref="K329:P329" si="206">K86</f>
        <v>0.11773547874577485</v>
      </c>
      <c r="L329" s="228">
        <f t="shared" si="206"/>
        <v>0.11773547874577485</v>
      </c>
      <c r="M329" s="228">
        <f t="shared" si="206"/>
        <v>0.11773547874577485</v>
      </c>
      <c r="N329" s="228">
        <f t="shared" si="206"/>
        <v>0.11773547874577485</v>
      </c>
      <c r="O329" s="228">
        <f t="shared" si="206"/>
        <v>0.11773547874577485</v>
      </c>
      <c r="P329" s="228">
        <f t="shared" si="206"/>
        <v>0.11773547874577485</v>
      </c>
    </row>
    <row r="330" spans="2:16">
      <c r="D330" s="154" t="s">
        <v>443</v>
      </c>
      <c r="E330" s="211">
        <v>48076.121288885734</v>
      </c>
      <c r="F330" s="219">
        <f t="array" ref="F330:F333">TRANSPOSE(E90:H90)</f>
        <v>9.1277185619387247E-2</v>
      </c>
      <c r="K330" s="154">
        <f>$E330*(1-$K$329)</f>
        <v>42415.856132698835</v>
      </c>
    </row>
    <row r="331" spans="2:16">
      <c r="D331" s="154" t="s">
        <v>444</v>
      </c>
      <c r="E331" s="211">
        <v>63610.50662404544</v>
      </c>
      <c r="F331" s="219">
        <v>8.264958147258486E-2</v>
      </c>
      <c r="K331" s="154">
        <f t="shared" ref="K331:K334" si="207">$E331*(1-$K$329)</f>
        <v>56121.293173402169</v>
      </c>
      <c r="L331" s="154">
        <f>K331*(1-$L$329)</f>
        <v>49513.825853799681</v>
      </c>
    </row>
    <row r="332" spans="2:16">
      <c r="D332" s="154" t="s">
        <v>445</v>
      </c>
      <c r="E332" s="211">
        <v>69216.538155763672</v>
      </c>
      <c r="F332" s="219">
        <v>8.3179986730771385E-2</v>
      </c>
      <c r="K332" s="154">
        <f t="shared" si="207"/>
        <v>61067.295898869648</v>
      </c>
      <c r="L332" s="154">
        <f t="shared" ref="L332:L334" si="208">K332*(1-$L$329)</f>
        <v>53877.508580506335</v>
      </c>
      <c r="M332" s="154">
        <f>L332*(1-$M$329)</f>
        <v>47534.214314150828</v>
      </c>
    </row>
    <row r="333" spans="2:16">
      <c r="D333" s="154" t="s">
        <v>446</v>
      </c>
      <c r="E333" s="211">
        <v>87346.051336322649</v>
      </c>
      <c r="F333" s="219">
        <v>8.095460804588335E-2</v>
      </c>
      <c r="K333" s="154">
        <f t="shared" si="207"/>
        <v>77062.32216568767</v>
      </c>
      <c r="L333" s="154">
        <f t="shared" si="208"/>
        <v>67989.352772249302</v>
      </c>
      <c r="M333" s="154">
        <f t="shared" ref="M333:M335" si="209">L333*(1-$M$329)</f>
        <v>59984.593773993154</v>
      </c>
      <c r="N333" s="154">
        <f>M333*(1-$N$329)</f>
        <v>52922.278908641245</v>
      </c>
    </row>
    <row r="334" spans="2:16">
      <c r="D334" s="154" t="s">
        <v>447</v>
      </c>
      <c r="E334" s="154">
        <f t="array" ref="E334:E339">TRANSPOSE(K74:P74)</f>
        <v>102953</v>
      </c>
      <c r="F334" s="219">
        <f t="array" ref="F334:F339">TRANSPOSE(K90:P90)</f>
        <v>7.9185573407979548E-2</v>
      </c>
      <c r="K334" s="154">
        <f t="shared" si="207"/>
        <v>90831.779256686248</v>
      </c>
      <c r="L334" s="154">
        <f t="shared" si="208"/>
        <v>80137.656240569748</v>
      </c>
      <c r="M334" s="154">
        <f t="shared" si="209"/>
        <v>70702.610917521932</v>
      </c>
      <c r="N334" s="154">
        <f t="shared" ref="N334:N336" si="210">M334*(1-$N$329)</f>
        <v>62378.405172571242</v>
      </c>
      <c r="O334" s="154">
        <f>N334*(1-$O$329)</f>
        <v>55034.253776180652</v>
      </c>
    </row>
    <row r="335" spans="2:16">
      <c r="D335" s="154" t="s">
        <v>448</v>
      </c>
      <c r="E335" s="154">
        <v>105335</v>
      </c>
      <c r="F335" s="219">
        <v>8.0017021928763324E-2</v>
      </c>
      <c r="L335" s="154">
        <f>E335*(1-L329)</f>
        <v>92933.333346313811</v>
      </c>
      <c r="M335" s="154">
        <f t="shared" si="209"/>
        <v>81991.782853344877</v>
      </c>
      <c r="N335" s="154">
        <f t="shared" si="210"/>
        <v>72338.441045886706</v>
      </c>
      <c r="O335" s="154">
        <f t="shared" ref="O335:O337" si="211">N335*(1-$O$329)</f>
        <v>63821.640057626224</v>
      </c>
      <c r="P335" s="154">
        <f>O335*(1-$P$329)</f>
        <v>56307.568711101077</v>
      </c>
    </row>
    <row r="336" spans="2:16">
      <c r="D336" s="154" t="s">
        <v>449</v>
      </c>
      <c r="E336" s="154">
        <v>107769</v>
      </c>
      <c r="F336" s="219">
        <v>8.0257072994549608E-2</v>
      </c>
      <c r="M336" s="154">
        <f>$E336*(1-M329)</f>
        <v>95080.765191046594</v>
      </c>
      <c r="N336" s="154">
        <f t="shared" si="210"/>
        <v>83886.385781764126</v>
      </c>
      <c r="O336" s="154">
        <f t="shared" si="211"/>
        <v>74009.98199149537</v>
      </c>
      <c r="P336" s="154">
        <f t="shared" ref="P336:P338" si="212">O336*(1-$P$329)</f>
        <v>65296.381329760487</v>
      </c>
    </row>
    <row r="337" spans="3:16">
      <c r="D337" s="154" t="s">
        <v>450</v>
      </c>
      <c r="E337" s="154">
        <v>110256</v>
      </c>
      <c r="F337" s="219">
        <v>8.0658358359522342E-2</v>
      </c>
      <c r="N337" s="154">
        <f>$E337*(1-N329)</f>
        <v>97274.957055405845</v>
      </c>
      <c r="O337" s="154">
        <f t="shared" si="211"/>
        <v>85822.243416512953</v>
      </c>
      <c r="P337" s="154">
        <f t="shared" si="212"/>
        <v>75717.920500833381</v>
      </c>
    </row>
    <row r="338" spans="3:16">
      <c r="D338" s="154" t="s">
        <v>451</v>
      </c>
      <c r="E338" s="154">
        <v>112796</v>
      </c>
      <c r="F338" s="219">
        <v>8.1142308509679476E-2</v>
      </c>
      <c r="O338" s="154">
        <f>E338*(1-O329)</f>
        <v>99515.908939391578</v>
      </c>
      <c r="P338" s="154">
        <f t="shared" si="212"/>
        <v>87799.355757591373</v>
      </c>
    </row>
    <row r="339" spans="3:16">
      <c r="D339" s="154" t="s">
        <v>452</v>
      </c>
      <c r="E339" s="154">
        <v>114746</v>
      </c>
      <c r="F339" s="219">
        <v>8.166973351499239E-2</v>
      </c>
      <c r="P339" s="154">
        <f>$E339*(1-P329)</f>
        <v>101236.32475583733</v>
      </c>
    </row>
    <row r="340" spans="3:16">
      <c r="D340" s="268" t="s">
        <v>453</v>
      </c>
      <c r="E340" s="268"/>
      <c r="F340" s="268"/>
      <c r="G340" s="268"/>
      <c r="H340" s="268"/>
      <c r="I340" s="268"/>
      <c r="J340" s="269"/>
      <c r="K340" s="268">
        <f>SUMPRODUCT($F$330:$F$339,K$330:K$339)*12</f>
        <v>324248.33806320152</v>
      </c>
      <c r="L340" s="268">
        <f t="shared" ref="L340:P340" si="213">SUMPRODUCT($F$330:$F$339,L$330:L$339)*12</f>
        <v>334318.48405168077</v>
      </c>
      <c r="M340" s="268">
        <f t="shared" si="213"/>
        <v>343202.32295386877</v>
      </c>
      <c r="N340" s="268">
        <f t="shared" si="213"/>
        <v>355087.11460546363</v>
      </c>
      <c r="O340" s="268">
        <f t="shared" si="213"/>
        <v>364821.51469047758</v>
      </c>
      <c r="P340" s="268">
        <f t="shared" si="213"/>
        <v>374946.35574777774</v>
      </c>
    </row>
    <row r="342" spans="3:16">
      <c r="C342" s="154" t="s">
        <v>454</v>
      </c>
    </row>
    <row r="343" spans="3:16">
      <c r="E343" s="211" t="s">
        <v>441</v>
      </c>
      <c r="F343" s="154" t="s">
        <v>442</v>
      </c>
      <c r="K343" s="228">
        <f t="shared" ref="K343:P343" si="214">K115</f>
        <v>0.14868899761635931</v>
      </c>
      <c r="L343" s="228">
        <f t="shared" si="214"/>
        <v>0.14868899761635931</v>
      </c>
      <c r="M343" s="228">
        <f t="shared" si="214"/>
        <v>0.14868899761635931</v>
      </c>
      <c r="N343" s="228">
        <f t="shared" si="214"/>
        <v>0.14868899761635931</v>
      </c>
      <c r="O343" s="228">
        <f t="shared" si="214"/>
        <v>0.14868899761635931</v>
      </c>
      <c r="P343" s="228">
        <f t="shared" si="214"/>
        <v>0.14868899761635931</v>
      </c>
    </row>
    <row r="344" spans="3:16">
      <c r="D344" s="154" t="s">
        <v>443</v>
      </c>
      <c r="E344" s="211">
        <v>1583.2615955437263</v>
      </c>
      <c r="F344" s="219">
        <f t="array" ref="F344:F347">TRANSPOSE(E119:H119)</f>
        <v>5.7355122265624989E-2</v>
      </c>
      <c r="K344" s="154">
        <f>$E344*(1-$K$343)</f>
        <v>1347.8480159378519</v>
      </c>
    </row>
    <row r="345" spans="3:16">
      <c r="D345" s="154" t="s">
        <v>444</v>
      </c>
      <c r="E345" s="211">
        <v>15097.642007960658</v>
      </c>
      <c r="F345" s="219">
        <v>5.7562883231049924E-2</v>
      </c>
      <c r="K345" s="154">
        <f>$E345*(1-$K$343)</f>
        <v>12852.788751426349</v>
      </c>
      <c r="L345" s="154">
        <f>K345*(1-$L$343)</f>
        <v>10941.720475401948</v>
      </c>
    </row>
    <row r="346" spans="3:16">
      <c r="D346" s="154" t="s">
        <v>445</v>
      </c>
      <c r="E346" s="211">
        <v>21464.035278419487</v>
      </c>
      <c r="F346" s="219">
        <v>6.1228599080643556E-2</v>
      </c>
      <c r="K346" s="154">
        <f t="shared" ref="K346:K347" si="215">$E346*(1-$K$343)</f>
        <v>18272.569388069118</v>
      </c>
      <c r="L346" s="154">
        <f t="shared" ref="L346:L348" si="216">K346*(1-$L$343)</f>
        <v>15555.639361881747</v>
      </c>
      <c r="M346" s="154">
        <f>L346*(1-$M$343)</f>
        <v>13242.686937881967</v>
      </c>
    </row>
    <row r="347" spans="3:16">
      <c r="D347" s="154" t="s">
        <v>446</v>
      </c>
      <c r="E347" s="211">
        <v>20565.061118076133</v>
      </c>
      <c r="F347" s="219">
        <v>6.4401274575995426E-2</v>
      </c>
      <c r="K347" s="154">
        <f t="shared" si="215"/>
        <v>17507.262794510229</v>
      </c>
      <c r="L347" s="154">
        <f t="shared" si="216"/>
        <v>14904.12543858832</v>
      </c>
      <c r="M347" s="154">
        <f t="shared" ref="M347:M349" si="217">L347*(1-$M$343)</f>
        <v>12688.045966776141</v>
      </c>
      <c r="N347" s="154">
        <f>M347*(1-$N$343)</f>
        <v>10801.473130265906</v>
      </c>
    </row>
    <row r="348" spans="3:16">
      <c r="D348" s="154" t="s">
        <v>447</v>
      </c>
      <c r="E348" s="154">
        <f t="array" ref="E348:E353">TRANSPOSE(K103:P103)</f>
        <v>21000</v>
      </c>
      <c r="F348" s="219">
        <f t="array" ref="F348:F353">TRANSPOSE(K119:P119)</f>
        <v>6.9829767591961828E-2</v>
      </c>
      <c r="K348" s="154">
        <f>$E348*(1-$K$343)</f>
        <v>17877.531050056456</v>
      </c>
      <c r="L348" s="154">
        <f t="shared" si="216"/>
        <v>15219.33887836822</v>
      </c>
      <c r="M348" s="154">
        <f t="shared" si="217"/>
        <v>12956.390636159964</v>
      </c>
      <c r="N348" s="154">
        <f t="shared" ref="N348:N350" si="218">M348*(1-$N$343)</f>
        <v>11029.917899743354</v>
      </c>
      <c r="O348" s="154">
        <f>N348*(1-$O$343)</f>
        <v>9389.890463439775</v>
      </c>
    </row>
    <row r="349" spans="3:16">
      <c r="D349" s="154" t="s">
        <v>448</v>
      </c>
      <c r="E349" s="154">
        <v>21000</v>
      </c>
      <c r="F349" s="219">
        <v>7.1296192711393022E-2</v>
      </c>
      <c r="L349" s="154">
        <f>E349*(1-L343)</f>
        <v>17877.531050056456</v>
      </c>
      <c r="M349" s="154">
        <f t="shared" si="217"/>
        <v>15219.33887836822</v>
      </c>
      <c r="N349" s="154">
        <f t="shared" si="218"/>
        <v>12956.390636159964</v>
      </c>
      <c r="O349" s="154">
        <f t="shared" ref="O349:O351" si="219">N349*(1-$O$343)</f>
        <v>11029.917899743354</v>
      </c>
      <c r="P349" s="154">
        <f>O349*(1-$P$343)</f>
        <v>9389.890463439775</v>
      </c>
    </row>
    <row r="350" spans="3:16">
      <c r="D350" s="154" t="s">
        <v>449</v>
      </c>
      <c r="E350" s="154">
        <v>21000</v>
      </c>
      <c r="F350" s="219">
        <v>7.1723969867661386E-2</v>
      </c>
      <c r="M350" s="154">
        <f>$E350*(1-M343)</f>
        <v>17877.531050056456</v>
      </c>
      <c r="N350" s="154">
        <f t="shared" si="218"/>
        <v>15219.33887836822</v>
      </c>
      <c r="O350" s="154">
        <f t="shared" si="219"/>
        <v>12956.390636159964</v>
      </c>
      <c r="P350" s="154">
        <f t="shared" ref="P350:P352" si="220">O350*(1-$P$343)</f>
        <v>11029.917899743354</v>
      </c>
    </row>
    <row r="351" spans="3:16">
      <c r="D351" s="154" t="s">
        <v>450</v>
      </c>
      <c r="E351" s="154">
        <v>21000</v>
      </c>
      <c r="F351" s="219">
        <v>7.2441209566337997E-2</v>
      </c>
      <c r="N351" s="154">
        <f>$E351*(1-N343)</f>
        <v>17877.531050056456</v>
      </c>
      <c r="O351" s="154">
        <f t="shared" si="219"/>
        <v>15219.33887836822</v>
      </c>
      <c r="P351" s="154">
        <f t="shared" si="220"/>
        <v>12956.390636159964</v>
      </c>
    </row>
    <row r="352" spans="3:16">
      <c r="D352" s="154" t="s">
        <v>451</v>
      </c>
      <c r="E352" s="154">
        <v>21000</v>
      </c>
      <c r="F352" s="219">
        <v>7.3310504081134056E-2</v>
      </c>
      <c r="O352" s="154">
        <f>E352*(1-O343)</f>
        <v>17877.531050056456</v>
      </c>
      <c r="P352" s="154">
        <f t="shared" si="220"/>
        <v>15219.33887836822</v>
      </c>
    </row>
    <row r="353" spans="2:18">
      <c r="D353" s="154" t="s">
        <v>455</v>
      </c>
      <c r="E353" s="154">
        <v>21000</v>
      </c>
      <c r="F353" s="219">
        <v>7.4263540634188788E-2</v>
      </c>
      <c r="P353" s="154">
        <f>$E353*(1-P343)</f>
        <v>17877.531050056456</v>
      </c>
    </row>
    <row r="354" spans="2:18">
      <c r="D354" s="268" t="s">
        <v>454</v>
      </c>
      <c r="E354" s="268"/>
      <c r="F354" s="268"/>
      <c r="G354" s="268"/>
      <c r="H354" s="268"/>
      <c r="I354" s="268"/>
      <c r="J354" s="269"/>
      <c r="K354" s="268">
        <f>SUMPRODUCT($F$344:$F$353,K$344:K$353)*12</f>
        <v>51741.927212682152</v>
      </c>
      <c r="L354" s="268">
        <f t="shared" ref="L354:P354" si="221">SUMPRODUCT($F$344:$F$353,L$344:L$353)*12</f>
        <v>58553.933453018282</v>
      </c>
      <c r="M354" s="268">
        <f t="shared" si="221"/>
        <v>58800.331971810476</v>
      </c>
      <c r="N354" s="268">
        <f t="shared" si="221"/>
        <v>57314.975285620836</v>
      </c>
      <c r="O354" s="268">
        <f t="shared" si="221"/>
        <v>57413.843072199161</v>
      </c>
      <c r="P354" s="268">
        <f t="shared" si="221"/>
        <v>58110.428483175157</v>
      </c>
    </row>
    <row r="356" spans="2:18">
      <c r="H356" s="409"/>
      <c r="I356" s="409"/>
      <c r="J356" s="410"/>
      <c r="K356" s="409"/>
      <c r="L356" s="409"/>
      <c r="M356" s="409"/>
      <c r="N356" s="409"/>
      <c r="O356" s="409"/>
      <c r="P356" s="409"/>
      <c r="Q356" s="409"/>
      <c r="R356" s="409"/>
    </row>
    <row r="357" spans="2:18">
      <c r="B357" s="154" t="s">
        <v>101</v>
      </c>
      <c r="E357" s="171">
        <v>14885.391728000001</v>
      </c>
      <c r="F357" s="171">
        <v>20614.621787</v>
      </c>
      <c r="G357" s="171">
        <v>19491.805517000001</v>
      </c>
      <c r="H357" s="430">
        <v>20150.687289000001</v>
      </c>
      <c r="I357" s="430">
        <f>K357/4*3</f>
        <v>16459.052990015101</v>
      </c>
      <c r="J357" s="430">
        <f>K357/4</f>
        <v>5486.3509966717002</v>
      </c>
      <c r="K357" s="430">
        <v>21945.403986686801</v>
      </c>
      <c r="L357" s="430">
        <f>K357*(1+L359)</f>
        <v>22737.317611417773</v>
      </c>
      <c r="M357" s="430">
        <f t="shared" ref="M357:P357" si="222">L357*(1+M359)</f>
        <v>23513.997200996408</v>
      </c>
      <c r="N357" s="430">
        <f t="shared" si="222"/>
        <v>24278.934830592647</v>
      </c>
      <c r="O357" s="430">
        <f t="shared" si="222"/>
        <v>25035.211434234487</v>
      </c>
      <c r="P357" s="430">
        <f t="shared" si="222"/>
        <v>25764.939017027886</v>
      </c>
      <c r="Q357" s="409"/>
      <c r="R357" s="409"/>
    </row>
    <row r="358" spans="2:18">
      <c r="C358" s="154" t="s">
        <v>178</v>
      </c>
      <c r="H358" s="409"/>
      <c r="I358" s="409"/>
      <c r="J358" s="410"/>
      <c r="K358" s="266"/>
      <c r="L358" s="292"/>
      <c r="M358" s="292"/>
      <c r="N358" s="292"/>
      <c r="O358" s="292"/>
      <c r="P358" s="266"/>
      <c r="Q358" s="409"/>
      <c r="R358" s="409"/>
    </row>
    <row r="359" spans="2:18">
      <c r="C359" s="154" t="s">
        <v>456</v>
      </c>
      <c r="E359" s="174">
        <f>E357/SUM(E49:E50)</f>
        <v>2.41018685915774E-2</v>
      </c>
      <c r="F359" s="174">
        <f t="shared" ref="F359:K359" si="223">F357/F9</f>
        <v>3.1510671721111508E-2</v>
      </c>
      <c r="G359" s="174">
        <f t="shared" si="223"/>
        <v>2.9474287959021926E-2</v>
      </c>
      <c r="H359" s="266">
        <f t="shared" si="223"/>
        <v>2.9570462208666822E-2</v>
      </c>
      <c r="I359" s="266">
        <f t="shared" si="223"/>
        <v>3.0814290919061134E-2</v>
      </c>
      <c r="J359" s="266">
        <f t="shared" si="223"/>
        <v>2.937291380899891E-2</v>
      </c>
      <c r="K359" s="266">
        <f t="shared" si="223"/>
        <v>3.0440845352952137E-2</v>
      </c>
      <c r="L359" s="339">
        <f>L254</f>
        <v>3.6085625273127198E-2</v>
      </c>
      <c r="M359" s="339">
        <f t="shared" ref="M359:P359" si="224">M254</f>
        <v>3.4158804607128168E-2</v>
      </c>
      <c r="N359" s="339">
        <f t="shared" si="224"/>
        <v>3.253116103815068E-2</v>
      </c>
      <c r="O359" s="339">
        <f t="shared" si="224"/>
        <v>3.1149496834140145E-2</v>
      </c>
      <c r="P359" s="339">
        <f t="shared" si="224"/>
        <v>2.9148049526577235E-2</v>
      </c>
      <c r="Q359" s="409"/>
      <c r="R359" s="409"/>
    </row>
    <row r="360" spans="2:18">
      <c r="H360" s="409"/>
      <c r="I360" s="409"/>
      <c r="J360" s="410"/>
      <c r="K360" s="409"/>
      <c r="L360" s="409"/>
      <c r="M360" s="409"/>
      <c r="N360" s="409"/>
      <c r="O360" s="409"/>
      <c r="P360" s="409"/>
      <c r="Q360" s="409"/>
      <c r="R360" s="409"/>
    </row>
    <row r="364" spans="2:18">
      <c r="B364" s="171" t="s">
        <v>457</v>
      </c>
    </row>
    <row r="366" spans="2:18">
      <c r="B366" s="154" t="s">
        <v>79</v>
      </c>
      <c r="E366" s="171">
        <v>5247.7374</v>
      </c>
      <c r="F366" s="171">
        <v>7955.3239879999992</v>
      </c>
      <c r="G366" s="171">
        <v>7486.0613239999993</v>
      </c>
      <c r="H366" s="171">
        <v>7891.271533000001</v>
      </c>
      <c r="I366" s="430">
        <f>K366/4*3</f>
        <v>6303.1531369837503</v>
      </c>
      <c r="J366" s="171">
        <f>J367*J368/4</f>
        <v>2101.0510456612501</v>
      </c>
      <c r="K366" s="171">
        <f t="shared" ref="K366:P366" si="225">K367*K368</f>
        <v>8404.2041826450004</v>
      </c>
      <c r="L366" s="171">
        <f t="shared" si="225"/>
        <v>8706.755533220221</v>
      </c>
      <c r="M366" s="171">
        <f t="shared" si="225"/>
        <v>8872.1838883514029</v>
      </c>
      <c r="N366" s="171">
        <f t="shared" si="225"/>
        <v>9076.2441177834844</v>
      </c>
      <c r="O366" s="171">
        <f t="shared" si="225"/>
        <v>9366.6839295525569</v>
      </c>
      <c r="P366" s="171">
        <f t="shared" si="225"/>
        <v>9685.1511831573443</v>
      </c>
    </row>
    <row r="367" spans="2:18">
      <c r="C367" s="154" t="s">
        <v>458</v>
      </c>
      <c r="E367" s="154">
        <f>E148</f>
        <v>86</v>
      </c>
      <c r="F367" s="154">
        <f t="shared" ref="F367:P367" si="226">F148</f>
        <v>85</v>
      </c>
      <c r="G367" s="154">
        <f t="shared" si="226"/>
        <v>98</v>
      </c>
      <c r="H367" s="154">
        <f t="shared" si="226"/>
        <v>98</v>
      </c>
      <c r="I367" s="154">
        <f t="shared" si="226"/>
        <v>98</v>
      </c>
      <c r="J367" s="154">
        <f t="shared" si="226"/>
        <v>98</v>
      </c>
      <c r="K367" s="154">
        <f t="shared" si="226"/>
        <v>98</v>
      </c>
      <c r="L367" s="154">
        <f t="shared" si="226"/>
        <v>98</v>
      </c>
      <c r="M367" s="154">
        <f t="shared" si="226"/>
        <v>98</v>
      </c>
      <c r="N367" s="154">
        <f t="shared" si="226"/>
        <v>98</v>
      </c>
      <c r="O367" s="154">
        <f t="shared" si="226"/>
        <v>98</v>
      </c>
      <c r="P367" s="154">
        <f t="shared" si="226"/>
        <v>98</v>
      </c>
    </row>
    <row r="368" spans="2:18">
      <c r="C368" s="154" t="s">
        <v>459</v>
      </c>
      <c r="E368" s="234">
        <f>E366/E367</f>
        <v>61.020202325581394</v>
      </c>
      <c r="F368" s="234">
        <f>F366/F367</f>
        <v>93.592046917647053</v>
      </c>
      <c r="G368" s="234">
        <f t="shared" ref="G368:H368" si="227">G366/G367</f>
        <v>76.388380857142849</v>
      </c>
      <c r="H368" s="234">
        <f t="shared" si="227"/>
        <v>80.523178908163274</v>
      </c>
      <c r="I368" s="234">
        <f>K368</f>
        <v>85.757185537193877</v>
      </c>
      <c r="J368" s="235">
        <f>K368</f>
        <v>85.757185537193877</v>
      </c>
      <c r="K368" s="234">
        <f>H368*(1+K369)</f>
        <v>85.757185537193877</v>
      </c>
      <c r="L368" s="234">
        <f>K368*(1+L369)</f>
        <v>88.844444216532864</v>
      </c>
      <c r="M368" s="234">
        <f t="shared" ref="M368:P368" si="228">L368*(1+M369)</f>
        <v>90.532488656646976</v>
      </c>
      <c r="N368" s="234">
        <f t="shared" si="228"/>
        <v>92.614735895749845</v>
      </c>
      <c r="O368" s="234">
        <f t="shared" si="228"/>
        <v>95.578407444413841</v>
      </c>
      <c r="P368" s="234">
        <f t="shared" si="228"/>
        <v>98.828073297523915</v>
      </c>
    </row>
    <row r="369" spans="1:17">
      <c r="C369" s="168" t="s">
        <v>178</v>
      </c>
      <c r="F369" s="174">
        <f>F368/E368-1</f>
        <v>0.53378788254870502</v>
      </c>
      <c r="G369" s="174">
        <f>G368/F368-1</f>
        <v>-0.18381546965889051</v>
      </c>
      <c r="H369" s="174">
        <f t="shared" ref="H369:I369" si="229">H368/G368-1</f>
        <v>5.4128625382871887E-2</v>
      </c>
      <c r="I369" s="174">
        <f t="shared" si="229"/>
        <v>6.4999999999999947E-2</v>
      </c>
      <c r="K369" s="174">
        <v>6.5000000000000002E-2</v>
      </c>
      <c r="L369" s="174">
        <v>3.6000000000000004E-2</v>
      </c>
      <c r="M369" s="174">
        <v>1.9E-2</v>
      </c>
      <c r="N369" s="174">
        <v>2.3E-2</v>
      </c>
      <c r="O369" s="174">
        <v>3.2000000000000001E-2</v>
      </c>
      <c r="P369" s="174">
        <v>3.4000000000000002E-2</v>
      </c>
    </row>
    <row r="372" spans="1:17">
      <c r="A372" s="154">
        <v>4</v>
      </c>
      <c r="B372" s="162" t="s">
        <v>126</v>
      </c>
      <c r="C372" s="162"/>
      <c r="D372" s="162"/>
      <c r="E372" s="162"/>
      <c r="F372" s="162"/>
      <c r="G372" s="162"/>
      <c r="H372" s="162"/>
      <c r="I372" s="162"/>
      <c r="J372" s="163"/>
      <c r="K372" s="162"/>
      <c r="L372" s="162"/>
      <c r="M372" s="162"/>
      <c r="N372" s="162"/>
      <c r="O372" s="162"/>
      <c r="P372" s="162"/>
      <c r="Q372" s="162"/>
    </row>
    <row r="374" spans="1:17">
      <c r="B374" s="196" t="s">
        <v>126</v>
      </c>
      <c r="C374" s="196"/>
      <c r="D374" s="196"/>
      <c r="E374" s="196"/>
      <c r="F374" s="196"/>
      <c r="G374" s="196"/>
      <c r="H374" s="196"/>
      <c r="I374" s="197"/>
      <c r="J374" s="198"/>
      <c r="K374" s="196"/>
      <c r="L374" s="196"/>
      <c r="M374" s="196"/>
      <c r="N374" s="196"/>
      <c r="O374" s="196"/>
      <c r="P374" s="196"/>
      <c r="Q374" s="196"/>
    </row>
    <row r="375" spans="1:17">
      <c r="B375" s="168" t="s">
        <v>75</v>
      </c>
      <c r="E375" s="154">
        <f>E398</f>
        <v>134367.72861599998</v>
      </c>
      <c r="F375" s="154">
        <f t="shared" ref="F375:P375" si="230">F398</f>
        <v>175045.043019</v>
      </c>
      <c r="G375" s="154">
        <f t="shared" si="230"/>
        <v>190197.63831100002</v>
      </c>
      <c r="H375" s="154">
        <f t="shared" si="230"/>
        <v>200748.660971</v>
      </c>
      <c r="I375" s="221">
        <f t="shared" si="230"/>
        <v>160207.81375299999</v>
      </c>
      <c r="J375" s="166">
        <f t="shared" si="230"/>
        <v>54434.07122311015</v>
      </c>
      <c r="K375" s="154">
        <f t="shared" si="230"/>
        <v>214641.88497611013</v>
      </c>
      <c r="L375" s="154">
        <f t="shared" si="230"/>
        <v>214457.59396886197</v>
      </c>
      <c r="M375" s="154">
        <f t="shared" si="230"/>
        <v>221572.81779726181</v>
      </c>
      <c r="N375" s="154">
        <f t="shared" si="230"/>
        <v>228971.21164777625</v>
      </c>
      <c r="O375" s="154">
        <f t="shared" si="230"/>
        <v>236586.59668821504</v>
      </c>
      <c r="P375" s="154">
        <f t="shared" si="230"/>
        <v>243757.60677270225</v>
      </c>
    </row>
    <row r="376" spans="1:17">
      <c r="B376" s="170" t="s">
        <v>456</v>
      </c>
      <c r="E376" s="174">
        <f t="shared" ref="E376:P376" si="231">E375/E48</f>
        <v>0.24903734275654185</v>
      </c>
      <c r="F376" s="174">
        <f t="shared" si="231"/>
        <v>0.26756672734388548</v>
      </c>
      <c r="G376" s="174">
        <f t="shared" si="231"/>
        <v>0.28760496075209813</v>
      </c>
      <c r="H376" s="174">
        <f t="shared" si="231"/>
        <v>0.2945919713579167</v>
      </c>
      <c r="I376" s="270">
        <f t="shared" si="231"/>
        <v>0.29993768070900267</v>
      </c>
      <c r="J376" s="194">
        <f t="shared" si="231"/>
        <v>0.29143000206864067</v>
      </c>
      <c r="K376" s="174">
        <f t="shared" si="231"/>
        <v>0.29773343114520445</v>
      </c>
      <c r="L376" s="174">
        <f t="shared" si="231"/>
        <v>0.2854936435106778</v>
      </c>
      <c r="M376" s="174">
        <f t="shared" si="231"/>
        <v>0.28258755033860045</v>
      </c>
      <c r="N376" s="174">
        <f t="shared" si="231"/>
        <v>0.28039087827163478</v>
      </c>
      <c r="O376" s="174">
        <f t="shared" si="231"/>
        <v>0.27861237845343639</v>
      </c>
      <c r="P376" s="174">
        <f t="shared" si="231"/>
        <v>0.27648794524252018</v>
      </c>
    </row>
    <row r="377" spans="1:17">
      <c r="B377" s="168" t="s">
        <v>53</v>
      </c>
      <c r="E377" s="154">
        <f>E415</f>
        <v>3738.4375429999996</v>
      </c>
      <c r="F377" s="154">
        <f t="shared" ref="F377:P377" si="232">F415</f>
        <v>2022.5332819999999</v>
      </c>
      <c r="G377" s="154">
        <f t="shared" si="232"/>
        <v>4172.2158369999997</v>
      </c>
      <c r="H377" s="154">
        <f t="shared" si="232"/>
        <v>2444.778503</v>
      </c>
      <c r="I377" s="221">
        <f t="shared" si="232"/>
        <v>2088.892077</v>
      </c>
      <c r="J377" s="166">
        <f t="shared" si="232"/>
        <v>696.29735900000014</v>
      </c>
      <c r="K377" s="154">
        <f t="shared" si="232"/>
        <v>2785.1894360000001</v>
      </c>
      <c r="L377" s="154">
        <f t="shared" si="232"/>
        <v>2780.8376443871384</v>
      </c>
      <c r="M377" s="154">
        <f t="shared" si="232"/>
        <v>2882.3900323333637</v>
      </c>
      <c r="N377" s="154">
        <f t="shared" si="232"/>
        <v>2999.3787507649249</v>
      </c>
      <c r="O377" s="154">
        <f t="shared" si="232"/>
        <v>3148.5742333783323</v>
      </c>
      <c r="P377" s="154">
        <f t="shared" si="232"/>
        <v>3311.5964257756527</v>
      </c>
    </row>
    <row r="378" spans="1:17">
      <c r="B378" s="170" t="s">
        <v>456</v>
      </c>
      <c r="E378" s="174">
        <f t="shared" ref="E378:P378" si="233">E377/E52</f>
        <v>1.9752744425257717E-2</v>
      </c>
      <c r="F378" s="174">
        <f t="shared" si="233"/>
        <v>1.0086574436552734E-2</v>
      </c>
      <c r="G378" s="174">
        <f t="shared" si="233"/>
        <v>1.875578037236364E-2</v>
      </c>
      <c r="H378" s="174">
        <f t="shared" si="233"/>
        <v>1.0214061500144093E-2</v>
      </c>
      <c r="I378" s="270">
        <f t="shared" si="233"/>
        <v>1.0794355134717892E-2</v>
      </c>
      <c r="J378" s="194">
        <f t="shared" si="233"/>
        <v>1.0794355134717892E-2</v>
      </c>
      <c r="K378" s="174">
        <f t="shared" si="233"/>
        <v>1.0794355134717892E-2</v>
      </c>
      <c r="L378" s="174">
        <f t="shared" si="233"/>
        <v>1.0214061500144093E-2</v>
      </c>
      <c r="M378" s="174">
        <f t="shared" si="233"/>
        <v>1.0214061500144093E-2</v>
      </c>
      <c r="N378" s="174">
        <f t="shared" si="233"/>
        <v>1.0214061500144093E-2</v>
      </c>
      <c r="O378" s="174">
        <f t="shared" si="233"/>
        <v>1.0214061500144093E-2</v>
      </c>
      <c r="P378" s="174">
        <f t="shared" si="233"/>
        <v>1.0214061500144093E-2</v>
      </c>
    </row>
    <row r="379" spans="1:17">
      <c r="B379" s="165" t="s">
        <v>460</v>
      </c>
      <c r="C379" s="165"/>
      <c r="D379" s="165"/>
      <c r="E379" s="165">
        <f>SUM(E375,E377)</f>
        <v>138106.16615899999</v>
      </c>
      <c r="F379" s="165">
        <f t="shared" ref="F379:P379" si="234">SUM(F375,F377)</f>
        <v>177067.57630099999</v>
      </c>
      <c r="G379" s="165">
        <f t="shared" si="234"/>
        <v>194369.85414800001</v>
      </c>
      <c r="H379" s="165">
        <f t="shared" si="234"/>
        <v>203193.43947400001</v>
      </c>
      <c r="I379" s="271">
        <f t="shared" si="234"/>
        <v>162296.70582999999</v>
      </c>
      <c r="J379" s="167">
        <f t="shared" si="234"/>
        <v>55130.368582110154</v>
      </c>
      <c r="K379" s="165">
        <f t="shared" si="234"/>
        <v>217427.07441211012</v>
      </c>
      <c r="L379" s="165">
        <f t="shared" si="234"/>
        <v>217238.43161324912</v>
      </c>
      <c r="M379" s="165">
        <f t="shared" si="234"/>
        <v>224455.20782959517</v>
      </c>
      <c r="N379" s="165">
        <f t="shared" si="234"/>
        <v>231970.59039854119</v>
      </c>
      <c r="O379" s="165">
        <f t="shared" si="234"/>
        <v>239735.17092159338</v>
      </c>
      <c r="P379" s="165">
        <f t="shared" si="234"/>
        <v>247069.20319847789</v>
      </c>
      <c r="Q379" s="165"/>
    </row>
    <row r="380" spans="1:17" ht="13.8" thickBot="1">
      <c r="B380" s="272" t="s">
        <v>212</v>
      </c>
      <c r="C380" s="273"/>
      <c r="D380" s="273"/>
      <c r="E380" s="274">
        <f t="shared" ref="E380:P380" si="235">E379/E53</f>
        <v>0.18949538231639551</v>
      </c>
      <c r="F380" s="274">
        <f t="shared" si="235"/>
        <v>0.20716244565845357</v>
      </c>
      <c r="G380" s="274">
        <f t="shared" si="235"/>
        <v>0.21993382516680082</v>
      </c>
      <c r="H380" s="274">
        <f t="shared" si="235"/>
        <v>0.22067038496504274</v>
      </c>
      <c r="I380" s="275">
        <f t="shared" si="235"/>
        <v>0.22304101617912653</v>
      </c>
      <c r="J380" s="276">
        <f t="shared" si="235"/>
        <v>0.21939086208124942</v>
      </c>
      <c r="K380" s="274">
        <f t="shared" si="235"/>
        <v>0.22210404462578726</v>
      </c>
      <c r="L380" s="274">
        <f t="shared" si="235"/>
        <v>0.21226350718540507</v>
      </c>
      <c r="M380" s="274">
        <f t="shared" si="235"/>
        <v>0.21050231724315047</v>
      </c>
      <c r="N380" s="274">
        <f t="shared" si="235"/>
        <v>0.2089323970507331</v>
      </c>
      <c r="O380" s="274">
        <f t="shared" si="235"/>
        <v>0.20712908048099959</v>
      </c>
      <c r="P380" s="274">
        <f t="shared" si="235"/>
        <v>0.20489377514967463</v>
      </c>
      <c r="Q380" s="277"/>
    </row>
    <row r="381" spans="1:17">
      <c r="B381" s="171"/>
      <c r="C381" s="171"/>
      <c r="D381" s="171"/>
      <c r="E381" s="171"/>
      <c r="F381" s="171"/>
      <c r="G381" s="171"/>
      <c r="H381" s="171"/>
      <c r="I381" s="278"/>
      <c r="J381" s="172"/>
      <c r="K381" s="171"/>
      <c r="L381" s="171"/>
      <c r="M381" s="171"/>
      <c r="N381" s="171"/>
      <c r="O381" s="171"/>
      <c r="P381" s="171"/>
      <c r="Q381" s="171"/>
    </row>
    <row r="382" spans="1:17">
      <c r="B382" s="154" t="s">
        <v>337</v>
      </c>
      <c r="I382" s="221"/>
    </row>
    <row r="383" spans="1:17">
      <c r="B383" s="168" t="s">
        <v>75</v>
      </c>
      <c r="I383" s="221"/>
      <c r="J383" s="166">
        <f>J435</f>
        <v>1360.8517805777537</v>
      </c>
      <c r="K383" s="154">
        <f t="shared" ref="K383:K388" si="236">SUM(I383:J383)</f>
        <v>1360.8517805777537</v>
      </c>
      <c r="L383" s="154">
        <f t="shared" ref="L383:P383" si="237">L435</f>
        <v>32332.573641508228</v>
      </c>
      <c r="M383" s="154">
        <f t="shared" si="237"/>
        <v>75935.614818120608</v>
      </c>
      <c r="N383" s="154">
        <f t="shared" si="237"/>
        <v>120990.01776262441</v>
      </c>
      <c r="O383" s="154">
        <f t="shared" si="237"/>
        <v>167545.79859622353</v>
      </c>
      <c r="P383" s="154">
        <f t="shared" si="237"/>
        <v>214219.36716173752</v>
      </c>
    </row>
    <row r="384" spans="1:17">
      <c r="B384" s="170" t="s">
        <v>461</v>
      </c>
      <c r="C384" s="267">
        <v>1</v>
      </c>
      <c r="I384" s="221"/>
      <c r="J384" s="166">
        <f>J$383*$C384</f>
        <v>1360.8517805777537</v>
      </c>
      <c r="K384" s="154">
        <f t="shared" si="236"/>
        <v>1360.8517805777537</v>
      </c>
      <c r="L384" s="154">
        <f t="shared" ref="L384:P385" si="238">L$383*$C384</f>
        <v>32332.573641508228</v>
      </c>
      <c r="M384" s="154">
        <f t="shared" si="238"/>
        <v>75935.614818120608</v>
      </c>
      <c r="N384" s="154">
        <f t="shared" si="238"/>
        <v>120990.01776262441</v>
      </c>
      <c r="O384" s="154">
        <f t="shared" si="238"/>
        <v>167545.79859622353</v>
      </c>
      <c r="P384" s="154">
        <f t="shared" si="238"/>
        <v>214219.36716173752</v>
      </c>
    </row>
    <row r="385" spans="2:17">
      <c r="B385" s="170" t="s">
        <v>434</v>
      </c>
      <c r="C385" s="174">
        <f>1-C384</f>
        <v>0</v>
      </c>
      <c r="I385" s="221"/>
      <c r="J385" s="166">
        <f>J$383*$C385</f>
        <v>0</v>
      </c>
      <c r="K385" s="154">
        <f t="shared" si="236"/>
        <v>0</v>
      </c>
      <c r="L385" s="154">
        <f t="shared" si="238"/>
        <v>0</v>
      </c>
      <c r="M385" s="154">
        <f t="shared" si="238"/>
        <v>0</v>
      </c>
      <c r="N385" s="154">
        <f t="shared" si="238"/>
        <v>0</v>
      </c>
      <c r="O385" s="154">
        <f t="shared" si="238"/>
        <v>0</v>
      </c>
      <c r="P385" s="154">
        <f t="shared" si="238"/>
        <v>0</v>
      </c>
    </row>
    <row r="386" spans="2:17">
      <c r="B386" s="168" t="s">
        <v>53</v>
      </c>
      <c r="I386" s="221"/>
      <c r="J386" s="166">
        <f>J445</f>
        <v>17.407433975000004</v>
      </c>
      <c r="K386" s="154">
        <f t="shared" si="236"/>
        <v>17.407433975000004</v>
      </c>
      <c r="L386" s="154">
        <f t="shared" ref="L386:P386" si="239">L445</f>
        <v>417.34323623871387</v>
      </c>
      <c r="M386" s="154">
        <f t="shared" si="239"/>
        <v>983.66600391076406</v>
      </c>
      <c r="N386" s="154">
        <f t="shared" si="239"/>
        <v>1571.8428822205929</v>
      </c>
      <c r="O386" s="154">
        <f t="shared" si="239"/>
        <v>2186.6381806349186</v>
      </c>
      <c r="P386" s="154">
        <f t="shared" si="239"/>
        <v>2815.2478125753169</v>
      </c>
    </row>
    <row r="387" spans="2:17">
      <c r="B387" s="170" t="s">
        <v>461</v>
      </c>
      <c r="C387" s="267">
        <v>1</v>
      </c>
      <c r="I387" s="221"/>
      <c r="J387" s="166">
        <f>J$386*$C387</f>
        <v>17.407433975000004</v>
      </c>
      <c r="K387" s="154">
        <f t="shared" si="236"/>
        <v>17.407433975000004</v>
      </c>
      <c r="L387" s="154">
        <f t="shared" ref="L387:P388" si="240">L$386*$C387</f>
        <v>417.34323623871387</v>
      </c>
      <c r="M387" s="154">
        <f t="shared" si="240"/>
        <v>983.66600391076406</v>
      </c>
      <c r="N387" s="154">
        <f t="shared" si="240"/>
        <v>1571.8428822205929</v>
      </c>
      <c r="O387" s="154">
        <f t="shared" si="240"/>
        <v>2186.6381806349186</v>
      </c>
      <c r="P387" s="154">
        <f t="shared" si="240"/>
        <v>2815.2478125753169</v>
      </c>
    </row>
    <row r="388" spans="2:17">
      <c r="B388" s="170" t="s">
        <v>434</v>
      </c>
      <c r="C388" s="174">
        <f>1-C387</f>
        <v>0</v>
      </c>
      <c r="I388" s="221"/>
      <c r="J388" s="166">
        <f t="shared" ref="J388" si="241">J$386*$C388</f>
        <v>0</v>
      </c>
      <c r="K388" s="154">
        <f t="shared" si="236"/>
        <v>0</v>
      </c>
      <c r="L388" s="154">
        <f t="shared" si="240"/>
        <v>0</v>
      </c>
      <c r="M388" s="154">
        <f t="shared" si="240"/>
        <v>0</v>
      </c>
      <c r="N388" s="154">
        <f t="shared" si="240"/>
        <v>0</v>
      </c>
      <c r="O388" s="154">
        <f t="shared" si="240"/>
        <v>0</v>
      </c>
      <c r="P388" s="154">
        <f t="shared" si="240"/>
        <v>0</v>
      </c>
    </row>
    <row r="389" spans="2:17" ht="13.8" thickBot="1">
      <c r="B389" s="175" t="s">
        <v>462</v>
      </c>
      <c r="C389" s="175"/>
      <c r="D389" s="175"/>
      <c r="E389" s="175">
        <f t="shared" ref="E389:J389" si="242">SUM(E383,E386)</f>
        <v>0</v>
      </c>
      <c r="F389" s="175">
        <f t="shared" si="242"/>
        <v>0</v>
      </c>
      <c r="G389" s="175">
        <f t="shared" si="242"/>
        <v>0</v>
      </c>
      <c r="H389" s="175"/>
      <c r="I389" s="200">
        <f t="shared" si="242"/>
        <v>0</v>
      </c>
      <c r="J389" s="176">
        <f t="shared" si="242"/>
        <v>1378.2592145527537</v>
      </c>
      <c r="K389" s="175">
        <f>SUM(K383,K386)</f>
        <v>1378.2592145527537</v>
      </c>
      <c r="L389" s="175">
        <f t="shared" ref="L389:P389" si="243">SUM(L383,L386)</f>
        <v>32749.916877746942</v>
      </c>
      <c r="M389" s="175">
        <f t="shared" si="243"/>
        <v>76919.280822031375</v>
      </c>
      <c r="N389" s="175">
        <f t="shared" si="243"/>
        <v>122561.860644845</v>
      </c>
      <c r="O389" s="175">
        <f t="shared" si="243"/>
        <v>169732.43677685843</v>
      </c>
      <c r="P389" s="175">
        <f t="shared" si="243"/>
        <v>217034.61497431283</v>
      </c>
      <c r="Q389" s="175"/>
    </row>
    <row r="390" spans="2:17">
      <c r="B390" s="168"/>
      <c r="C390" s="174"/>
    </row>
    <row r="391" spans="2:17">
      <c r="B391" s="168"/>
      <c r="C391" s="174" t="s">
        <v>94</v>
      </c>
      <c r="E391" s="154">
        <f>총괄PL!E135</f>
        <v>9960.3545740000009</v>
      </c>
      <c r="F391" s="154">
        <f>총괄PL!F135</f>
        <v>5556.7149429999999</v>
      </c>
      <c r="G391" s="154">
        <f>총괄PL!G135</f>
        <v>6030.7081150000004</v>
      </c>
      <c r="I391" s="154">
        <f>총괄PL!H135</f>
        <v>9932.4838450000007</v>
      </c>
    </row>
    <row r="392" spans="2:17">
      <c r="B392" s="168"/>
      <c r="C392" s="279" t="s">
        <v>463</v>
      </c>
      <c r="E392" s="154">
        <v>167099.27277499999</v>
      </c>
      <c r="F392" s="154">
        <v>223867.062458</v>
      </c>
    </row>
    <row r="393" spans="2:17">
      <c r="B393" s="168"/>
      <c r="C393" s="279" t="s">
        <v>464</v>
      </c>
      <c r="E393" s="154">
        <f>E391-E392</f>
        <v>-157138.91820099999</v>
      </c>
      <c r="F393" s="154">
        <f>F391-F392</f>
        <v>-218310.347515</v>
      </c>
    </row>
    <row r="394" spans="2:17">
      <c r="B394" s="168"/>
      <c r="C394" s="174"/>
    </row>
    <row r="396" spans="2:17">
      <c r="B396" s="171" t="s">
        <v>465</v>
      </c>
      <c r="I396" s="266"/>
    </row>
    <row r="397" spans="2:17">
      <c r="I397" s="266"/>
      <c r="J397" s="280"/>
    </row>
    <row r="398" spans="2:17" ht="15.6">
      <c r="B398" s="196" t="s">
        <v>466</v>
      </c>
      <c r="C398" s="196"/>
      <c r="D398" s="196"/>
      <c r="E398" s="281">
        <v>134367.72861599998</v>
      </c>
      <c r="F398" s="196">
        <f t="shared" ref="F398:P398" si="244">SUM(F399,F400)</f>
        <v>175045.043019</v>
      </c>
      <c r="G398" s="196">
        <f t="shared" si="244"/>
        <v>190197.63831100002</v>
      </c>
      <c r="H398" s="196">
        <f t="shared" si="244"/>
        <v>200748.660971</v>
      </c>
      <c r="I398" s="196">
        <f t="shared" si="244"/>
        <v>160207.81375299999</v>
      </c>
      <c r="J398" s="196">
        <f t="shared" si="244"/>
        <v>54434.07122311015</v>
      </c>
      <c r="K398" s="196">
        <f t="shared" si="244"/>
        <v>214641.88497611013</v>
      </c>
      <c r="L398" s="196">
        <f t="shared" si="244"/>
        <v>214457.59396886197</v>
      </c>
      <c r="M398" s="196">
        <f t="shared" si="244"/>
        <v>221572.81779726181</v>
      </c>
      <c r="N398" s="196">
        <f t="shared" si="244"/>
        <v>228971.21164777625</v>
      </c>
      <c r="O398" s="196">
        <f t="shared" si="244"/>
        <v>236586.59668821504</v>
      </c>
      <c r="P398" s="196">
        <f t="shared" si="244"/>
        <v>243757.60677270225</v>
      </c>
      <c r="Q398" s="196"/>
    </row>
    <row r="399" spans="2:17" ht="15.6">
      <c r="B399" s="168" t="s">
        <v>467</v>
      </c>
      <c r="E399" s="9">
        <v>43931.846581999998</v>
      </c>
      <c r="F399" s="154">
        <f>F403</f>
        <v>79638.917586999989</v>
      </c>
      <c r="G399" s="154">
        <f t="shared" ref="G399:P399" si="245">G403</f>
        <v>94203.832551</v>
      </c>
      <c r="H399" s="154">
        <f t="shared" si="245"/>
        <v>91352.670067999992</v>
      </c>
      <c r="I399" s="154">
        <f t="shared" si="245"/>
        <v>72655.366787999999</v>
      </c>
      <c r="J399" s="154">
        <f t="shared" si="245"/>
        <v>25250.242573146956</v>
      </c>
      <c r="K399" s="154">
        <f t="shared" si="245"/>
        <v>97905.609361146955</v>
      </c>
      <c r="L399" s="154">
        <f t="shared" si="245"/>
        <v>100519.21852461866</v>
      </c>
      <c r="M399" s="154">
        <f t="shared" si="245"/>
        <v>104998.69464565259</v>
      </c>
      <c r="N399" s="154">
        <f t="shared" si="245"/>
        <v>109425.1131870643</v>
      </c>
      <c r="O399" s="154">
        <f t="shared" si="245"/>
        <v>113852.60800908747</v>
      </c>
      <c r="P399" s="154">
        <f t="shared" si="245"/>
        <v>118282.87930498899</v>
      </c>
    </row>
    <row r="400" spans="2:17">
      <c r="B400" s="248" t="s">
        <v>468</v>
      </c>
      <c r="C400" s="177"/>
      <c r="D400" s="177"/>
      <c r="E400" s="177">
        <v>90435.882033999995</v>
      </c>
      <c r="F400" s="177">
        <f>F408</f>
        <v>95406.125432000015</v>
      </c>
      <c r="G400" s="177">
        <f t="shared" ref="G400:P400" si="246">G408</f>
        <v>95993.805760000017</v>
      </c>
      <c r="H400" s="177">
        <f t="shared" si="246"/>
        <v>109395.99090300001</v>
      </c>
      <c r="I400" s="177">
        <f t="shared" si="246"/>
        <v>87552.446964999996</v>
      </c>
      <c r="J400" s="177">
        <f t="shared" si="246"/>
        <v>29183.828649963194</v>
      </c>
      <c r="K400" s="177">
        <f t="shared" si="246"/>
        <v>116736.27561496319</v>
      </c>
      <c r="L400" s="177">
        <f t="shared" si="246"/>
        <v>113938.37544424331</v>
      </c>
      <c r="M400" s="177">
        <f t="shared" si="246"/>
        <v>116574.12315160921</v>
      </c>
      <c r="N400" s="177">
        <f t="shared" si="246"/>
        <v>119546.09846071195</v>
      </c>
      <c r="O400" s="177">
        <f t="shared" si="246"/>
        <v>122733.98867912756</v>
      </c>
      <c r="P400" s="177">
        <f t="shared" si="246"/>
        <v>125474.72746771327</v>
      </c>
      <c r="Q400" s="177"/>
    </row>
    <row r="401" spans="2:17">
      <c r="E401" s="174">
        <f>E398/E9</f>
        <v>0.24903734275654185</v>
      </c>
      <c r="F401" s="174">
        <f>F398/F9</f>
        <v>0.26756672734388548</v>
      </c>
      <c r="G401" s="174">
        <f>G398/G9</f>
        <v>0.28760496075209813</v>
      </c>
      <c r="H401" s="174"/>
      <c r="I401" s="174">
        <f t="shared" ref="I401:P401" si="247">I398/I9</f>
        <v>0.29993768070900267</v>
      </c>
      <c r="J401" s="194">
        <f t="shared" si="247"/>
        <v>0.29143000206864067</v>
      </c>
      <c r="K401" s="174">
        <f t="shared" si="247"/>
        <v>0.29773343114520445</v>
      </c>
      <c r="L401" s="174">
        <f t="shared" si="247"/>
        <v>0.2854936435106778</v>
      </c>
      <c r="M401" s="174">
        <f t="shared" si="247"/>
        <v>0.28258755033860045</v>
      </c>
      <c r="N401" s="174">
        <f t="shared" si="247"/>
        <v>0.28039087827163478</v>
      </c>
      <c r="O401" s="174">
        <f t="shared" si="247"/>
        <v>0.27861237845343639</v>
      </c>
      <c r="P401" s="174">
        <f t="shared" si="247"/>
        <v>0.27648794524252018</v>
      </c>
    </row>
    <row r="403" spans="2:17">
      <c r="B403" s="154" t="s">
        <v>469</v>
      </c>
      <c r="E403" s="171">
        <v>43931.846581999998</v>
      </c>
      <c r="F403" s="171">
        <v>79638.917586999989</v>
      </c>
      <c r="G403" s="171">
        <v>94203.832551</v>
      </c>
      <c r="H403" s="171">
        <v>91352.670067999992</v>
      </c>
      <c r="I403" s="171">
        <v>72655.366787999999</v>
      </c>
      <c r="J403" s="171">
        <f t="shared" ref="J403:P403" si="248">J59*J405</f>
        <v>25250.242573146956</v>
      </c>
      <c r="K403" s="171">
        <f>I403+J403</f>
        <v>97905.609361146955</v>
      </c>
      <c r="L403" s="171">
        <f t="shared" si="248"/>
        <v>100519.21852461866</v>
      </c>
      <c r="M403" s="171">
        <f t="shared" si="248"/>
        <v>104998.69464565259</v>
      </c>
      <c r="N403" s="171">
        <f t="shared" si="248"/>
        <v>109425.1131870643</v>
      </c>
      <c r="O403" s="171">
        <f t="shared" si="248"/>
        <v>113852.60800908747</v>
      </c>
      <c r="P403" s="171">
        <f t="shared" si="248"/>
        <v>118282.87930498899</v>
      </c>
    </row>
    <row r="404" spans="2:17">
      <c r="C404" s="154" t="s">
        <v>178</v>
      </c>
      <c r="F404" s="174">
        <f>F403/E403-1</f>
        <v>0.81278329465053933</v>
      </c>
      <c r="G404" s="174">
        <f>G403/F403-1</f>
        <v>0.18288690260121698</v>
      </c>
      <c r="H404" s="174">
        <f>H403/G403-1</f>
        <v>-3.026588627863358E-2</v>
      </c>
      <c r="K404" s="174">
        <f>K403/G403-1</f>
        <v>3.9295394995133348E-2</v>
      </c>
      <c r="L404" s="174">
        <f t="shared" ref="L404:P404" si="249">L403/K403-1</f>
        <v>2.669519326345049E-2</v>
      </c>
      <c r="M404" s="174">
        <f t="shared" si="249"/>
        <v>4.456337988677106E-2</v>
      </c>
      <c r="N404" s="174">
        <f t="shared" si="249"/>
        <v>4.2156891153265263E-2</v>
      </c>
      <c r="O404" s="174">
        <f t="shared" si="249"/>
        <v>4.0461414140411156E-2</v>
      </c>
      <c r="P404" s="174">
        <f t="shared" si="249"/>
        <v>3.8912339149472119E-2</v>
      </c>
    </row>
    <row r="405" spans="2:17">
      <c r="C405" s="154" t="s">
        <v>470</v>
      </c>
      <c r="D405" s="174">
        <f>AVERAGE(F405:I405)</f>
        <v>0.13587891088369464</v>
      </c>
      <c r="E405" s="174">
        <f>E403/E59</f>
        <v>8.2358032988849528E-2</v>
      </c>
      <c r="F405" s="174">
        <f>F403/F59</f>
        <v>0.12559143838095524</v>
      </c>
      <c r="G405" s="174">
        <f>G403/G59</f>
        <v>0.14504948331171294</v>
      </c>
      <c r="H405" s="174">
        <f>H403/H59</f>
        <v>0.13509372001591205</v>
      </c>
      <c r="I405" s="174">
        <f>I403/I59</f>
        <v>0.13778100182619829</v>
      </c>
      <c r="J405" s="174">
        <f>I405</f>
        <v>0.13778100182619829</v>
      </c>
      <c r="K405" s="282">
        <f>J405</f>
        <v>0.13778100182619829</v>
      </c>
      <c r="L405" s="282">
        <f>H405</f>
        <v>0.13509372001591205</v>
      </c>
      <c r="M405" s="282">
        <f t="shared" ref="M405:P405" si="250">L405</f>
        <v>0.13509372001591205</v>
      </c>
      <c r="N405" s="282">
        <f t="shared" si="250"/>
        <v>0.13509372001591205</v>
      </c>
      <c r="O405" s="282">
        <f t="shared" si="250"/>
        <v>0.13509372001591205</v>
      </c>
      <c r="P405" s="282">
        <f t="shared" si="250"/>
        <v>0.13509372001591205</v>
      </c>
    </row>
    <row r="407" spans="2:17">
      <c r="E407" s="154">
        <v>1000</v>
      </c>
    </row>
    <row r="408" spans="2:17">
      <c r="B408" s="154" t="s">
        <v>468</v>
      </c>
      <c r="E408" s="171">
        <v>90435.882033999995</v>
      </c>
      <c r="F408" s="171">
        <v>95406.125432000015</v>
      </c>
      <c r="G408" s="171">
        <v>95993.805760000017</v>
      </c>
      <c r="H408" s="171">
        <v>109395.99090300001</v>
      </c>
      <c r="I408" s="171">
        <v>87552.446964999996</v>
      </c>
      <c r="J408" s="171">
        <f>J409*J410</f>
        <v>29183.828649963194</v>
      </c>
      <c r="K408" s="171">
        <f>I408+J408</f>
        <v>116736.27561496319</v>
      </c>
      <c r="L408" s="171">
        <f t="shared" ref="L408:P408" si="251">L409*L410</f>
        <v>113938.37544424331</v>
      </c>
      <c r="M408" s="171">
        <f t="shared" si="251"/>
        <v>116574.12315160921</v>
      </c>
      <c r="N408" s="171">
        <f t="shared" si="251"/>
        <v>119546.09846071195</v>
      </c>
      <c r="O408" s="171">
        <f t="shared" si="251"/>
        <v>122733.98867912756</v>
      </c>
      <c r="P408" s="171">
        <f t="shared" si="251"/>
        <v>125474.72746771327</v>
      </c>
    </row>
    <row r="409" spans="2:17">
      <c r="C409" s="154" t="s">
        <v>471</v>
      </c>
      <c r="E409" s="195">
        <f t="shared" ref="E409:P409" si="252">(E74*E90+E103*E119)*12</f>
        <v>93603.958200000008</v>
      </c>
      <c r="F409" s="195">
        <f t="shared" si="252"/>
        <v>111622.60701600002</v>
      </c>
      <c r="G409" s="195">
        <f t="shared" si="252"/>
        <v>111122.529708</v>
      </c>
      <c r="H409" s="195">
        <f t="shared" si="252"/>
        <v>114361.20447600001</v>
      </c>
      <c r="I409" s="195">
        <f t="shared" si="252"/>
        <v>86569.594683246469</v>
      </c>
      <c r="J409" s="195">
        <f t="shared" si="252"/>
        <v>28856.214818788529</v>
      </c>
      <c r="K409" s="195">
        <f t="shared" si="252"/>
        <v>115425.809502035</v>
      </c>
      <c r="L409" s="195">
        <f t="shared" si="252"/>
        <v>119109.75662166646</v>
      </c>
      <c r="M409" s="195">
        <f t="shared" si="252"/>
        <v>121865.13440124606</v>
      </c>
      <c r="N409" s="195">
        <f t="shared" si="252"/>
        <v>124972.00032216712</v>
      </c>
      <c r="O409" s="195">
        <f t="shared" si="252"/>
        <v>128304.58099633944</v>
      </c>
      <c r="P409" s="195">
        <f t="shared" si="252"/>
        <v>131169.71514275137</v>
      </c>
    </row>
    <row r="410" spans="2:17">
      <c r="D410" s="283">
        <f>AVERAGE(F410:I410)</f>
        <v>0.92162807748754338</v>
      </c>
      <c r="E410" s="283">
        <f>E408/E409</f>
        <v>0.96615446369019031</v>
      </c>
      <c r="F410" s="283">
        <f>F408/F409</f>
        <v>0.85472045477601566</v>
      </c>
      <c r="G410" s="283">
        <f t="shared" ref="G410:I410" si="253">G408/G409</f>
        <v>0.86385547568297638</v>
      </c>
      <c r="H410" s="283">
        <f t="shared" si="253"/>
        <v>0.95658305982565961</v>
      </c>
      <c r="I410" s="283">
        <f t="shared" si="253"/>
        <v>1.0113533196655216</v>
      </c>
      <c r="J410" s="283">
        <f>I410</f>
        <v>1.0113533196655216</v>
      </c>
      <c r="K410" s="282">
        <f>J410</f>
        <v>1.0113533196655216</v>
      </c>
      <c r="L410" s="282">
        <f>H410</f>
        <v>0.95658305982565961</v>
      </c>
      <c r="M410" s="282">
        <f t="shared" ref="M410:P410" si="254">L410</f>
        <v>0.95658305982565961</v>
      </c>
      <c r="N410" s="282">
        <f t="shared" si="254"/>
        <v>0.95658305982565961</v>
      </c>
      <c r="O410" s="282">
        <f t="shared" si="254"/>
        <v>0.95658305982565961</v>
      </c>
      <c r="P410" s="282">
        <f t="shared" si="254"/>
        <v>0.95658305982565961</v>
      </c>
    </row>
    <row r="411" spans="2:17">
      <c r="K411" s="174"/>
      <c r="L411" s="174"/>
      <c r="M411" s="174"/>
      <c r="N411" s="174"/>
      <c r="O411" s="174"/>
      <c r="P411" s="174"/>
    </row>
    <row r="413" spans="2:17">
      <c r="B413" s="171" t="s">
        <v>472</v>
      </c>
    </row>
    <row r="415" spans="2:17">
      <c r="B415" s="196" t="s">
        <v>473</v>
      </c>
      <c r="C415" s="196"/>
      <c r="D415" s="196"/>
      <c r="E415" s="196">
        <f>SUM(E416:E417)</f>
        <v>3738.4375429999996</v>
      </c>
      <c r="F415" s="196">
        <f t="shared" ref="F415:P415" si="255">SUM(F416:F417)</f>
        <v>2022.5332819999999</v>
      </c>
      <c r="G415" s="196">
        <f t="shared" si="255"/>
        <v>4172.2158369999997</v>
      </c>
      <c r="H415" s="196">
        <f t="shared" si="255"/>
        <v>2444.778503</v>
      </c>
      <c r="I415" s="196">
        <f t="shared" si="255"/>
        <v>2088.892077</v>
      </c>
      <c r="J415" s="196">
        <f t="shared" si="255"/>
        <v>696.29735900000014</v>
      </c>
      <c r="K415" s="196">
        <f t="shared" si="255"/>
        <v>2785.1894360000001</v>
      </c>
      <c r="L415" s="196">
        <f t="shared" si="255"/>
        <v>2780.8376443871384</v>
      </c>
      <c r="M415" s="196">
        <f t="shared" si="255"/>
        <v>2882.3900323333637</v>
      </c>
      <c r="N415" s="196">
        <f t="shared" si="255"/>
        <v>2999.3787507649249</v>
      </c>
      <c r="O415" s="196">
        <f t="shared" si="255"/>
        <v>3148.5742333783323</v>
      </c>
      <c r="P415" s="196">
        <f t="shared" si="255"/>
        <v>3311.5964257756527</v>
      </c>
      <c r="Q415" s="196"/>
    </row>
    <row r="416" spans="2:17">
      <c r="B416" s="168" t="s">
        <v>467</v>
      </c>
      <c r="E416" s="154">
        <f>E420</f>
        <v>3738.4375429999996</v>
      </c>
      <c r="F416" s="154">
        <f t="shared" ref="F416:P416" si="256">F420</f>
        <v>2022.5332819999999</v>
      </c>
      <c r="G416" s="154">
        <f t="shared" si="256"/>
        <v>4172.2158369999997</v>
      </c>
      <c r="H416" s="154">
        <f t="shared" si="256"/>
        <v>2444.778503</v>
      </c>
      <c r="I416" s="154">
        <f t="shared" si="256"/>
        <v>2088.892077</v>
      </c>
      <c r="J416" s="154">
        <f t="shared" si="256"/>
        <v>696.29735900000014</v>
      </c>
      <c r="K416" s="154">
        <f t="shared" si="256"/>
        <v>2785.1894360000001</v>
      </c>
      <c r="L416" s="154">
        <f t="shared" si="256"/>
        <v>2780.8376443871384</v>
      </c>
      <c r="M416" s="154">
        <f t="shared" si="256"/>
        <v>2882.3900323333637</v>
      </c>
      <c r="N416" s="154">
        <f t="shared" si="256"/>
        <v>2999.3787507649249</v>
      </c>
      <c r="O416" s="154">
        <f t="shared" si="256"/>
        <v>3148.5742333783323</v>
      </c>
      <c r="P416" s="154">
        <f t="shared" si="256"/>
        <v>3311.5964257756527</v>
      </c>
    </row>
    <row r="417" spans="2:17">
      <c r="B417" s="248" t="s">
        <v>468</v>
      </c>
      <c r="C417" s="177"/>
      <c r="D417" s="177"/>
      <c r="E417" s="177"/>
      <c r="F417" s="177"/>
      <c r="G417" s="177"/>
      <c r="H417" s="177"/>
      <c r="I417" s="225"/>
      <c r="J417" s="226"/>
      <c r="K417" s="177"/>
      <c r="L417" s="177"/>
      <c r="M417" s="177"/>
      <c r="N417" s="177"/>
      <c r="O417" s="177"/>
      <c r="P417" s="177"/>
      <c r="Q417" s="177"/>
    </row>
    <row r="420" spans="2:17">
      <c r="B420" s="154" t="s">
        <v>469</v>
      </c>
      <c r="E420" s="171">
        <v>3738.4375429999996</v>
      </c>
      <c r="F420" s="171">
        <v>2022.5332819999999</v>
      </c>
      <c r="G420" s="171">
        <v>4172.2158369999997</v>
      </c>
      <c r="H420" s="171">
        <v>2444.778503</v>
      </c>
      <c r="I420" s="171">
        <v>2088.892077</v>
      </c>
      <c r="J420" s="171">
        <f t="shared" ref="J420:P420" si="257">J422*J144</f>
        <v>696.29735900000014</v>
      </c>
      <c r="K420" s="171">
        <f t="shared" si="257"/>
        <v>2785.1894360000001</v>
      </c>
      <c r="L420" s="171">
        <f t="shared" si="257"/>
        <v>2780.8376443871384</v>
      </c>
      <c r="M420" s="171">
        <f t="shared" si="257"/>
        <v>2882.3900323333637</v>
      </c>
      <c r="N420" s="171">
        <f t="shared" si="257"/>
        <v>2999.3787507649249</v>
      </c>
      <c r="O420" s="171">
        <f t="shared" si="257"/>
        <v>3148.5742333783323</v>
      </c>
      <c r="P420" s="171">
        <f t="shared" si="257"/>
        <v>3311.5964257756527</v>
      </c>
    </row>
    <row r="421" spans="2:17">
      <c r="C421" s="154" t="s">
        <v>178</v>
      </c>
      <c r="F421" s="174">
        <f>F420/E420-1</f>
        <v>-0.45898968252470274</v>
      </c>
      <c r="G421" s="174">
        <f>G420/F420-1</f>
        <v>1.0628663439714905</v>
      </c>
      <c r="H421" s="174">
        <f t="shared" ref="H421:I421" si="258">H420/G420-1</f>
        <v>-0.41403354991387509</v>
      </c>
      <c r="I421" s="174">
        <f t="shared" si="258"/>
        <v>-0.14557000790185692</v>
      </c>
      <c r="K421" s="174">
        <f>K420/G420-1</f>
        <v>-0.3324435875775138</v>
      </c>
      <c r="L421" s="174">
        <f t="shared" ref="L421:P421" si="259">L420/K420-1</f>
        <v>-1.5624759869518057E-3</v>
      </c>
      <c r="M421" s="174">
        <f t="shared" si="259"/>
        <v>3.6518632488739211E-2</v>
      </c>
      <c r="N421" s="174">
        <f t="shared" si="259"/>
        <v>4.058740042785125E-2</v>
      </c>
      <c r="O421" s="174">
        <f t="shared" si="259"/>
        <v>4.9742128290853005E-2</v>
      </c>
      <c r="P421" s="174">
        <f t="shared" si="259"/>
        <v>5.1776512260408802E-2</v>
      </c>
    </row>
    <row r="422" spans="2:17">
      <c r="C422" s="154" t="s">
        <v>456</v>
      </c>
      <c r="D422" s="174">
        <f>AVERAGE(F422:I422)</f>
        <v>1.2462692860944591E-2</v>
      </c>
      <c r="E422" s="174">
        <f>E420/E144</f>
        <v>1.9752744425257717E-2</v>
      </c>
      <c r="F422" s="174">
        <f>F420/F144</f>
        <v>1.0086574436552734E-2</v>
      </c>
      <c r="G422" s="174">
        <f>G420/G144</f>
        <v>1.875578037236364E-2</v>
      </c>
      <c r="H422" s="174">
        <f>H420/H144</f>
        <v>1.0214061500144093E-2</v>
      </c>
      <c r="I422" s="174">
        <f>I420/I144</f>
        <v>1.0794355134717892E-2</v>
      </c>
      <c r="J422" s="174">
        <f>I422</f>
        <v>1.0794355134717892E-2</v>
      </c>
      <c r="K422" s="174">
        <f>J422</f>
        <v>1.0794355134717892E-2</v>
      </c>
      <c r="L422" s="174">
        <f>H422</f>
        <v>1.0214061500144093E-2</v>
      </c>
      <c r="M422" s="174">
        <f t="shared" ref="M422:P422" si="260">L422</f>
        <v>1.0214061500144093E-2</v>
      </c>
      <c r="N422" s="174">
        <f t="shared" si="260"/>
        <v>1.0214061500144093E-2</v>
      </c>
      <c r="O422" s="174">
        <f t="shared" si="260"/>
        <v>1.0214061500144093E-2</v>
      </c>
      <c r="P422" s="174">
        <f t="shared" si="260"/>
        <v>1.0214061500144093E-2</v>
      </c>
    </row>
    <row r="426" spans="2:17">
      <c r="B426" s="171" t="s">
        <v>474</v>
      </c>
    </row>
    <row r="428" spans="2:17">
      <c r="B428" s="154" t="s">
        <v>75</v>
      </c>
      <c r="D428" s="154" t="s">
        <v>126</v>
      </c>
      <c r="E428" s="154" t="s">
        <v>475</v>
      </c>
    </row>
    <row r="429" spans="2:17">
      <c r="C429" s="154">
        <v>2022</v>
      </c>
      <c r="D429" s="154">
        <f>J398</f>
        <v>54434.07122311015</v>
      </c>
      <c r="E429" s="154">
        <v>5</v>
      </c>
      <c r="J429" s="166">
        <f>$D429/$E$429/4/2</f>
        <v>1360.8517805777537</v>
      </c>
      <c r="L429" s="154">
        <f>MIN($D429/$E$429,$D429-SUM($J429:J429))</f>
        <v>10886.81424462203</v>
      </c>
      <c r="M429" s="154">
        <f>MIN($D429/$E$429,$D429-SUM($J429:L429))</f>
        <v>10886.81424462203</v>
      </c>
      <c r="N429" s="154">
        <f>MIN($D429/$E$429,$D429-SUM($J429:M429))</f>
        <v>10886.81424462203</v>
      </c>
      <c r="O429" s="154">
        <f>MIN($D429/$E$429,$D429-SUM($J429:N429))</f>
        <v>10886.81424462203</v>
      </c>
      <c r="P429" s="154">
        <f>MIN($D429/$E$429,$D429-SUM($J429:O429))</f>
        <v>9525.962464044278</v>
      </c>
    </row>
    <row r="430" spans="2:17">
      <c r="C430" s="154">
        <f>C429+1</f>
        <v>2023</v>
      </c>
      <c r="D430" s="154">
        <f t="array" ref="D430:D434">TRANSPOSE(L398:P398)</f>
        <v>214457.59396886197</v>
      </c>
      <c r="L430" s="154">
        <f>$D430/$E$429/2</f>
        <v>21445.759396886198</v>
      </c>
      <c r="M430" s="154">
        <f>MIN($D430/$E$429,$D430-SUM($J430:L430))</f>
        <v>42891.518793772397</v>
      </c>
      <c r="N430" s="154">
        <f>MIN($D430/$E$429,$D430-SUM($J430:M430))</f>
        <v>42891.518793772397</v>
      </c>
      <c r="O430" s="154">
        <f>MIN($D430/$E$429,$D430-SUM($J430:N430))</f>
        <v>42891.518793772397</v>
      </c>
      <c r="P430" s="154">
        <f>MIN($D430/$E$429,$D430-SUM($J430:O430))</f>
        <v>42891.518793772397</v>
      </c>
    </row>
    <row r="431" spans="2:17">
      <c r="C431" s="154">
        <f t="shared" ref="C431:C434" si="261">C430+1</f>
        <v>2024</v>
      </c>
      <c r="D431" s="154">
        <v>221572.81779726181</v>
      </c>
      <c r="M431" s="154">
        <f>$D431/$E$429/2</f>
        <v>22157.281779726181</v>
      </c>
      <c r="N431" s="154">
        <f>MIN($D431/$E$429,$D431-SUM($J431:M431))</f>
        <v>44314.563559452363</v>
      </c>
      <c r="O431" s="154">
        <f>MIN($D431/$E$429,$D431-SUM($J431:N431))</f>
        <v>44314.563559452363</v>
      </c>
      <c r="P431" s="154">
        <f>MIN($D431/$E$429,$D431-SUM($J431:O431))</f>
        <v>44314.563559452363</v>
      </c>
    </row>
    <row r="432" spans="2:17">
      <c r="C432" s="154">
        <f t="shared" si="261"/>
        <v>2025</v>
      </c>
      <c r="D432" s="154">
        <v>228971.21164777625</v>
      </c>
      <c r="N432" s="154">
        <f>$D432/$E$429/2</f>
        <v>22897.121164777625</v>
      </c>
      <c r="O432" s="154">
        <f>MIN($D432/$E$429,$D432-SUM($J432:N432))</f>
        <v>45794.242329555251</v>
      </c>
      <c r="P432" s="154">
        <f>MIN($D432/$E$429,$D432-SUM($J432:O432))</f>
        <v>45794.242329555251</v>
      </c>
    </row>
    <row r="433" spans="2:16">
      <c r="C433" s="154">
        <f t="shared" si="261"/>
        <v>2026</v>
      </c>
      <c r="D433" s="154">
        <v>236586.59668821504</v>
      </c>
      <c r="O433" s="154">
        <f>$D433/$E$429/2</f>
        <v>23658.659668821503</v>
      </c>
      <c r="P433" s="154">
        <f>MIN($D433/$E$429,$D433-SUM($J433:O433))</f>
        <v>47317.319337643006</v>
      </c>
    </row>
    <row r="434" spans="2:16">
      <c r="C434" s="154">
        <f t="shared" si="261"/>
        <v>2027</v>
      </c>
      <c r="D434" s="154">
        <v>243757.60677270225</v>
      </c>
      <c r="P434" s="154">
        <f>$D434/$E$429/2</f>
        <v>24375.760677270224</v>
      </c>
    </row>
    <row r="435" spans="2:16" ht="13.8" thickBot="1">
      <c r="J435" s="176">
        <f>SUM(J429:J434)</f>
        <v>1360.8517805777537</v>
      </c>
      <c r="L435" s="175">
        <f>SUM(L429:L434)</f>
        <v>32332.573641508228</v>
      </c>
      <c r="M435" s="175">
        <f>SUM(M429:M434)</f>
        <v>75935.614818120608</v>
      </c>
      <c r="N435" s="175">
        <f>SUM(N429:N434)</f>
        <v>120990.01776262441</v>
      </c>
      <c r="O435" s="175">
        <f>SUM(O429:O434)</f>
        <v>167545.79859622353</v>
      </c>
      <c r="P435" s="175">
        <f>SUM(P429:P434)</f>
        <v>214219.36716173752</v>
      </c>
    </row>
    <row r="438" spans="2:16">
      <c r="B438" s="154" t="s">
        <v>53</v>
      </c>
      <c r="D438" s="154" t="s">
        <v>126</v>
      </c>
      <c r="E438" s="154" t="s">
        <v>475</v>
      </c>
    </row>
    <row r="439" spans="2:16">
      <c r="C439" s="154">
        <v>2022</v>
      </c>
      <c r="D439" s="154">
        <f>J415</f>
        <v>696.29735900000014</v>
      </c>
      <c r="E439" s="154">
        <v>5</v>
      </c>
      <c r="J439" s="166">
        <f>$D439/$E$439/4/2</f>
        <v>17.407433975000004</v>
      </c>
      <c r="L439" s="154">
        <f>MIN($D439/$E$429,$D439-SUM($J439:J439))</f>
        <v>139.25947180000003</v>
      </c>
      <c r="M439" s="154">
        <f>MIN($D439/$E$429,$D439-SUM($J439:L439))</f>
        <v>139.25947180000003</v>
      </c>
      <c r="N439" s="154">
        <f>MIN($D439/$E$429,$D439-SUM($J439:M439))</f>
        <v>139.25947180000003</v>
      </c>
      <c r="O439" s="154">
        <f>MIN($D439/$E$429,$D439-SUM($J439:N439))</f>
        <v>139.25947180000003</v>
      </c>
      <c r="P439" s="154">
        <f>MIN($D439/$E$429,$D439-SUM($J439:O439))</f>
        <v>121.85203782500002</v>
      </c>
    </row>
    <row r="440" spans="2:16">
      <c r="C440" s="154">
        <f t="shared" ref="C440:C444" si="262">C439+1</f>
        <v>2023</v>
      </c>
      <c r="D440" s="154">
        <f t="array" ref="D440:D444">TRANSPOSE(L415:P415)</f>
        <v>2780.8376443871384</v>
      </c>
      <c r="L440" s="154">
        <f>$D440/$E$429/2</f>
        <v>278.08376443871384</v>
      </c>
      <c r="M440" s="154">
        <f>MIN($D440/$E$429,$D440-SUM($J440:L440))</f>
        <v>556.16752887742769</v>
      </c>
      <c r="N440" s="154">
        <f>MIN($D440/$E$429,$D440-SUM($J440:M440))</f>
        <v>556.16752887742769</v>
      </c>
      <c r="O440" s="154">
        <f>MIN($D440/$E$429,$D440-SUM($J440:N440))</f>
        <v>556.16752887742769</v>
      </c>
      <c r="P440" s="154">
        <f>MIN($D440/$E$429,$D440-SUM($J440:O440))</f>
        <v>556.16752887742769</v>
      </c>
    </row>
    <row r="441" spans="2:16">
      <c r="C441" s="154">
        <f t="shared" si="262"/>
        <v>2024</v>
      </c>
      <c r="D441" s="154">
        <v>2882.3900323333637</v>
      </c>
      <c r="M441" s="154">
        <f>$D441/$E$429/2</f>
        <v>288.23900323333635</v>
      </c>
      <c r="N441" s="154">
        <f>MIN($D441/$E$429,$D441-SUM($J441:M441))</f>
        <v>576.4780064666727</v>
      </c>
      <c r="O441" s="154">
        <f>MIN($D441/$E$429,$D441-SUM($J441:N441))</f>
        <v>576.4780064666727</v>
      </c>
      <c r="P441" s="154">
        <f>MIN($D441/$E$429,$D441-SUM($J441:O441))</f>
        <v>576.4780064666727</v>
      </c>
    </row>
    <row r="442" spans="2:16">
      <c r="C442" s="154">
        <f t="shared" si="262"/>
        <v>2025</v>
      </c>
      <c r="D442" s="154">
        <v>2999.3787507649249</v>
      </c>
      <c r="N442" s="154">
        <f>$D442/$E$429/2</f>
        <v>299.9378750764925</v>
      </c>
      <c r="O442" s="154">
        <f>MIN($D442/$E$429,$D442-SUM($J442:N442))</f>
        <v>599.87575015298501</v>
      </c>
      <c r="P442" s="154">
        <f>MIN($D442/$E$429,$D442-SUM($J442:O442))</f>
        <v>599.87575015298501</v>
      </c>
    </row>
    <row r="443" spans="2:16">
      <c r="C443" s="154">
        <f t="shared" si="262"/>
        <v>2026</v>
      </c>
      <c r="D443" s="154">
        <v>3148.5742333783323</v>
      </c>
      <c r="O443" s="154">
        <f>$D443/$E$429/2</f>
        <v>314.85742333783321</v>
      </c>
      <c r="P443" s="154">
        <f>MIN($D443/$E$429,$D443-SUM($J443:O443))</f>
        <v>629.71484667566642</v>
      </c>
    </row>
    <row r="444" spans="2:16">
      <c r="C444" s="154">
        <f t="shared" si="262"/>
        <v>2027</v>
      </c>
      <c r="D444" s="154">
        <v>3311.5964257756527</v>
      </c>
      <c r="P444" s="154">
        <f>$D444/$E$429/2</f>
        <v>331.15964257756525</v>
      </c>
    </row>
    <row r="445" spans="2:16" ht="13.8" thickBot="1">
      <c r="J445" s="176">
        <f>SUM(J439:J444)</f>
        <v>17.407433975000004</v>
      </c>
      <c r="L445" s="175">
        <f>SUM(L439:L444)</f>
        <v>417.34323623871387</v>
      </c>
      <c r="M445" s="175">
        <f>SUM(M439:M444)</f>
        <v>983.66600391076406</v>
      </c>
      <c r="N445" s="175">
        <f>SUM(N439:N444)</f>
        <v>1571.8428822205929</v>
      </c>
      <c r="O445" s="175">
        <f>SUM(O439:O444)</f>
        <v>2186.6381806349186</v>
      </c>
      <c r="P445" s="175">
        <f>SUM(P439:P444)</f>
        <v>2815.2478125753169</v>
      </c>
    </row>
    <row r="451" spans="2:16">
      <c r="B451" s="154" t="s">
        <v>75</v>
      </c>
      <c r="C451" s="154" t="s">
        <v>476</v>
      </c>
      <c r="E451" s="154">
        <f>E48</f>
        <v>539548.51561100001</v>
      </c>
      <c r="F451" s="154">
        <f t="shared" ref="F451:P451" si="263">F48</f>
        <v>654210.80100899993</v>
      </c>
      <c r="G451" s="154">
        <f t="shared" si="263"/>
        <v>661315.56915300002</v>
      </c>
      <c r="H451" s="154">
        <f t="shared" si="263"/>
        <v>681446.47678500018</v>
      </c>
      <c r="I451" s="154">
        <f t="shared" si="263"/>
        <v>534137.00264100009</v>
      </c>
      <c r="J451" s="154">
        <f t="shared" si="263"/>
        <v>186782.66079924491</v>
      </c>
      <c r="K451" s="154">
        <f t="shared" si="263"/>
        <v>720919.66344024497</v>
      </c>
      <c r="L451" s="154">
        <f t="shared" si="263"/>
        <v>751181.67722302023</v>
      </c>
      <c r="M451" s="154">
        <f t="shared" si="263"/>
        <v>784085.56049893249</v>
      </c>
      <c r="N451" s="154">
        <f t="shared" si="263"/>
        <v>816614.33873735147</v>
      </c>
      <c r="O451" s="154">
        <f t="shared" si="263"/>
        <v>849160.39266272227</v>
      </c>
      <c r="P451" s="154">
        <f t="shared" si="263"/>
        <v>881621.10127040558</v>
      </c>
    </row>
    <row r="452" spans="2:16">
      <c r="C452" s="154" t="s">
        <v>477</v>
      </c>
      <c r="E452" s="154">
        <f>E167</f>
        <v>146539.554191</v>
      </c>
      <c r="F452" s="154">
        <f t="shared" ref="F452:P452" si="264">F167</f>
        <v>183446.230767</v>
      </c>
      <c r="G452" s="154">
        <f t="shared" si="264"/>
        <v>188323.74674600002</v>
      </c>
      <c r="H452" s="154">
        <f t="shared" si="264"/>
        <v>195520.81554894126</v>
      </c>
      <c r="I452" s="154">
        <f t="shared" si="264"/>
        <v>156595.88456746715</v>
      </c>
      <c r="J452" s="154">
        <f t="shared" si="264"/>
        <v>53559.47996973346</v>
      </c>
      <c r="K452" s="154">
        <f t="shared" si="264"/>
        <v>210155.3645372006</v>
      </c>
      <c r="L452" s="154">
        <f t="shared" si="264"/>
        <v>251506.90157378948</v>
      </c>
      <c r="M452" s="154">
        <f t="shared" si="264"/>
        <v>301316.77935604868</v>
      </c>
      <c r="N452" s="154">
        <f t="shared" si="264"/>
        <v>352484.51213512733</v>
      </c>
      <c r="O452" s="154">
        <f t="shared" si="264"/>
        <v>406595.60646033066</v>
      </c>
      <c r="P452" s="154">
        <f t="shared" si="264"/>
        <v>460812.76019129844</v>
      </c>
    </row>
    <row r="453" spans="2:16">
      <c r="C453" s="154" t="s">
        <v>478</v>
      </c>
      <c r="E453" s="154">
        <f>E300</f>
        <v>78726.74691300001</v>
      </c>
      <c r="F453" s="154">
        <f t="shared" ref="F453:P453" si="265">F300</f>
        <v>103549.99522</v>
      </c>
      <c r="G453" s="154">
        <f t="shared" si="265"/>
        <v>100708.009693</v>
      </c>
      <c r="H453" s="154">
        <f t="shared" si="265"/>
        <v>105502.86233999999</v>
      </c>
      <c r="I453" s="154">
        <f t="shared" si="265"/>
        <v>81292.853296851987</v>
      </c>
      <c r="J453" s="154">
        <f t="shared" si="265"/>
        <v>27082.015384471204</v>
      </c>
      <c r="K453" s="154">
        <f t="shared" si="265"/>
        <v>108374.86868132319</v>
      </c>
      <c r="L453" s="154">
        <f t="shared" si="265"/>
        <v>112848.58588360033</v>
      </c>
      <c r="M453" s="154">
        <f t="shared" si="265"/>
        <v>115831.33769594235</v>
      </c>
      <c r="N453" s="154">
        <f t="shared" si="265"/>
        <v>119197.36342937741</v>
      </c>
      <c r="O453" s="154">
        <f t="shared" si="265"/>
        <v>123256.41423375875</v>
      </c>
      <c r="P453" s="154">
        <f t="shared" si="265"/>
        <v>127148.93392695324</v>
      </c>
    </row>
    <row r="454" spans="2:16">
      <c r="C454" s="165" t="s">
        <v>479</v>
      </c>
      <c r="D454" s="165"/>
      <c r="E454" s="165">
        <f>E451-E452-E453</f>
        <v>314282.214507</v>
      </c>
      <c r="F454" s="165">
        <f t="shared" ref="F454:P454" si="266">F451-F452-F453</f>
        <v>367214.57502199995</v>
      </c>
      <c r="G454" s="165">
        <f t="shared" si="266"/>
        <v>372283.812714</v>
      </c>
      <c r="H454" s="165">
        <f t="shared" si="266"/>
        <v>380422.79889605893</v>
      </c>
      <c r="I454" s="165">
        <f t="shared" si="266"/>
        <v>296248.26477668097</v>
      </c>
      <c r="J454" s="165">
        <f t="shared" si="266"/>
        <v>106141.16544504026</v>
      </c>
      <c r="K454" s="165">
        <f t="shared" si="266"/>
        <v>402389.43022172118</v>
      </c>
      <c r="L454" s="165">
        <f t="shared" si="266"/>
        <v>386826.18976563041</v>
      </c>
      <c r="M454" s="165">
        <f t="shared" si="266"/>
        <v>366937.44344694144</v>
      </c>
      <c r="N454" s="165">
        <f t="shared" si="266"/>
        <v>344932.46317284671</v>
      </c>
      <c r="O454" s="165">
        <f t="shared" si="266"/>
        <v>319308.37196863285</v>
      </c>
      <c r="P454" s="165">
        <f t="shared" si="266"/>
        <v>293659.4071521539</v>
      </c>
    </row>
    <row r="455" spans="2:16">
      <c r="C455" s="207"/>
      <c r="D455" s="207"/>
      <c r="E455" s="190">
        <f t="shared" ref="E455:P455" si="267">E454/E451</f>
        <v>0.58249111138985887</v>
      </c>
      <c r="F455" s="190">
        <f t="shared" si="267"/>
        <v>0.56130925147618926</v>
      </c>
      <c r="G455" s="190">
        <f t="shared" si="267"/>
        <v>0.56294427362539456</v>
      </c>
      <c r="H455" s="190">
        <f t="shared" si="267"/>
        <v>0.55825778231455181</v>
      </c>
      <c r="I455" s="190">
        <f t="shared" si="267"/>
        <v>0.55462973602634491</v>
      </c>
      <c r="J455" s="190">
        <f t="shared" si="267"/>
        <v>0.56826027100621179</v>
      </c>
      <c r="K455" s="190">
        <f t="shared" si="267"/>
        <v>0.55816126349156536</v>
      </c>
      <c r="L455" s="190">
        <f t="shared" si="267"/>
        <v>0.51495690256404458</v>
      </c>
      <c r="M455" s="190">
        <f t="shared" si="267"/>
        <v>0.46798138102868558</v>
      </c>
      <c r="N455" s="190">
        <f t="shared" si="267"/>
        <v>0.42239334629634478</v>
      </c>
      <c r="O455" s="190">
        <f t="shared" si="267"/>
        <v>0.37602833896594473</v>
      </c>
      <c r="P455" s="190">
        <f t="shared" si="267"/>
        <v>0.33309026602130343</v>
      </c>
    </row>
    <row r="456" spans="2:16">
      <c r="C456" s="154" t="s">
        <v>94</v>
      </c>
      <c r="E456" s="154">
        <f>E383</f>
        <v>0</v>
      </c>
      <c r="F456" s="154">
        <f t="shared" ref="F456:P456" si="268">F383</f>
        <v>0</v>
      </c>
      <c r="G456" s="154">
        <f t="shared" si="268"/>
        <v>0</v>
      </c>
      <c r="H456" s="154">
        <f t="shared" si="268"/>
        <v>0</v>
      </c>
      <c r="I456" s="154">
        <f t="shared" si="268"/>
        <v>0</v>
      </c>
      <c r="J456" s="154">
        <f t="shared" si="268"/>
        <v>1360.8517805777537</v>
      </c>
      <c r="K456" s="154">
        <f t="shared" si="268"/>
        <v>1360.8517805777537</v>
      </c>
      <c r="L456" s="154">
        <f t="shared" si="268"/>
        <v>32332.573641508228</v>
      </c>
      <c r="M456" s="154">
        <f t="shared" si="268"/>
        <v>75935.614818120608</v>
      </c>
      <c r="N456" s="154">
        <f t="shared" si="268"/>
        <v>120990.01776262441</v>
      </c>
      <c r="O456" s="154">
        <f t="shared" si="268"/>
        <v>167545.79859622353</v>
      </c>
      <c r="P456" s="154">
        <f t="shared" si="268"/>
        <v>214219.36716173752</v>
      </c>
    </row>
    <row r="457" spans="2:16">
      <c r="C457" s="165" t="s">
        <v>23</v>
      </c>
      <c r="D457" s="165"/>
      <c r="E457" s="165">
        <f>E454+E456</f>
        <v>314282.214507</v>
      </c>
      <c r="F457" s="165">
        <f t="shared" ref="F457:P457" si="269">F454+F456</f>
        <v>367214.57502199995</v>
      </c>
      <c r="G457" s="165">
        <f t="shared" si="269"/>
        <v>372283.812714</v>
      </c>
      <c r="H457" s="165">
        <f t="shared" si="269"/>
        <v>380422.79889605893</v>
      </c>
      <c r="I457" s="165">
        <f t="shared" si="269"/>
        <v>296248.26477668097</v>
      </c>
      <c r="J457" s="165">
        <f t="shared" si="269"/>
        <v>107502.01722561801</v>
      </c>
      <c r="K457" s="165">
        <f t="shared" si="269"/>
        <v>403750.28200229892</v>
      </c>
      <c r="L457" s="165">
        <f t="shared" si="269"/>
        <v>419158.76340713864</v>
      </c>
      <c r="M457" s="165">
        <f t="shared" si="269"/>
        <v>442873.05826506205</v>
      </c>
      <c r="N457" s="165">
        <f t="shared" si="269"/>
        <v>465922.48093547113</v>
      </c>
      <c r="O457" s="165">
        <f t="shared" si="269"/>
        <v>486854.17056485638</v>
      </c>
      <c r="P457" s="165">
        <f t="shared" si="269"/>
        <v>507878.77431389142</v>
      </c>
    </row>
    <row r="458" spans="2:16">
      <c r="C458" s="207"/>
      <c r="D458" s="207"/>
      <c r="E458" s="207"/>
      <c r="F458" s="207"/>
      <c r="G458" s="207"/>
      <c r="H458" s="207"/>
      <c r="I458" s="207"/>
      <c r="J458" s="208"/>
      <c r="K458" s="190">
        <f>K457/K451</f>
        <v>0.56004892428040243</v>
      </c>
      <c r="L458" s="190">
        <f t="shared" ref="L458:P458" si="270">L457/L451</f>
        <v>0.55799918464024723</v>
      </c>
      <c r="M458" s="190">
        <f t="shared" si="270"/>
        <v>0.56482746345086532</v>
      </c>
      <c r="N458" s="190">
        <f t="shared" si="270"/>
        <v>0.57055388184327027</v>
      </c>
      <c r="O458" s="190">
        <f t="shared" si="270"/>
        <v>0.57333593838287955</v>
      </c>
      <c r="P458" s="190">
        <f t="shared" si="270"/>
        <v>0.57607375048310905</v>
      </c>
    </row>
    <row r="459" spans="2:16">
      <c r="K459" s="154">
        <f>K451-SUM(I451:J451)</f>
        <v>0</v>
      </c>
    </row>
    <row r="460" spans="2:16">
      <c r="K460" s="154">
        <f t="shared" ref="K460:K465" si="271">K452-SUM(I452:J452)</f>
        <v>0</v>
      </c>
    </row>
    <row r="461" spans="2:16">
      <c r="K461" s="154">
        <f t="shared" si="271"/>
        <v>0</v>
      </c>
    </row>
    <row r="462" spans="2:16">
      <c r="K462" s="154">
        <f t="shared" si="271"/>
        <v>0</v>
      </c>
    </row>
    <row r="464" spans="2:16">
      <c r="K464" s="154">
        <f t="shared" si="271"/>
        <v>0</v>
      </c>
    </row>
    <row r="465" spans="11:11">
      <c r="K465" s="154">
        <f t="shared" si="271"/>
        <v>0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ABBC-243F-481E-AEDB-DA41F9A8AD32}">
  <sheetPr>
    <tabColor rgb="FF92D050"/>
  </sheetPr>
  <dimension ref="A1:V688"/>
  <sheetViews>
    <sheetView zoomScale="70" zoomScaleNormal="70" workbookViewId="0">
      <pane xSplit="3" ySplit="4" topLeftCell="D5" activePane="bottomRight" state="frozen"/>
      <selection activeCell="K33" sqref="K33:O37"/>
      <selection pane="topRight" activeCell="K33" sqref="K33:O37"/>
      <selection pane="bottomLeft" activeCell="K33" sqref="K33:O37"/>
      <selection pane="bottomRight" activeCell="D5" sqref="D5"/>
    </sheetView>
  </sheetViews>
  <sheetFormatPr defaultRowHeight="13.2" outlineLevelRow="1" outlineLevelCol="1"/>
  <cols>
    <col min="1" max="1" width="2.6640625" style="154" customWidth="1"/>
    <col min="2" max="2" width="29.21875" style="154" customWidth="1"/>
    <col min="3" max="4" width="15.33203125" style="154" customWidth="1"/>
    <col min="5" max="5" width="10.6640625" style="154" bestFit="1" customWidth="1"/>
    <col min="6" max="10" width="15.33203125" style="154" customWidth="1"/>
    <col min="11" max="11" width="15.33203125" style="154" customWidth="1" outlineLevel="1"/>
    <col min="12" max="17" width="15.33203125" style="154" customWidth="1"/>
    <col min="18" max="16384" width="8.88671875" style="154"/>
  </cols>
  <sheetData>
    <row r="1" spans="2:17">
      <c r="B1" s="162" t="s">
        <v>0</v>
      </c>
      <c r="C1" s="284"/>
      <c r="D1" s="285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</row>
    <row r="2" spans="2:17">
      <c r="B2" s="284" t="s">
        <v>480</v>
      </c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</row>
    <row r="3" spans="2:17">
      <c r="B3" s="156"/>
      <c r="C3" s="156"/>
      <c r="D3" s="157"/>
      <c r="E3" s="157">
        <v>2018</v>
      </c>
      <c r="F3" s="157">
        <v>2019</v>
      </c>
      <c r="G3" s="157">
        <v>2020</v>
      </c>
      <c r="H3" s="157">
        <v>2021</v>
      </c>
      <c r="I3" s="157">
        <v>2022</v>
      </c>
      <c r="J3" s="157">
        <v>2022</v>
      </c>
      <c r="K3" s="157">
        <v>2022</v>
      </c>
      <c r="L3" s="157">
        <v>2023</v>
      </c>
      <c r="M3" s="157">
        <v>2024</v>
      </c>
      <c r="N3" s="157">
        <v>2025</v>
      </c>
      <c r="O3" s="157">
        <v>2026</v>
      </c>
      <c r="P3" s="157">
        <v>2027</v>
      </c>
      <c r="Q3" s="157" t="s">
        <v>3</v>
      </c>
    </row>
    <row r="4" spans="2:17">
      <c r="B4" s="159" t="s">
        <v>4</v>
      </c>
      <c r="C4" s="159"/>
      <c r="D4" s="160"/>
      <c r="E4" s="160" t="s">
        <v>5</v>
      </c>
      <c r="F4" s="160" t="s">
        <v>5</v>
      </c>
      <c r="G4" s="160" t="s">
        <v>5</v>
      </c>
      <c r="H4" s="160" t="s">
        <v>5</v>
      </c>
      <c r="I4" s="160" t="s">
        <v>481</v>
      </c>
      <c r="J4" s="160" t="s">
        <v>482</v>
      </c>
      <c r="K4" s="160" t="s">
        <v>5</v>
      </c>
      <c r="L4" s="160" t="s">
        <v>5</v>
      </c>
      <c r="M4" s="160" t="s">
        <v>5</v>
      </c>
      <c r="N4" s="160" t="s">
        <v>5</v>
      </c>
      <c r="O4" s="160" t="s">
        <v>5</v>
      </c>
      <c r="P4" s="160" t="s">
        <v>5</v>
      </c>
      <c r="Q4" s="160"/>
    </row>
    <row r="6" spans="2:17">
      <c r="B6" s="162" t="s">
        <v>483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</row>
    <row r="8" spans="2:17">
      <c r="B8" s="165" t="s">
        <v>9</v>
      </c>
      <c r="C8" s="165"/>
      <c r="D8" s="165"/>
      <c r="E8" s="165">
        <f>E9+E12+E15+E18+E19</f>
        <v>1134.7684850000001</v>
      </c>
      <c r="F8" s="165">
        <f t="shared" ref="F8:Q8" si="0">F9+F12+F15+F18+F19</f>
        <v>18642.320240000001</v>
      </c>
      <c r="G8" s="165">
        <f t="shared" si="0"/>
        <v>37787.033001000011</v>
      </c>
      <c r="H8" s="165">
        <f t="shared" si="0"/>
        <v>56561.558567</v>
      </c>
      <c r="I8" s="165">
        <f t="shared" si="0"/>
        <v>76879.377552999998</v>
      </c>
      <c r="J8" s="165">
        <f t="shared" si="0"/>
        <v>26655.676866268685</v>
      </c>
      <c r="K8" s="165">
        <f t="shared" si="0"/>
        <v>103535.05441926868</v>
      </c>
      <c r="L8" s="165">
        <f t="shared" si="0"/>
        <v>153688.85377107403</v>
      </c>
      <c r="M8" s="165">
        <f t="shared" si="0"/>
        <v>221753.06964502501</v>
      </c>
      <c r="N8" s="165">
        <f t="shared" si="0"/>
        <v>314924.27696078637</v>
      </c>
      <c r="O8" s="165">
        <f t="shared" si="0"/>
        <v>422728.34668570303</v>
      </c>
      <c r="P8" s="165">
        <f t="shared" si="0"/>
        <v>532298.25856380793</v>
      </c>
      <c r="Q8" s="165">
        <f t="shared" si="0"/>
        <v>537621.241149446</v>
      </c>
    </row>
    <row r="9" spans="2:17">
      <c r="B9" s="168" t="s">
        <v>66</v>
      </c>
      <c r="E9" s="154">
        <f>SUM(E10:E11)</f>
        <v>851.835689</v>
      </c>
      <c r="F9" s="154">
        <f t="shared" ref="F9:Q9" si="1">SUM(F10:F11)</f>
        <v>2778.1461530000001</v>
      </c>
      <c r="G9" s="154">
        <f t="shared" si="1"/>
        <v>7406.8122089999997</v>
      </c>
      <c r="H9" s="154">
        <f t="shared" si="1"/>
        <v>15206.89199</v>
      </c>
      <c r="I9" s="221">
        <f t="shared" ref="I9:P11" si="2">I57</f>
        <v>16194.512715999999</v>
      </c>
      <c r="J9" s="154">
        <f t="shared" si="1"/>
        <v>7160.2498380000015</v>
      </c>
      <c r="K9" s="154">
        <f t="shared" si="1"/>
        <v>23354.762554000001</v>
      </c>
      <c r="L9" s="154">
        <f t="shared" si="1"/>
        <v>37084.749076739223</v>
      </c>
      <c r="M9" s="154">
        <f t="shared" si="1"/>
        <v>62928.545846922949</v>
      </c>
      <c r="N9" s="154">
        <f t="shared" si="1"/>
        <v>111125.71438122814</v>
      </c>
      <c r="O9" s="154">
        <f t="shared" si="1"/>
        <v>176753.81258703041</v>
      </c>
      <c r="P9" s="154">
        <f t="shared" si="1"/>
        <v>242410.65418276429</v>
      </c>
      <c r="Q9" s="154">
        <f t="shared" si="1"/>
        <v>244834.76072459194</v>
      </c>
    </row>
    <row r="10" spans="2:17">
      <c r="B10" s="170" t="s">
        <v>484</v>
      </c>
      <c r="E10" s="154">
        <f>E58</f>
        <v>851.835689</v>
      </c>
      <c r="F10" s="154">
        <f>F58</f>
        <v>2778.1461530000001</v>
      </c>
      <c r="G10" s="154">
        <f>G58</f>
        <v>7406.8122089999997</v>
      </c>
      <c r="H10" s="154">
        <f>H58</f>
        <v>15206.89199</v>
      </c>
      <c r="I10" s="221">
        <f t="shared" si="2"/>
        <v>16194.512715999999</v>
      </c>
      <c r="J10" s="154">
        <f t="shared" si="2"/>
        <v>7160.2498380000015</v>
      </c>
      <c r="K10" s="154">
        <f t="shared" si="2"/>
        <v>23354.762554000001</v>
      </c>
      <c r="L10" s="154">
        <f t="shared" si="2"/>
        <v>36734.180775290843</v>
      </c>
      <c r="M10" s="154">
        <f t="shared" si="2"/>
        <v>62114.422059458011</v>
      </c>
      <c r="N10" s="154">
        <f t="shared" si="2"/>
        <v>109414.83334786381</v>
      </c>
      <c r="O10" s="154">
        <f t="shared" si="2"/>
        <v>173005.11370432621</v>
      </c>
      <c r="P10" s="154">
        <f t="shared" si="2"/>
        <v>236907.38456425315</v>
      </c>
      <c r="Q10" s="154">
        <f>P10*(1+DCF!$F$44)</f>
        <v>239276.45840989568</v>
      </c>
    </row>
    <row r="11" spans="2:17">
      <c r="B11" s="436" t="s">
        <v>485</v>
      </c>
      <c r="C11" s="409"/>
      <c r="D11" s="409"/>
      <c r="E11" s="409">
        <f t="shared" ref="E11:K12" si="3">E59</f>
        <v>0</v>
      </c>
      <c r="F11" s="409">
        <f t="shared" si="3"/>
        <v>0</v>
      </c>
      <c r="G11" s="409">
        <f t="shared" si="3"/>
        <v>0</v>
      </c>
      <c r="H11" s="409">
        <f>H59</f>
        <v>0</v>
      </c>
      <c r="I11" s="427">
        <f t="shared" si="2"/>
        <v>0</v>
      </c>
      <c r="J11" s="409">
        <f t="shared" si="2"/>
        <v>0</v>
      </c>
      <c r="K11" s="409">
        <f t="shared" si="3"/>
        <v>0</v>
      </c>
      <c r="L11" s="154">
        <f>L59</f>
        <v>350.56830144838233</v>
      </c>
      <c r="M11" s="154">
        <f>M59</f>
        <v>814.12378746493471</v>
      </c>
      <c r="N11" s="154">
        <f>N59</f>
        <v>1710.8810333643369</v>
      </c>
      <c r="O11" s="154">
        <f>O59</f>
        <v>3748.6988827041982</v>
      </c>
      <c r="P11" s="154">
        <f>P59</f>
        <v>5503.2696185111454</v>
      </c>
      <c r="Q11" s="154">
        <f>P11*(1+DCF!$F$44)</f>
        <v>5558.3023146962569</v>
      </c>
    </row>
    <row r="12" spans="2:17">
      <c r="B12" s="437" t="s">
        <v>67</v>
      </c>
      <c r="C12" s="409"/>
      <c r="D12" s="409"/>
      <c r="E12" s="409">
        <f>SUM(E13:E14)</f>
        <v>0</v>
      </c>
      <c r="F12" s="409">
        <f>F60</f>
        <v>0</v>
      </c>
      <c r="G12" s="409">
        <f t="shared" si="3"/>
        <v>170.45483500000958</v>
      </c>
      <c r="H12" s="409">
        <f>H60</f>
        <v>4034.5532449999996</v>
      </c>
      <c r="I12" s="427">
        <f>I60</f>
        <v>13092.645149000002</v>
      </c>
      <c r="J12" s="409">
        <f t="shared" ref="J12:Q12" si="4">SUM(J13:J14)</f>
        <v>5241.5704242686834</v>
      </c>
      <c r="K12" s="409">
        <f t="shared" si="4"/>
        <v>18334.215573268684</v>
      </c>
      <c r="L12" s="154">
        <f t="shared" si="4"/>
        <v>33638.150015567029</v>
      </c>
      <c r="M12" s="154">
        <f t="shared" si="4"/>
        <v>39443.426568419498</v>
      </c>
      <c r="N12" s="154">
        <f t="shared" si="4"/>
        <v>43359.074377778663</v>
      </c>
      <c r="O12" s="154">
        <f t="shared" si="4"/>
        <v>45685.917939301165</v>
      </c>
      <c r="P12" s="154">
        <f t="shared" si="4"/>
        <v>47267.984438100451</v>
      </c>
      <c r="Q12" s="154">
        <f t="shared" si="4"/>
        <v>47740.664282481455</v>
      </c>
    </row>
    <row r="13" spans="2:17">
      <c r="B13" s="436" t="s">
        <v>486</v>
      </c>
      <c r="C13" s="409"/>
      <c r="D13" s="409"/>
      <c r="E13" s="409">
        <f>E61</f>
        <v>0</v>
      </c>
      <c r="F13" s="409">
        <f t="shared" ref="F13:G13" si="5">F61</f>
        <v>0</v>
      </c>
      <c r="G13" s="409">
        <f t="shared" si="5"/>
        <v>170.45483500000958</v>
      </c>
      <c r="H13" s="409">
        <f>H61</f>
        <v>4034.5532449999996</v>
      </c>
      <c r="I13" s="427">
        <f>I61</f>
        <v>13092.645149000002</v>
      </c>
      <c r="J13" s="409">
        <f>J61</f>
        <v>3930.6115279999958</v>
      </c>
      <c r="K13" s="409">
        <f t="shared" ref="K13:P14" si="6">K61</f>
        <v>17023.256676999998</v>
      </c>
      <c r="L13" s="154">
        <f t="shared" si="6"/>
        <v>27271.435217382219</v>
      </c>
      <c r="M13" s="154">
        <f t="shared" si="6"/>
        <v>32306.901049006308</v>
      </c>
      <c r="N13" s="154">
        <f t="shared" si="6"/>
        <v>35667.904221748046</v>
      </c>
      <c r="O13" s="154">
        <f t="shared" si="6"/>
        <v>37637.604425935526</v>
      </c>
      <c r="P13" s="154">
        <f t="shared" si="6"/>
        <v>38931.391009942214</v>
      </c>
      <c r="Q13" s="154">
        <f>P13*(1+DCF!$F$44)</f>
        <v>39320.704920041637</v>
      </c>
    </row>
    <row r="14" spans="2:17">
      <c r="B14" s="436" t="s">
        <v>487</v>
      </c>
      <c r="C14" s="409"/>
      <c r="D14" s="409"/>
      <c r="E14" s="409">
        <f t="shared" ref="E14:G14" si="7">E62</f>
        <v>0</v>
      </c>
      <c r="F14" s="409">
        <f t="shared" si="7"/>
        <v>0</v>
      </c>
      <c r="G14" s="409">
        <f t="shared" si="7"/>
        <v>0</v>
      </c>
      <c r="H14" s="409">
        <f>H62</f>
        <v>0</v>
      </c>
      <c r="I14" s="427">
        <f>I62</f>
        <v>0</v>
      </c>
      <c r="J14" s="409">
        <f>J62</f>
        <v>1310.9588962686878</v>
      </c>
      <c r="K14" s="409">
        <f>I14+J14</f>
        <v>1310.9588962686878</v>
      </c>
      <c r="L14" s="154">
        <f t="shared" si="6"/>
        <v>6366.7147981848075</v>
      </c>
      <c r="M14" s="154">
        <f t="shared" si="6"/>
        <v>7136.5255194131933</v>
      </c>
      <c r="N14" s="154">
        <f t="shared" si="6"/>
        <v>7691.1701560306146</v>
      </c>
      <c r="O14" s="154">
        <f t="shared" si="6"/>
        <v>8048.3135133656397</v>
      </c>
      <c r="P14" s="154">
        <f t="shared" si="6"/>
        <v>8336.5934281582358</v>
      </c>
      <c r="Q14" s="154">
        <f>P14*(1+DCF!$F$44)</f>
        <v>8419.9593624398185</v>
      </c>
    </row>
    <row r="15" spans="2:17">
      <c r="B15" s="437" t="s">
        <v>68</v>
      </c>
      <c r="C15" s="409"/>
      <c r="D15" s="409"/>
      <c r="E15" s="409">
        <f t="shared" ref="E15:G15" si="8">SUM(E16:E17)</f>
        <v>282.932796</v>
      </c>
      <c r="F15" s="409">
        <f t="shared" si="8"/>
        <v>15864.174086999999</v>
      </c>
      <c r="G15" s="409">
        <f t="shared" si="8"/>
        <v>30209.765957000003</v>
      </c>
      <c r="H15" s="409">
        <f t="shared" ref="H15:Q15" si="9">SUM(H16:H17)</f>
        <v>33591.691888000001</v>
      </c>
      <c r="I15" s="409">
        <f t="shared" si="9"/>
        <v>37332.487477000002</v>
      </c>
      <c r="J15" s="409">
        <f t="shared" si="9"/>
        <v>12444.162492333333</v>
      </c>
      <c r="K15" s="409">
        <f t="shared" si="9"/>
        <v>49776.649969333332</v>
      </c>
      <c r="L15" s="154">
        <f t="shared" si="9"/>
        <v>64231.011249456409</v>
      </c>
      <c r="M15" s="154">
        <f t="shared" si="9"/>
        <v>77036.872728608694</v>
      </c>
      <c r="N15" s="154">
        <f t="shared" si="9"/>
        <v>87707.765718445706</v>
      </c>
      <c r="O15" s="154">
        <f t="shared" si="9"/>
        <v>88795.180983228871</v>
      </c>
      <c r="P15" s="154">
        <f t="shared" si="9"/>
        <v>87922.717493714576</v>
      </c>
      <c r="Q15" s="154">
        <f t="shared" si="9"/>
        <v>88801.944668651719</v>
      </c>
    </row>
    <row r="16" spans="2:17">
      <c r="B16" s="436" t="s">
        <v>488</v>
      </c>
      <c r="C16" s="409"/>
      <c r="D16" s="409"/>
      <c r="E16" s="409">
        <f>E64</f>
        <v>282.932796</v>
      </c>
      <c r="F16" s="409">
        <f t="shared" ref="F16:P18" si="10">F64</f>
        <v>3058.8926780000002</v>
      </c>
      <c r="G16" s="409">
        <f t="shared" si="10"/>
        <v>12700.44478</v>
      </c>
      <c r="H16" s="409">
        <f t="shared" si="10"/>
        <v>24875.830383</v>
      </c>
      <c r="I16" s="427">
        <f t="shared" si="10"/>
        <v>28327.277816999998</v>
      </c>
      <c r="J16" s="409">
        <f t="shared" si="10"/>
        <v>9442.4259389999988</v>
      </c>
      <c r="K16" s="409">
        <f t="shared" si="10"/>
        <v>37769.703755999995</v>
      </c>
      <c r="L16" s="154">
        <f>L64</f>
        <v>51788.032784385883</v>
      </c>
      <c r="M16" s="154">
        <f t="shared" ref="M16:P16" si="11">M64</f>
        <v>64218.813120687075</v>
      </c>
      <c r="N16" s="154">
        <f t="shared" si="11"/>
        <v>74399.030788732853</v>
      </c>
      <c r="O16" s="154">
        <f t="shared" si="11"/>
        <v>74949.624921391107</v>
      </c>
      <c r="P16" s="154">
        <f t="shared" si="11"/>
        <v>73490.42830264433</v>
      </c>
      <c r="Q16" s="154">
        <f>P16*(1+DCF!$F$44)</f>
        <v>74225.332585670767</v>
      </c>
    </row>
    <row r="17" spans="2:17">
      <c r="B17" s="436" t="s">
        <v>489</v>
      </c>
      <c r="C17" s="409"/>
      <c r="D17" s="409"/>
      <c r="E17" s="409">
        <f t="shared" ref="E17:P18" si="12">E65</f>
        <v>0</v>
      </c>
      <c r="F17" s="409">
        <f t="shared" si="12"/>
        <v>12805.281408999999</v>
      </c>
      <c r="G17" s="409">
        <f t="shared" si="12"/>
        <v>17509.321177000002</v>
      </c>
      <c r="H17" s="409">
        <f t="shared" si="10"/>
        <v>8715.8615049999989</v>
      </c>
      <c r="I17" s="427">
        <f t="shared" si="10"/>
        <v>9005.2096600000004</v>
      </c>
      <c r="J17" s="409">
        <f t="shared" si="10"/>
        <v>3001.7365533333341</v>
      </c>
      <c r="K17" s="409">
        <f t="shared" si="12"/>
        <v>12006.946213333335</v>
      </c>
      <c r="L17" s="154">
        <f t="shared" si="12"/>
        <v>12442.97846507053</v>
      </c>
      <c r="M17" s="154">
        <f t="shared" si="12"/>
        <v>12818.059607921616</v>
      </c>
      <c r="N17" s="154">
        <f t="shared" si="12"/>
        <v>13308.734929712859</v>
      </c>
      <c r="O17" s="154">
        <f t="shared" si="12"/>
        <v>13845.556061837757</v>
      </c>
      <c r="P17" s="154">
        <f t="shared" si="12"/>
        <v>14432.289191070251</v>
      </c>
      <c r="Q17" s="154">
        <f>P17*(1+DCF!$F$44)</f>
        <v>14576.612082980953</v>
      </c>
    </row>
    <row r="18" spans="2:17">
      <c r="B18" s="437" t="s">
        <v>69</v>
      </c>
      <c r="C18" s="409"/>
      <c r="D18" s="409"/>
      <c r="E18" s="409">
        <f t="shared" si="12"/>
        <v>0</v>
      </c>
      <c r="F18" s="409">
        <f t="shared" si="12"/>
        <v>0</v>
      </c>
      <c r="G18" s="409">
        <f t="shared" si="12"/>
        <v>0</v>
      </c>
      <c r="H18" s="409">
        <f t="shared" si="10"/>
        <v>3728.4214440000001</v>
      </c>
      <c r="I18" s="427">
        <f t="shared" si="10"/>
        <v>5429.0823350000001</v>
      </c>
      <c r="J18" s="409">
        <f t="shared" si="10"/>
        <v>1809.6941116666667</v>
      </c>
      <c r="K18" s="409">
        <f t="shared" si="10"/>
        <v>7238.7764466666667</v>
      </c>
      <c r="L18" s="154">
        <f t="shared" si="10"/>
        <v>18734.943429311377</v>
      </c>
      <c r="M18" s="154">
        <f t="shared" si="10"/>
        <v>42344.22450107387</v>
      </c>
      <c r="N18" s="154">
        <f t="shared" si="10"/>
        <v>72731.722483333855</v>
      </c>
      <c r="O18" s="154">
        <f t="shared" si="10"/>
        <v>111493.43517614262</v>
      </c>
      <c r="P18" s="154">
        <f t="shared" si="10"/>
        <v>154696.90244922863</v>
      </c>
      <c r="Q18" s="154">
        <f>P18*(1+DCF!$F$44)</f>
        <v>156243.87147372091</v>
      </c>
    </row>
    <row r="19" spans="2:17">
      <c r="B19" s="437" t="s">
        <v>490</v>
      </c>
      <c r="C19" s="409"/>
      <c r="D19" s="409"/>
      <c r="E19" s="409"/>
      <c r="F19" s="409"/>
      <c r="G19" s="409"/>
      <c r="H19" s="409"/>
      <c r="I19" s="427">
        <v>4830.6498759999995</v>
      </c>
      <c r="J19" s="409"/>
      <c r="K19" s="409">
        <f>I19+J19</f>
        <v>4830.6498759999995</v>
      </c>
    </row>
    <row r="20" spans="2:17">
      <c r="B20" s="430" t="s">
        <v>77</v>
      </c>
      <c r="C20" s="430"/>
      <c r="D20" s="430"/>
      <c r="E20" s="430">
        <f t="shared" ref="E20:G20" si="13">SUM(E21:E28)</f>
        <v>2403.5548290000002</v>
      </c>
      <c r="F20" s="430">
        <f t="shared" si="13"/>
        <v>13597.900391000001</v>
      </c>
      <c r="G20" s="430">
        <f t="shared" si="13"/>
        <v>30356.157206</v>
      </c>
      <c r="H20" s="430">
        <f t="shared" ref="H20:Q20" si="14">SUM(H21:H28)</f>
        <v>31075.528712138545</v>
      </c>
      <c r="I20" s="430">
        <f t="shared" si="14"/>
        <v>50257.849361276109</v>
      </c>
      <c r="J20" s="430">
        <f t="shared" si="14"/>
        <v>18067.058662627041</v>
      </c>
      <c r="K20" s="430">
        <f t="shared" si="14"/>
        <v>68324.908023903146</v>
      </c>
      <c r="L20" s="171">
        <f t="shared" si="14"/>
        <v>98771.377810095728</v>
      </c>
      <c r="M20" s="171">
        <f t="shared" si="14"/>
        <v>139321.59538464274</v>
      </c>
      <c r="N20" s="171">
        <f t="shared" si="14"/>
        <v>192141.11487930315</v>
      </c>
      <c r="O20" s="171">
        <f t="shared" si="14"/>
        <v>236321.33691548678</v>
      </c>
      <c r="P20" s="171">
        <f t="shared" si="14"/>
        <v>285273.79681572993</v>
      </c>
      <c r="Q20" s="171">
        <f t="shared" si="14"/>
        <v>288126.53478388727</v>
      </c>
    </row>
    <row r="21" spans="2:17">
      <c r="B21" s="437" t="s">
        <v>336</v>
      </c>
      <c r="C21" s="409"/>
      <c r="D21" s="409"/>
      <c r="E21" s="409">
        <f t="shared" ref="E21:P28" si="15">SUMIFS(E$237:E$255,$B$237:$B$255,$B21)</f>
        <v>1781.4556650000002</v>
      </c>
      <c r="F21" s="409">
        <f t="shared" si="15"/>
        <v>893.92438400000003</v>
      </c>
      <c r="G21" s="409">
        <f t="shared" si="15"/>
        <v>2215.2455009999999</v>
      </c>
      <c r="H21" s="409">
        <f t="shared" si="15"/>
        <v>2993.6122480000004</v>
      </c>
      <c r="I21" s="427">
        <f t="shared" si="15"/>
        <v>13293.917654337985</v>
      </c>
      <c r="J21" s="409">
        <f t="shared" si="15"/>
        <v>5096.5402069064385</v>
      </c>
      <c r="K21" s="409">
        <f t="shared" si="15"/>
        <v>18390.457861244424</v>
      </c>
      <c r="L21" s="154">
        <f t="shared" si="15"/>
        <v>35182.329372907188</v>
      </c>
      <c r="M21" s="154">
        <f t="shared" si="15"/>
        <v>45575.038194050576</v>
      </c>
      <c r="N21" s="154">
        <f t="shared" si="15"/>
        <v>63390.540627030932</v>
      </c>
      <c r="O21" s="154">
        <f t="shared" si="15"/>
        <v>70990.114565810029</v>
      </c>
      <c r="P21" s="154">
        <f t="shared" si="15"/>
        <v>78358.785918042835</v>
      </c>
      <c r="Q21" s="154">
        <f>P21*(1+DCF!$F$44)</f>
        <v>79142.373777223271</v>
      </c>
    </row>
    <row r="22" spans="2:17">
      <c r="B22" s="437" t="s">
        <v>91</v>
      </c>
      <c r="C22" s="409"/>
      <c r="D22" s="409"/>
      <c r="E22" s="409">
        <f t="shared" si="15"/>
        <v>0</v>
      </c>
      <c r="F22" s="409">
        <f t="shared" si="15"/>
        <v>2273.9959800000001</v>
      </c>
      <c r="G22" s="409">
        <f t="shared" si="15"/>
        <v>12023.420204999995</v>
      </c>
      <c r="H22" s="409">
        <f t="shared" si="15"/>
        <v>7341.2511540000005</v>
      </c>
      <c r="I22" s="427">
        <f t="shared" si="15"/>
        <v>10315.851863</v>
      </c>
      <c r="J22" s="409">
        <f t="shared" si="15"/>
        <v>3438.617287666666</v>
      </c>
      <c r="K22" s="409">
        <f t="shared" si="15"/>
        <v>13754.469150666666</v>
      </c>
      <c r="L22" s="154">
        <f t="shared" si="15"/>
        <v>23304.614752973648</v>
      </c>
      <c r="M22" s="154">
        <f t="shared" si="15"/>
        <v>28898.465904309185</v>
      </c>
      <c r="N22" s="154">
        <f t="shared" si="15"/>
        <v>33479.563854929787</v>
      </c>
      <c r="O22" s="154">
        <f t="shared" si="15"/>
        <v>33727.331214626</v>
      </c>
      <c r="P22" s="154">
        <f t="shared" si="15"/>
        <v>33070.692736189951</v>
      </c>
      <c r="Q22" s="154">
        <f>P22*(1+DCF!$F$44)</f>
        <v>33401.399663551849</v>
      </c>
    </row>
    <row r="23" spans="2:17">
      <c r="B23" s="437" t="s">
        <v>86</v>
      </c>
      <c r="C23" s="409"/>
      <c r="D23" s="409"/>
      <c r="E23" s="409">
        <f t="shared" si="15"/>
        <v>0</v>
      </c>
      <c r="F23" s="409">
        <f t="shared" si="15"/>
        <v>0</v>
      </c>
      <c r="G23" s="409">
        <f t="shared" si="15"/>
        <v>0</v>
      </c>
      <c r="H23" s="409">
        <f t="shared" si="15"/>
        <v>3774.9822119999999</v>
      </c>
      <c r="I23" s="427">
        <f t="shared" si="15"/>
        <v>5181.9627289999999</v>
      </c>
      <c r="J23" s="409">
        <f t="shared" si="15"/>
        <v>1727.3209096666669</v>
      </c>
      <c r="K23" s="409">
        <f t="shared" si="15"/>
        <v>6909.2836386666668</v>
      </c>
      <c r="L23" s="154">
        <f t="shared" si="15"/>
        <v>8666.3366021256425</v>
      </c>
      <c r="M23" s="154">
        <f t="shared" si="15"/>
        <v>10746.533914697655</v>
      </c>
      <c r="N23" s="154">
        <f t="shared" si="15"/>
        <v>12450.116542782944</v>
      </c>
      <c r="O23" s="154">
        <f t="shared" si="15"/>
        <v>12542.254317249839</v>
      </c>
      <c r="P23" s="154">
        <f t="shared" si="15"/>
        <v>12298.068771152866</v>
      </c>
      <c r="Q23" s="154">
        <f>P23*(1+DCF!$F$44)</f>
        <v>12421.049458864394</v>
      </c>
    </row>
    <row r="24" spans="2:17">
      <c r="B24" s="437" t="s">
        <v>491</v>
      </c>
      <c r="C24" s="409"/>
      <c r="D24" s="409"/>
      <c r="E24" s="409">
        <f t="shared" si="15"/>
        <v>0</v>
      </c>
      <c r="F24" s="409">
        <f t="shared" si="15"/>
        <v>9863.1637960000007</v>
      </c>
      <c r="G24" s="409">
        <f t="shared" si="15"/>
        <v>14480.264762000003</v>
      </c>
      <c r="H24" s="409">
        <f t="shared" si="15"/>
        <v>6509.4696599999997</v>
      </c>
      <c r="I24" s="427">
        <f t="shared" si="15"/>
        <v>8500.6453280000005</v>
      </c>
      <c r="J24" s="409">
        <f t="shared" si="15"/>
        <v>4750.4780307125639</v>
      </c>
      <c r="K24" s="409">
        <f t="shared" si="15"/>
        <v>13251.123358712564</v>
      </c>
      <c r="L24" s="154">
        <f t="shared" si="15"/>
        <v>9505.5230343638123</v>
      </c>
      <c r="M24" s="154">
        <f t="shared" si="15"/>
        <v>9676.5288179704021</v>
      </c>
      <c r="N24" s="154">
        <f t="shared" si="15"/>
        <v>9910.815019725509</v>
      </c>
      <c r="O24" s="154">
        <f t="shared" si="15"/>
        <v>10172.812757107595</v>
      </c>
      <c r="P24" s="154">
        <f t="shared" si="15"/>
        <v>10459.366065222044</v>
      </c>
      <c r="Q24" s="154">
        <f>P24*(1+DCF!$F$44)</f>
        <v>10563.959725874265</v>
      </c>
    </row>
    <row r="25" spans="2:17">
      <c r="B25" s="437" t="s">
        <v>79</v>
      </c>
      <c r="C25" s="409"/>
      <c r="D25" s="409"/>
      <c r="E25" s="409">
        <f t="shared" si="15"/>
        <v>0</v>
      </c>
      <c r="F25" s="409">
        <f t="shared" si="15"/>
        <v>566.81623100000002</v>
      </c>
      <c r="G25" s="409">
        <f t="shared" si="15"/>
        <v>1237.2267380000001</v>
      </c>
      <c r="H25" s="409">
        <f t="shared" si="15"/>
        <v>1019.043761</v>
      </c>
      <c r="I25" s="427">
        <f t="shared" si="15"/>
        <v>1282.9531869336747</v>
      </c>
      <c r="J25" s="409">
        <f t="shared" si="15"/>
        <v>427.6510623112249</v>
      </c>
      <c r="K25" s="409">
        <f t="shared" si="15"/>
        <v>1710.6042492448996</v>
      </c>
      <c r="L25" s="154">
        <f t="shared" si="15"/>
        <v>2286.327515683904</v>
      </c>
      <c r="M25" s="154">
        <f t="shared" si="15"/>
        <v>3379.5528186974034</v>
      </c>
      <c r="N25" s="154">
        <f t="shared" si="15"/>
        <v>4556.5907316409721</v>
      </c>
      <c r="O25" s="154">
        <f t="shared" si="15"/>
        <v>6188.270358541904</v>
      </c>
      <c r="P25" s="154">
        <f t="shared" si="15"/>
        <v>7926.6551200567683</v>
      </c>
      <c r="Q25" s="154">
        <f>P25*(1+DCF!$F$44)</f>
        <v>8005.9216712573361</v>
      </c>
    </row>
    <row r="26" spans="2:17">
      <c r="B26" s="437" t="s">
        <v>83</v>
      </c>
      <c r="C26" s="409"/>
      <c r="D26" s="409"/>
      <c r="E26" s="409">
        <f t="shared" si="15"/>
        <v>622.09916399999997</v>
      </c>
      <c r="F26" s="409">
        <f t="shared" si="15"/>
        <v>0</v>
      </c>
      <c r="G26" s="409">
        <f t="shared" si="15"/>
        <v>400</v>
      </c>
      <c r="H26" s="409">
        <f t="shared" si="15"/>
        <v>9437.1696771385432</v>
      </c>
      <c r="I26" s="427">
        <v>11682.518600004456</v>
      </c>
      <c r="J26" s="409">
        <f>SUMIFS(J$237:J$255,$B$237:$B$255,$B26)</f>
        <v>2480.2913326681519</v>
      </c>
      <c r="K26" s="409">
        <f>I26+J26</f>
        <v>14162.809932672608</v>
      </c>
      <c r="L26" s="154">
        <f t="shared" si="15"/>
        <v>10131.427706836448</v>
      </c>
      <c r="M26" s="154">
        <f t="shared" si="15"/>
        <v>10195.294754031744</v>
      </c>
      <c r="N26" s="154">
        <f t="shared" si="15"/>
        <v>10303.427939757919</v>
      </c>
      <c r="O26" s="154">
        <f t="shared" si="15"/>
        <v>10433.207120927163</v>
      </c>
      <c r="P26" s="154">
        <f t="shared" si="15"/>
        <v>10574.958496633233</v>
      </c>
      <c r="Q26" s="154">
        <f>P26*(1+DCF!$F$44)</f>
        <v>10680.708081599565</v>
      </c>
    </row>
    <row r="27" spans="2:17">
      <c r="B27" s="437" t="s">
        <v>492</v>
      </c>
      <c r="C27" s="409"/>
      <c r="D27" s="409"/>
      <c r="E27" s="409">
        <f t="shared" si="15"/>
        <v>0</v>
      </c>
      <c r="F27" s="409">
        <f t="shared" si="15"/>
        <v>0</v>
      </c>
      <c r="G27" s="409">
        <f t="shared" si="15"/>
        <v>0</v>
      </c>
      <c r="H27" s="409">
        <f t="shared" si="15"/>
        <v>0</v>
      </c>
      <c r="I27" s="427">
        <v>0</v>
      </c>
      <c r="J27" s="409">
        <f>SUMIFS(J$237:J$255,$B$237:$B$255,$B27)</f>
        <v>40.881040999999641</v>
      </c>
      <c r="K27" s="409">
        <f>I27+J27</f>
        <v>40.881040999999641</v>
      </c>
      <c r="L27" s="154">
        <f t="shared" si="15"/>
        <v>3327.9214756435258</v>
      </c>
      <c r="M27" s="154">
        <f t="shared" si="15"/>
        <v>10507.952170101536</v>
      </c>
      <c r="N27" s="154">
        <f t="shared" si="15"/>
        <v>14463.345086980447</v>
      </c>
      <c r="O27" s="154">
        <f t="shared" si="15"/>
        <v>15308.801261377352</v>
      </c>
      <c r="P27" s="154">
        <f t="shared" si="15"/>
        <v>15204.661924475338</v>
      </c>
      <c r="Q27" s="154">
        <f>P27*(1+DCF!$F$44)</f>
        <v>15356.708543720091</v>
      </c>
    </row>
    <row r="28" spans="2:17">
      <c r="B28" s="437" t="s">
        <v>94</v>
      </c>
      <c r="C28" s="409"/>
      <c r="D28" s="409"/>
      <c r="E28" s="409">
        <f t="shared" si="15"/>
        <v>0</v>
      </c>
      <c r="F28" s="409">
        <f t="shared" si="15"/>
        <v>0</v>
      </c>
      <c r="G28" s="409">
        <f t="shared" si="15"/>
        <v>0</v>
      </c>
      <c r="H28" s="409">
        <f t="shared" si="15"/>
        <v>0</v>
      </c>
      <c r="I28" s="438">
        <f>SUMIFS(I$237:I$255,$B$237:$B$255,$B28)</f>
        <v>0</v>
      </c>
      <c r="J28" s="409">
        <f>SUMIFS(J$237:J$255,$B$237:$B$255,$B28)</f>
        <v>105.27879169532652</v>
      </c>
      <c r="K28" s="409">
        <f>I28+J28</f>
        <v>105.27879169532652</v>
      </c>
      <c r="L28" s="154">
        <f t="shared" si="15"/>
        <v>6366.8973495615628</v>
      </c>
      <c r="M28" s="154">
        <f t="shared" si="15"/>
        <v>20342.228810784254</v>
      </c>
      <c r="N28" s="154">
        <f t="shared" si="15"/>
        <v>43586.715076454639</v>
      </c>
      <c r="O28" s="154">
        <f t="shared" si="15"/>
        <v>76958.545319846919</v>
      </c>
      <c r="P28" s="154">
        <f t="shared" si="15"/>
        <v>117380.60778395695</v>
      </c>
      <c r="Q28" s="154">
        <f>P28*(1+DCF!$F$44)</f>
        <v>118554.41386179652</v>
      </c>
    </row>
    <row r="29" spans="2:17" ht="13.8" thickBot="1">
      <c r="B29" s="439" t="s">
        <v>162</v>
      </c>
      <c r="C29" s="439"/>
      <c r="D29" s="439"/>
      <c r="E29" s="439">
        <f t="shared" ref="E29:Q29" si="16">E8-E20</f>
        <v>-1268.7863440000001</v>
      </c>
      <c r="F29" s="439">
        <f t="shared" si="16"/>
        <v>5044.4198489999999</v>
      </c>
      <c r="G29" s="439">
        <f t="shared" si="16"/>
        <v>7430.8757950000108</v>
      </c>
      <c r="H29" s="439">
        <f t="shared" si="16"/>
        <v>25486.029854861456</v>
      </c>
      <c r="I29" s="440">
        <f t="shared" si="16"/>
        <v>26621.52819172389</v>
      </c>
      <c r="J29" s="439">
        <f t="shared" si="16"/>
        <v>8588.618203641643</v>
      </c>
      <c r="K29" s="439">
        <f t="shared" si="16"/>
        <v>35210.146395365533</v>
      </c>
      <c r="L29" s="175">
        <f t="shared" si="16"/>
        <v>54917.475960978307</v>
      </c>
      <c r="M29" s="175">
        <f t="shared" si="16"/>
        <v>82431.474260382267</v>
      </c>
      <c r="N29" s="175">
        <f t="shared" si="16"/>
        <v>122783.16208148323</v>
      </c>
      <c r="O29" s="175">
        <f t="shared" si="16"/>
        <v>186407.00977021625</v>
      </c>
      <c r="P29" s="175">
        <f t="shared" si="16"/>
        <v>247024.461748078</v>
      </c>
      <c r="Q29" s="175">
        <f t="shared" si="16"/>
        <v>249494.70636555873</v>
      </c>
    </row>
    <row r="30" spans="2:17">
      <c r="B30" s="430" t="s">
        <v>99</v>
      </c>
      <c r="C30" s="430"/>
      <c r="D30" s="430"/>
      <c r="E30" s="430">
        <f t="shared" ref="E30:Q30" si="17">SUM(E31:E34)</f>
        <v>0</v>
      </c>
      <c r="F30" s="430">
        <f t="shared" si="17"/>
        <v>6593.0700709999992</v>
      </c>
      <c r="G30" s="430">
        <f t="shared" si="17"/>
        <v>9211.5956159999987</v>
      </c>
      <c r="H30" s="430">
        <f t="shared" si="17"/>
        <v>10409.015541337874</v>
      </c>
      <c r="I30" s="441">
        <f t="shared" si="17"/>
        <v>12533.094437344684</v>
      </c>
      <c r="J30" s="430">
        <f t="shared" si="17"/>
        <v>4133.9527131148943</v>
      </c>
      <c r="K30" s="430">
        <f t="shared" si="17"/>
        <v>16667.047150459577</v>
      </c>
      <c r="L30" s="171">
        <f t="shared" si="17"/>
        <v>17252.760664237921</v>
      </c>
      <c r="M30" s="171">
        <f t="shared" si="17"/>
        <v>22785.564647181924</v>
      </c>
      <c r="N30" s="171">
        <f t="shared" si="17"/>
        <v>31715.507295158171</v>
      </c>
      <c r="O30" s="171">
        <f t="shared" si="17"/>
        <v>43493.915730227702</v>
      </c>
      <c r="P30" s="171">
        <f t="shared" si="17"/>
        <v>55167.927598125767</v>
      </c>
      <c r="Q30" s="171">
        <f t="shared" si="17"/>
        <v>55719.606874107027</v>
      </c>
    </row>
    <row r="31" spans="2:17">
      <c r="B31" s="437" t="s">
        <v>79</v>
      </c>
      <c r="C31" s="409"/>
      <c r="D31" s="409"/>
      <c r="E31" s="409">
        <f t="shared" ref="E31:P34" si="18">SUMIFS(E$365:E$381,$B$365:$B$381,$B31)</f>
        <v>0</v>
      </c>
      <c r="F31" s="409">
        <f t="shared" si="18"/>
        <v>5112.7683489999999</v>
      </c>
      <c r="G31" s="409">
        <f t="shared" si="18"/>
        <v>6093.7834609999991</v>
      </c>
      <c r="H31" s="409">
        <f t="shared" si="18"/>
        <v>5905.1204059999991</v>
      </c>
      <c r="I31" s="427">
        <f t="shared" si="18"/>
        <v>4914.3181366946683</v>
      </c>
      <c r="J31" s="409">
        <f t="shared" si="18"/>
        <v>1638.1060455648894</v>
      </c>
      <c r="K31" s="409">
        <f t="shared" si="18"/>
        <v>6552.4241822595577</v>
      </c>
      <c r="L31" s="154">
        <f t="shared" si="18"/>
        <v>7035.8666404837795</v>
      </c>
      <c r="M31" s="154">
        <f t="shared" si="18"/>
        <v>7375.4565042209306</v>
      </c>
      <c r="N31" s="154">
        <f t="shared" si="18"/>
        <v>7479.6606526774713</v>
      </c>
      <c r="O31" s="154">
        <f t="shared" si="18"/>
        <v>7728.9598854387668</v>
      </c>
      <c r="P31" s="154">
        <f t="shared" si="18"/>
        <v>7899.8174194350395</v>
      </c>
      <c r="Q31" s="154">
        <f>P31*(1+DCF!$F$44)</f>
        <v>7978.8155936293897</v>
      </c>
    </row>
    <row r="32" spans="2:17">
      <c r="B32" s="437" t="s">
        <v>336</v>
      </c>
      <c r="C32" s="409"/>
      <c r="D32" s="409"/>
      <c r="E32" s="409">
        <f t="shared" si="18"/>
        <v>0</v>
      </c>
      <c r="F32" s="409">
        <f t="shared" si="18"/>
        <v>646.23930599999994</v>
      </c>
      <c r="G32" s="409">
        <f t="shared" si="18"/>
        <v>1586.0510399999998</v>
      </c>
      <c r="H32" s="409">
        <f t="shared" si="18"/>
        <v>2315.5678090000001</v>
      </c>
      <c r="I32" s="427">
        <f t="shared" si="18"/>
        <v>5461.9159876641852</v>
      </c>
      <c r="J32" s="409">
        <f t="shared" si="18"/>
        <v>1820.6386625547284</v>
      </c>
      <c r="K32" s="409">
        <f t="shared" si="18"/>
        <v>7282.5546502189136</v>
      </c>
      <c r="L32" s="154">
        <f t="shared" si="18"/>
        <v>7459.3490313534312</v>
      </c>
      <c r="M32" s="154">
        <f t="shared" si="18"/>
        <v>12636.01970940588</v>
      </c>
      <c r="N32" s="154">
        <f t="shared" si="18"/>
        <v>21434.011816244434</v>
      </c>
      <c r="O32" s="154">
        <f t="shared" si="18"/>
        <v>32929.492471412181</v>
      </c>
      <c r="P32" s="154">
        <f t="shared" si="18"/>
        <v>44395.776276773024</v>
      </c>
      <c r="Q32" s="154">
        <f>P32*(1+DCF!$F$44)</f>
        <v>44839.734039540752</v>
      </c>
    </row>
    <row r="33" spans="2:17">
      <c r="B33" s="437" t="s">
        <v>101</v>
      </c>
      <c r="C33" s="409"/>
      <c r="D33" s="409"/>
      <c r="E33" s="409">
        <f t="shared" si="18"/>
        <v>0</v>
      </c>
      <c r="F33" s="409">
        <f t="shared" si="18"/>
        <v>834.06241599999987</v>
      </c>
      <c r="G33" s="409">
        <f t="shared" si="18"/>
        <v>1531.761115</v>
      </c>
      <c r="H33" s="409">
        <f t="shared" si="18"/>
        <v>2188.327326337876</v>
      </c>
      <c r="I33" s="427">
        <v>2156.8603129858302</v>
      </c>
      <c r="J33" s="409">
        <f>SUMIFS(J$365:J$381,$B$365:$B$381,$B33)</f>
        <v>675.20800499527684</v>
      </c>
      <c r="K33" s="409">
        <f>I33+J33</f>
        <v>2832.0683179811072</v>
      </c>
      <c r="L33" s="154">
        <f t="shared" si="18"/>
        <v>2757.5449924007103</v>
      </c>
      <c r="M33" s="154">
        <f t="shared" si="18"/>
        <v>2774.0884335551141</v>
      </c>
      <c r="N33" s="154">
        <f t="shared" si="18"/>
        <v>2801.8348262362656</v>
      </c>
      <c r="O33" s="154">
        <f t="shared" si="18"/>
        <v>2835.4633733767519</v>
      </c>
      <c r="P33" s="154">
        <f t="shared" si="18"/>
        <v>2872.3339019177047</v>
      </c>
      <c r="Q33" s="154">
        <f>P33*(1+DCF!$F$44)</f>
        <v>2901.057240936882</v>
      </c>
    </row>
    <row r="34" spans="2:17">
      <c r="B34" s="437" t="s">
        <v>94</v>
      </c>
      <c r="C34" s="409"/>
      <c r="D34" s="409"/>
      <c r="E34" s="409">
        <f t="shared" si="18"/>
        <v>0</v>
      </c>
      <c r="F34" s="409">
        <f t="shared" si="18"/>
        <v>0</v>
      </c>
      <c r="G34" s="409">
        <f t="shared" si="18"/>
        <v>0</v>
      </c>
      <c r="H34" s="409">
        <f t="shared" si="18"/>
        <v>0</v>
      </c>
      <c r="I34" s="427">
        <f>SUMIFS(I$365:I$381,$B$365:$B$381,$B34)</f>
        <v>0</v>
      </c>
      <c r="J34" s="409">
        <f>SUMIFS(J$365:J$381,$B$365:$B$381,$B34)</f>
        <v>0</v>
      </c>
      <c r="K34" s="409">
        <f>SUMIFS(K$365:K$381,$B$365:$B$381,$B34)</f>
        <v>0</v>
      </c>
      <c r="L34" s="154">
        <f t="shared" si="18"/>
        <v>0</v>
      </c>
      <c r="M34" s="154">
        <f t="shared" si="18"/>
        <v>0</v>
      </c>
      <c r="N34" s="154">
        <f t="shared" si="18"/>
        <v>0</v>
      </c>
      <c r="O34" s="154">
        <f t="shared" si="18"/>
        <v>0</v>
      </c>
      <c r="P34" s="154">
        <f t="shared" si="18"/>
        <v>0</v>
      </c>
      <c r="Q34" s="154">
        <f>P34*(1+DCF!$F$44)</f>
        <v>0</v>
      </c>
    </row>
    <row r="35" spans="2:17" ht="13.8" thickBot="1">
      <c r="B35" s="439" t="s">
        <v>114</v>
      </c>
      <c r="C35" s="439"/>
      <c r="D35" s="439"/>
      <c r="E35" s="439">
        <f t="shared" ref="E35:Q35" si="19">E29-E30</f>
        <v>-1268.7863440000001</v>
      </c>
      <c r="F35" s="439">
        <f t="shared" si="19"/>
        <v>-1548.6502219999993</v>
      </c>
      <c r="G35" s="439">
        <f t="shared" si="19"/>
        <v>-1780.7198209999879</v>
      </c>
      <c r="H35" s="439">
        <f t="shared" si="19"/>
        <v>15077.014313523581</v>
      </c>
      <c r="I35" s="440">
        <f t="shared" si="19"/>
        <v>14088.433754379206</v>
      </c>
      <c r="J35" s="439">
        <f t="shared" si="19"/>
        <v>4454.6654905267487</v>
      </c>
      <c r="K35" s="439">
        <f t="shared" si="19"/>
        <v>18543.099244905956</v>
      </c>
      <c r="L35" s="175">
        <f t="shared" si="19"/>
        <v>37664.715296740382</v>
      </c>
      <c r="M35" s="175">
        <f t="shared" si="19"/>
        <v>59645.909613200347</v>
      </c>
      <c r="N35" s="175">
        <f t="shared" si="19"/>
        <v>91067.65478632506</v>
      </c>
      <c r="O35" s="175">
        <f t="shared" si="19"/>
        <v>142913.09403998853</v>
      </c>
      <c r="P35" s="175">
        <f t="shared" si="19"/>
        <v>191856.53414995223</v>
      </c>
      <c r="Q35" s="175">
        <f t="shared" si="19"/>
        <v>193775.09949145169</v>
      </c>
    </row>
    <row r="36" spans="2:17">
      <c r="B36" s="409" t="s">
        <v>94</v>
      </c>
      <c r="C36" s="409"/>
      <c r="D36" s="409"/>
      <c r="E36" s="409">
        <f>E507</f>
        <v>0</v>
      </c>
      <c r="F36" s="409">
        <f t="shared" ref="F36:P36" si="20">F507</f>
        <v>0</v>
      </c>
      <c r="G36" s="409">
        <f t="shared" si="20"/>
        <v>0</v>
      </c>
      <c r="H36" s="409">
        <f t="shared" si="20"/>
        <v>0</v>
      </c>
      <c r="I36" s="427">
        <f t="shared" si="20"/>
        <v>0</v>
      </c>
      <c r="J36" s="409">
        <f t="shared" si="20"/>
        <v>105.27879169532652</v>
      </c>
      <c r="K36" s="409">
        <f t="shared" si="20"/>
        <v>105.27879169532652</v>
      </c>
      <c r="L36" s="154">
        <f t="shared" si="20"/>
        <v>6366.8973495615628</v>
      </c>
      <c r="M36" s="154">
        <f t="shared" si="20"/>
        <v>20342.228810784254</v>
      </c>
      <c r="N36" s="154">
        <f t="shared" si="20"/>
        <v>43586.715076454639</v>
      </c>
      <c r="O36" s="154">
        <f t="shared" si="20"/>
        <v>76958.545319846919</v>
      </c>
      <c r="P36" s="154">
        <f t="shared" si="20"/>
        <v>117380.60778395695</v>
      </c>
    </row>
    <row r="37" spans="2:17">
      <c r="B37" s="442" t="s">
        <v>126</v>
      </c>
      <c r="C37" s="442"/>
      <c r="D37" s="442"/>
      <c r="E37" s="442">
        <f>E494</f>
        <v>1639.5458136363638</v>
      </c>
      <c r="F37" s="442">
        <f t="shared" ref="F37:P37" si="21">F494</f>
        <v>5369.330802999998</v>
      </c>
      <c r="G37" s="442">
        <f t="shared" si="21"/>
        <v>9763.402630999999</v>
      </c>
      <c r="H37" s="442">
        <f t="shared" si="21"/>
        <v>13790.201549999996</v>
      </c>
      <c r="I37" s="438">
        <f t="shared" si="21"/>
        <v>12312.49235224873</v>
      </c>
      <c r="J37" s="442">
        <f t="shared" si="21"/>
        <v>4211.1516678130611</v>
      </c>
      <c r="K37" s="442">
        <f t="shared" si="21"/>
        <v>16523.644020061791</v>
      </c>
      <c r="L37" s="177">
        <f t="shared" si="21"/>
        <v>55246.670159989502</v>
      </c>
      <c r="M37" s="177">
        <f t="shared" si="21"/>
        <v>84506.644452237422</v>
      </c>
      <c r="N37" s="177">
        <f t="shared" si="21"/>
        <v>147938.21820446645</v>
      </c>
      <c r="O37" s="177">
        <f t="shared" si="21"/>
        <v>185780.08422945614</v>
      </c>
      <c r="P37" s="177">
        <f t="shared" si="21"/>
        <v>219493.32832859756</v>
      </c>
      <c r="Q37" s="177"/>
    </row>
    <row r="38" spans="2:17" ht="13.8" thickBot="1">
      <c r="B38" s="439" t="s">
        <v>23</v>
      </c>
      <c r="C38" s="439"/>
      <c r="D38" s="439"/>
      <c r="E38" s="439">
        <f>E35+E36</f>
        <v>-1268.7863440000001</v>
      </c>
      <c r="F38" s="439">
        <f t="shared" ref="F38:Q38" si="22">F35+F36</f>
        <v>-1548.6502219999993</v>
      </c>
      <c r="G38" s="439">
        <f t="shared" si="22"/>
        <v>-1780.7198209999879</v>
      </c>
      <c r="H38" s="439">
        <f t="shared" si="22"/>
        <v>15077.014313523581</v>
      </c>
      <c r="I38" s="440">
        <f t="shared" si="22"/>
        <v>14088.433754379206</v>
      </c>
      <c r="J38" s="439">
        <f t="shared" si="22"/>
        <v>4559.9442822220753</v>
      </c>
      <c r="K38" s="439">
        <f t="shared" si="22"/>
        <v>18648.378036601283</v>
      </c>
      <c r="L38" s="175">
        <f t="shared" si="22"/>
        <v>44031.612646301946</v>
      </c>
      <c r="M38" s="175">
        <f t="shared" si="22"/>
        <v>79988.138423984608</v>
      </c>
      <c r="N38" s="175">
        <f t="shared" si="22"/>
        <v>134654.36986277968</v>
      </c>
      <c r="O38" s="175">
        <f t="shared" si="22"/>
        <v>219871.63935983545</v>
      </c>
      <c r="P38" s="175">
        <f t="shared" si="22"/>
        <v>309237.14193390915</v>
      </c>
      <c r="Q38" s="175">
        <f t="shared" si="22"/>
        <v>193775.09949145169</v>
      </c>
    </row>
    <row r="39" spans="2:17">
      <c r="B39" s="409"/>
      <c r="C39" s="409"/>
      <c r="D39" s="409"/>
      <c r="E39" s="409"/>
      <c r="F39" s="409"/>
      <c r="G39" s="409"/>
      <c r="H39" s="409"/>
      <c r="I39" s="409"/>
      <c r="J39" s="409"/>
      <c r="K39" s="409"/>
    </row>
    <row r="40" spans="2:17">
      <c r="B40" s="409" t="s">
        <v>163</v>
      </c>
      <c r="C40" s="409"/>
      <c r="D40" s="409"/>
      <c r="E40" s="409"/>
      <c r="F40" s="409"/>
      <c r="G40" s="409"/>
      <c r="H40" s="409"/>
      <c r="I40" s="409"/>
      <c r="J40" s="409"/>
      <c r="K40" s="409"/>
    </row>
    <row r="42" spans="2:17">
      <c r="B42" s="178" t="s">
        <v>164</v>
      </c>
      <c r="C42" s="179"/>
      <c r="D42" s="179"/>
      <c r="E42" s="180"/>
      <c r="F42" s="180">
        <f>IFERROR(F8/E8-1,"")</f>
        <v>15.428302765211178</v>
      </c>
      <c r="G42" s="180">
        <f>IFERROR(G8/F8-1,"")</f>
        <v>1.0269490339470755</v>
      </c>
      <c r="H42" s="180">
        <f t="shared" ref="H42" si="23">IFERROR(H8/G8-1,"")</f>
        <v>0.49685101144361177</v>
      </c>
      <c r="I42" s="180">
        <f>IFERROR((I8/3*4)/H8-1,"")</f>
        <v>0.81228805100747059</v>
      </c>
      <c r="J42" s="180">
        <f>IFERROR((J8*3)/I8-1,"")</f>
        <v>4.0162305472328574E-2</v>
      </c>
      <c r="K42" s="180">
        <f>IFERROR(K8/H8-1,"")</f>
        <v>0.83048446758457373</v>
      </c>
      <c r="L42" s="180">
        <f t="shared" ref="L42:Q42" si="24">IFERROR(L8/K8-1,"")</f>
        <v>0.48441370541716111</v>
      </c>
      <c r="M42" s="180">
        <f t="shared" si="24"/>
        <v>0.44287021604920973</v>
      </c>
      <c r="N42" s="180">
        <f t="shared" si="24"/>
        <v>0.42015746372713925</v>
      </c>
      <c r="O42" s="180">
        <f t="shared" si="24"/>
        <v>0.34231743187693398</v>
      </c>
      <c r="P42" s="180">
        <f t="shared" si="24"/>
        <v>0.25919698249989787</v>
      </c>
      <c r="Q42" s="181">
        <f t="shared" si="24"/>
        <v>1.0000000000000009E-2</v>
      </c>
    </row>
    <row r="43" spans="2:17">
      <c r="B43" s="183" t="s">
        <v>165</v>
      </c>
      <c r="C43" s="184"/>
      <c r="D43" s="184"/>
      <c r="E43" s="185">
        <f t="shared" ref="E43:Q43" si="25">IFERROR(E20/E$8,"")</f>
        <v>2.1181014989149967</v>
      </c>
      <c r="F43" s="185">
        <f t="shared" si="25"/>
        <v>0.72941029957331105</v>
      </c>
      <c r="G43" s="185">
        <f t="shared" si="25"/>
        <v>0.80334852448448768</v>
      </c>
      <c r="H43" s="185">
        <f t="shared" si="25"/>
        <v>0.54941075704850006</v>
      </c>
      <c r="I43" s="185">
        <f t="shared" si="25"/>
        <v>0.65372341661622801</v>
      </c>
      <c r="J43" s="185">
        <f t="shared" si="25"/>
        <v>0.67779403064005195</v>
      </c>
      <c r="K43" s="185">
        <f t="shared" si="25"/>
        <v>0.65992053036664411</v>
      </c>
      <c r="L43" s="185">
        <f t="shared" si="25"/>
        <v>0.64267105509954425</v>
      </c>
      <c r="M43" s="185">
        <f t="shared" si="25"/>
        <v>0.62827358199669636</v>
      </c>
      <c r="N43" s="185">
        <f t="shared" si="25"/>
        <v>0.6101184600107159</v>
      </c>
      <c r="O43" s="185">
        <f t="shared" si="25"/>
        <v>0.5590383014725786</v>
      </c>
      <c r="P43" s="185">
        <f t="shared" si="25"/>
        <v>0.53592848037005825</v>
      </c>
      <c r="Q43" s="186">
        <f t="shared" si="25"/>
        <v>0.53592848037005836</v>
      </c>
    </row>
    <row r="44" spans="2:17">
      <c r="B44" s="183" t="s">
        <v>166</v>
      </c>
      <c r="C44" s="184"/>
      <c r="D44" s="184"/>
      <c r="E44" s="185">
        <f t="shared" ref="E44:Q44" si="26">IFERROR(E30/E$8,"")</f>
        <v>0</v>
      </c>
      <c r="F44" s="185">
        <f t="shared" si="26"/>
        <v>0.35366145340929939</v>
      </c>
      <c r="G44" s="185">
        <f t="shared" si="26"/>
        <v>0.24377663141099803</v>
      </c>
      <c r="H44" s="185">
        <f t="shared" si="26"/>
        <v>0.1840298571159045</v>
      </c>
      <c r="I44" s="185">
        <f t="shared" si="26"/>
        <v>0.16302283962567821</v>
      </c>
      <c r="J44" s="185">
        <f t="shared" si="26"/>
        <v>0.15508714086890016</v>
      </c>
      <c r="K44" s="185">
        <f t="shared" si="26"/>
        <v>0.16097974974703552</v>
      </c>
      <c r="L44" s="185">
        <f t="shared" si="26"/>
        <v>0.11225772228047604</v>
      </c>
      <c r="M44" s="185">
        <f t="shared" si="26"/>
        <v>0.1027519694931678</v>
      </c>
      <c r="N44" s="185">
        <f t="shared" si="26"/>
        <v>0.10070835948638952</v>
      </c>
      <c r="O44" s="185">
        <f t="shared" si="26"/>
        <v>0.10288857151698244</v>
      </c>
      <c r="P44" s="185">
        <f t="shared" si="26"/>
        <v>0.10364100710562939</v>
      </c>
      <c r="Q44" s="186">
        <f t="shared" si="26"/>
        <v>0.1036410071056294</v>
      </c>
    </row>
    <row r="45" spans="2:17">
      <c r="B45" s="183" t="s">
        <v>167</v>
      </c>
      <c r="C45" s="184"/>
      <c r="D45" s="184"/>
      <c r="E45" s="185">
        <f t="shared" ref="E45:Q45" si="27">IFERROR(E35/E$8,"")</f>
        <v>-1.1181014989149969</v>
      </c>
      <c r="F45" s="185">
        <f t="shared" si="27"/>
        <v>-8.307175298261045E-2</v>
      </c>
      <c r="G45" s="185">
        <f t="shared" si="27"/>
        <v>-4.7125155895485688E-2</v>
      </c>
      <c r="H45" s="185">
        <f t="shared" si="27"/>
        <v>0.26655938583559541</v>
      </c>
      <c r="I45" s="185">
        <f t="shared" si="27"/>
        <v>0.18325374375809375</v>
      </c>
      <c r="J45" s="185">
        <f t="shared" si="27"/>
        <v>0.16711882849104787</v>
      </c>
      <c r="K45" s="185">
        <f t="shared" si="27"/>
        <v>0.17909971988632037</v>
      </c>
      <c r="L45" s="185">
        <f t="shared" si="27"/>
        <v>0.24507122261997963</v>
      </c>
      <c r="M45" s="185">
        <f t="shared" si="27"/>
        <v>0.26897444851013586</v>
      </c>
      <c r="N45" s="185">
        <f t="shared" si="27"/>
        <v>0.28917318050289464</v>
      </c>
      <c r="O45" s="185">
        <f t="shared" si="27"/>
        <v>0.3380731270104389</v>
      </c>
      <c r="P45" s="185">
        <f t="shared" si="27"/>
        <v>0.36043051252431235</v>
      </c>
      <c r="Q45" s="186">
        <f t="shared" si="27"/>
        <v>0.36043051252431224</v>
      </c>
    </row>
    <row r="46" spans="2:17">
      <c r="B46" s="188" t="s">
        <v>168</v>
      </c>
      <c r="C46" s="189"/>
      <c r="D46" s="189"/>
      <c r="E46" s="190">
        <f t="shared" ref="E46:Q46" si="28">IFERROR(E38/E$8,"")</f>
        <v>-1.1181014989149969</v>
      </c>
      <c r="F46" s="190">
        <f t="shared" si="28"/>
        <v>-8.307175298261045E-2</v>
      </c>
      <c r="G46" s="190">
        <f t="shared" si="28"/>
        <v>-4.7125155895485688E-2</v>
      </c>
      <c r="H46" s="190">
        <f t="shared" si="28"/>
        <v>0.26655938583559541</v>
      </c>
      <c r="I46" s="190">
        <f t="shared" si="28"/>
        <v>0.18325374375809375</v>
      </c>
      <c r="J46" s="190">
        <f t="shared" si="28"/>
        <v>0.17106841087169833</v>
      </c>
      <c r="K46" s="190">
        <f t="shared" si="28"/>
        <v>0.18011656188525338</v>
      </c>
      <c r="L46" s="190">
        <f t="shared" si="28"/>
        <v>0.28649841264278586</v>
      </c>
      <c r="M46" s="190">
        <f t="shared" si="28"/>
        <v>0.36070814510945431</v>
      </c>
      <c r="N46" s="190">
        <f t="shared" si="28"/>
        <v>0.42757697552655344</v>
      </c>
      <c r="O46" s="190">
        <f t="shared" si="28"/>
        <v>0.52012513729842014</v>
      </c>
      <c r="P46" s="190">
        <f t="shared" si="28"/>
        <v>0.58094712308144836</v>
      </c>
      <c r="Q46" s="191">
        <f t="shared" si="28"/>
        <v>0.36043051252431224</v>
      </c>
    </row>
    <row r="47" spans="2:17">
      <c r="J47" s="228"/>
      <c r="K47" s="228"/>
      <c r="L47" s="228"/>
      <c r="M47" s="228"/>
      <c r="N47" s="228"/>
      <c r="O47" s="228"/>
      <c r="P47" s="228"/>
      <c r="Q47" s="228"/>
    </row>
    <row r="54" spans="1:17">
      <c r="A54" s="154">
        <v>1</v>
      </c>
      <c r="B54" s="162" t="s">
        <v>9</v>
      </c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</row>
    <row r="56" spans="1:17">
      <c r="B56" s="196" t="s">
        <v>9</v>
      </c>
      <c r="C56" s="196"/>
      <c r="D56" s="196"/>
      <c r="E56" s="196"/>
      <c r="F56" s="196"/>
      <c r="G56" s="196"/>
      <c r="H56" s="196"/>
      <c r="I56" s="197"/>
      <c r="J56" s="196"/>
      <c r="K56" s="196"/>
      <c r="L56" s="196"/>
      <c r="M56" s="196"/>
      <c r="N56" s="196"/>
      <c r="O56" s="196"/>
      <c r="P56" s="196"/>
      <c r="Q56" s="196"/>
    </row>
    <row r="57" spans="1:17">
      <c r="B57" s="168" t="s">
        <v>66</v>
      </c>
      <c r="E57" s="154">
        <f>SUM(E58:E59)</f>
        <v>851.835689</v>
      </c>
      <c r="F57" s="154">
        <f t="shared" ref="F57:P57" si="29">SUM(F58:F59)</f>
        <v>2778.1461530000001</v>
      </c>
      <c r="G57" s="154">
        <f t="shared" si="29"/>
        <v>7406.8122089999997</v>
      </c>
      <c r="H57" s="154">
        <f t="shared" si="29"/>
        <v>15206.89199</v>
      </c>
      <c r="I57" s="221">
        <f>SUM(I58:I59)</f>
        <v>16194.512715999999</v>
      </c>
      <c r="J57" s="154">
        <f t="shared" si="29"/>
        <v>7160.2498380000015</v>
      </c>
      <c r="K57" s="154">
        <f t="shared" si="29"/>
        <v>23354.762554000001</v>
      </c>
      <c r="L57" s="154">
        <f t="shared" si="29"/>
        <v>37084.749076739223</v>
      </c>
      <c r="M57" s="154">
        <f t="shared" si="29"/>
        <v>62928.545846922949</v>
      </c>
      <c r="N57" s="154">
        <f t="shared" si="29"/>
        <v>111125.71438122814</v>
      </c>
      <c r="O57" s="154">
        <f t="shared" si="29"/>
        <v>176753.81258703041</v>
      </c>
      <c r="P57" s="154">
        <f t="shared" si="29"/>
        <v>242410.65418276429</v>
      </c>
    </row>
    <row r="58" spans="1:17">
      <c r="B58" s="170" t="s">
        <v>484</v>
      </c>
      <c r="E58" s="154">
        <f>E73</f>
        <v>851.835689</v>
      </c>
      <c r="F58" s="154">
        <f t="shared" ref="F58:P58" si="30">F73</f>
        <v>2778.1461530000001</v>
      </c>
      <c r="G58" s="154">
        <f t="shared" si="30"/>
        <v>7406.8122089999997</v>
      </c>
      <c r="H58" s="154">
        <f t="shared" si="30"/>
        <v>15206.89199</v>
      </c>
      <c r="I58" s="221">
        <f t="shared" si="30"/>
        <v>16194.512715999999</v>
      </c>
      <c r="J58" s="154">
        <f t="shared" si="30"/>
        <v>7160.2498380000015</v>
      </c>
      <c r="K58" s="154">
        <f t="shared" si="30"/>
        <v>23354.762554000001</v>
      </c>
      <c r="L58" s="154">
        <f t="shared" si="30"/>
        <v>36734.180775290843</v>
      </c>
      <c r="M58" s="154">
        <f t="shared" si="30"/>
        <v>62114.422059458011</v>
      </c>
      <c r="N58" s="154">
        <f t="shared" si="30"/>
        <v>109414.83334786381</v>
      </c>
      <c r="O58" s="154">
        <f t="shared" si="30"/>
        <v>173005.11370432621</v>
      </c>
      <c r="P58" s="154">
        <f t="shared" si="30"/>
        <v>236907.38456425315</v>
      </c>
    </row>
    <row r="59" spans="1:17">
      <c r="B59" s="170" t="s">
        <v>485</v>
      </c>
      <c r="E59" s="154">
        <f t="shared" ref="E59:L59" si="31">E107</f>
        <v>0</v>
      </c>
      <c r="F59" s="154">
        <f t="shared" si="31"/>
        <v>0</v>
      </c>
      <c r="G59" s="154">
        <f t="shared" si="31"/>
        <v>0</v>
      </c>
      <c r="H59" s="154">
        <f t="shared" si="31"/>
        <v>0</v>
      </c>
      <c r="I59" s="221">
        <f t="shared" si="31"/>
        <v>0</v>
      </c>
      <c r="J59" s="154">
        <f t="shared" si="31"/>
        <v>0</v>
      </c>
      <c r="K59" s="154">
        <f t="shared" si="31"/>
        <v>0</v>
      </c>
      <c r="L59" s="154">
        <f t="shared" si="31"/>
        <v>350.56830144838233</v>
      </c>
      <c r="M59" s="154">
        <f>M107</f>
        <v>814.12378746493471</v>
      </c>
      <c r="N59" s="154">
        <f t="shared" ref="N59:P59" si="32">N107</f>
        <v>1710.8810333643369</v>
      </c>
      <c r="O59" s="154">
        <f t="shared" si="32"/>
        <v>3748.6988827041982</v>
      </c>
      <c r="P59" s="154">
        <f t="shared" si="32"/>
        <v>5503.2696185111454</v>
      </c>
    </row>
    <row r="60" spans="1:17">
      <c r="B60" s="168" t="s">
        <v>67</v>
      </c>
      <c r="E60" s="409">
        <f>SUM(E61:E62)</f>
        <v>0</v>
      </c>
      <c r="F60" s="409">
        <f>F124</f>
        <v>0</v>
      </c>
      <c r="G60" s="409">
        <f t="shared" ref="G60:I60" si="33">G124</f>
        <v>170.45483500000958</v>
      </c>
      <c r="H60" s="409">
        <f t="shared" si="33"/>
        <v>4034.5532449999996</v>
      </c>
      <c r="I60" s="427">
        <f t="shared" si="33"/>
        <v>13092.645149000002</v>
      </c>
      <c r="J60" s="409">
        <f t="shared" ref="J60:P60" si="34">SUM(J61:J62)</f>
        <v>5241.5704242686834</v>
      </c>
      <c r="K60" s="409">
        <f t="shared" si="34"/>
        <v>18334.215573268684</v>
      </c>
      <c r="L60" s="409">
        <f t="shared" si="34"/>
        <v>33638.150015567029</v>
      </c>
      <c r="M60" s="409">
        <f t="shared" si="34"/>
        <v>39443.426568419498</v>
      </c>
      <c r="N60" s="409">
        <f t="shared" si="34"/>
        <v>43359.074377778663</v>
      </c>
      <c r="O60" s="409">
        <f t="shared" si="34"/>
        <v>45685.917939301165</v>
      </c>
      <c r="P60" s="409">
        <f t="shared" si="34"/>
        <v>47267.984438100451</v>
      </c>
      <c r="Q60" s="409"/>
    </row>
    <row r="61" spans="1:17">
      <c r="B61" s="170" t="s">
        <v>486</v>
      </c>
      <c r="E61" s="409">
        <f>E130</f>
        <v>0</v>
      </c>
      <c r="F61" s="409">
        <f>F130</f>
        <v>0</v>
      </c>
      <c r="G61" s="409">
        <f>G130</f>
        <v>170.45483500000958</v>
      </c>
      <c r="H61" s="409">
        <f>H130</f>
        <v>4034.5532449999996</v>
      </c>
      <c r="I61" s="427">
        <f>K61-J61</f>
        <v>13092.645149000002</v>
      </c>
      <c r="J61" s="409">
        <f t="shared" ref="J61:P61" si="35">J130</f>
        <v>3930.6115279999958</v>
      </c>
      <c r="K61" s="409">
        <f t="shared" si="35"/>
        <v>17023.256676999998</v>
      </c>
      <c r="L61" s="409">
        <f t="shared" si="35"/>
        <v>27271.435217382219</v>
      </c>
      <c r="M61" s="409">
        <f t="shared" si="35"/>
        <v>32306.901049006308</v>
      </c>
      <c r="N61" s="409">
        <f t="shared" si="35"/>
        <v>35667.904221748046</v>
      </c>
      <c r="O61" s="409">
        <f t="shared" si="35"/>
        <v>37637.604425935526</v>
      </c>
      <c r="P61" s="409">
        <f t="shared" si="35"/>
        <v>38931.391009942214</v>
      </c>
      <c r="Q61" s="409"/>
    </row>
    <row r="62" spans="1:17">
      <c r="B62" s="170" t="s">
        <v>487</v>
      </c>
      <c r="E62" s="409">
        <f>E162</f>
        <v>0</v>
      </c>
      <c r="F62" s="409">
        <f>F162</f>
        <v>0</v>
      </c>
      <c r="G62" s="409">
        <f>G162</f>
        <v>0</v>
      </c>
      <c r="H62" s="409">
        <f>H162</f>
        <v>0</v>
      </c>
      <c r="I62" s="427"/>
      <c r="J62" s="409">
        <f t="shared" ref="J62:P62" si="36">J162</f>
        <v>1310.9588962686878</v>
      </c>
      <c r="K62" s="409">
        <f>I62+J62</f>
        <v>1310.9588962686878</v>
      </c>
      <c r="L62" s="409">
        <f t="shared" si="36"/>
        <v>6366.7147981848075</v>
      </c>
      <c r="M62" s="409">
        <f t="shared" si="36"/>
        <v>7136.5255194131933</v>
      </c>
      <c r="N62" s="409">
        <f t="shared" si="36"/>
        <v>7691.1701560306146</v>
      </c>
      <c r="O62" s="409">
        <f t="shared" si="36"/>
        <v>8048.3135133656397</v>
      </c>
      <c r="P62" s="409">
        <f t="shared" si="36"/>
        <v>8336.5934281582358</v>
      </c>
      <c r="Q62" s="409"/>
    </row>
    <row r="63" spans="1:17">
      <c r="B63" s="168" t="s">
        <v>68</v>
      </c>
      <c r="E63" s="409">
        <f>SUM(E64:E65)</f>
        <v>282.932796</v>
      </c>
      <c r="F63" s="409">
        <f t="shared" ref="F63:H63" si="37">SUM(F64:F65)</f>
        <v>15864.174086999999</v>
      </c>
      <c r="G63" s="409">
        <f t="shared" si="37"/>
        <v>30209.765957000003</v>
      </c>
      <c r="H63" s="409">
        <f t="shared" si="37"/>
        <v>33591.691888000001</v>
      </c>
      <c r="I63" s="427">
        <f>SUM(I64:I65)</f>
        <v>37332.487477000002</v>
      </c>
      <c r="J63" s="409">
        <f>SUM(J64:J65)</f>
        <v>12444.162492333333</v>
      </c>
      <c r="K63" s="409">
        <f>SUM(I63:J63)</f>
        <v>49776.649969333332</v>
      </c>
      <c r="L63" s="409">
        <f t="shared" ref="L63:P63" si="38">SUM(L64:L65)</f>
        <v>64231.011249456409</v>
      </c>
      <c r="M63" s="409">
        <f t="shared" si="38"/>
        <v>77036.872728608694</v>
      </c>
      <c r="N63" s="409">
        <f t="shared" si="38"/>
        <v>87707.765718445706</v>
      </c>
      <c r="O63" s="409">
        <f t="shared" si="38"/>
        <v>88795.180983228871</v>
      </c>
      <c r="P63" s="409">
        <f t="shared" si="38"/>
        <v>87922.717493714576</v>
      </c>
      <c r="Q63" s="409"/>
    </row>
    <row r="64" spans="1:17">
      <c r="B64" s="170" t="s">
        <v>488</v>
      </c>
      <c r="E64" s="409">
        <f t="shared" ref="E64:P64" si="39">E168</f>
        <v>282.932796</v>
      </c>
      <c r="F64" s="409">
        <f t="shared" si="39"/>
        <v>3058.8926780000002</v>
      </c>
      <c r="G64" s="409">
        <f t="shared" si="39"/>
        <v>12700.44478</v>
      </c>
      <c r="H64" s="409">
        <f t="shared" si="39"/>
        <v>24875.830383</v>
      </c>
      <c r="I64" s="427">
        <f t="shared" si="39"/>
        <v>28327.277816999998</v>
      </c>
      <c r="J64" s="409">
        <f t="shared" si="39"/>
        <v>9442.4259389999988</v>
      </c>
      <c r="K64" s="409">
        <f t="shared" si="39"/>
        <v>37769.703755999995</v>
      </c>
      <c r="L64" s="409">
        <f t="shared" si="39"/>
        <v>51788.032784385883</v>
      </c>
      <c r="M64" s="409">
        <f t="shared" si="39"/>
        <v>64218.813120687075</v>
      </c>
      <c r="N64" s="409">
        <f t="shared" si="39"/>
        <v>74399.030788732853</v>
      </c>
      <c r="O64" s="409">
        <f t="shared" si="39"/>
        <v>74949.624921391107</v>
      </c>
      <c r="P64" s="409">
        <f t="shared" si="39"/>
        <v>73490.42830264433</v>
      </c>
      <c r="Q64" s="409"/>
    </row>
    <row r="65" spans="2:17">
      <c r="B65" s="170" t="s">
        <v>489</v>
      </c>
      <c r="E65" s="409">
        <f t="shared" ref="E65:P65" si="40">E204</f>
        <v>0</v>
      </c>
      <c r="F65" s="409">
        <f t="shared" si="40"/>
        <v>12805.281408999999</v>
      </c>
      <c r="G65" s="409">
        <f t="shared" si="40"/>
        <v>17509.321177000002</v>
      </c>
      <c r="H65" s="409">
        <f t="shared" si="40"/>
        <v>8715.8615049999989</v>
      </c>
      <c r="I65" s="427">
        <f t="shared" si="40"/>
        <v>9005.2096600000004</v>
      </c>
      <c r="J65" s="409">
        <f t="shared" si="40"/>
        <v>3001.7365533333341</v>
      </c>
      <c r="K65" s="409">
        <f t="shared" si="40"/>
        <v>12006.946213333335</v>
      </c>
      <c r="L65" s="409">
        <f t="shared" si="40"/>
        <v>12442.97846507053</v>
      </c>
      <c r="M65" s="409">
        <f t="shared" si="40"/>
        <v>12818.059607921616</v>
      </c>
      <c r="N65" s="409">
        <f t="shared" si="40"/>
        <v>13308.734929712859</v>
      </c>
      <c r="O65" s="409">
        <f t="shared" si="40"/>
        <v>13845.556061837757</v>
      </c>
      <c r="P65" s="409">
        <f t="shared" si="40"/>
        <v>14432.289191070251</v>
      </c>
      <c r="Q65" s="409"/>
    </row>
    <row r="66" spans="2:17">
      <c r="B66" s="168" t="s">
        <v>493</v>
      </c>
      <c r="E66" s="409">
        <f>E209</f>
        <v>0</v>
      </c>
      <c r="F66" s="409">
        <f t="shared" ref="F66:P66" si="41">F209</f>
        <v>0</v>
      </c>
      <c r="G66" s="409">
        <f t="shared" si="41"/>
        <v>0</v>
      </c>
      <c r="H66" s="409">
        <f t="shared" si="41"/>
        <v>3728.4214440000001</v>
      </c>
      <c r="I66" s="438">
        <f t="shared" si="41"/>
        <v>5429.0823350000001</v>
      </c>
      <c r="J66" s="409">
        <f t="shared" si="41"/>
        <v>1809.6941116666667</v>
      </c>
      <c r="K66" s="409">
        <f t="shared" si="41"/>
        <v>7238.7764466666667</v>
      </c>
      <c r="L66" s="409">
        <f t="shared" si="41"/>
        <v>18734.943429311377</v>
      </c>
      <c r="M66" s="409">
        <f t="shared" si="41"/>
        <v>42344.22450107387</v>
      </c>
      <c r="N66" s="409">
        <f t="shared" si="41"/>
        <v>72731.722483333855</v>
      </c>
      <c r="O66" s="409">
        <f t="shared" si="41"/>
        <v>111493.43517614262</v>
      </c>
      <c r="P66" s="409">
        <f t="shared" si="41"/>
        <v>154696.90244922863</v>
      </c>
      <c r="Q66" s="409"/>
    </row>
    <row r="67" spans="2:17" ht="13.8" thickBot="1">
      <c r="B67" s="175" t="s">
        <v>494</v>
      </c>
      <c r="C67" s="175"/>
      <c r="D67" s="175"/>
      <c r="E67" s="439">
        <f>SUM(E57,E60,E63,E66)</f>
        <v>1134.7684850000001</v>
      </c>
      <c r="F67" s="439">
        <f t="shared" ref="F67:Q67" si="42">SUM(F57,F60,F63,F66)</f>
        <v>18642.320240000001</v>
      </c>
      <c r="G67" s="439">
        <f t="shared" si="42"/>
        <v>37787.033001000011</v>
      </c>
      <c r="H67" s="439">
        <f t="shared" si="42"/>
        <v>56561.558567</v>
      </c>
      <c r="I67" s="440">
        <f t="shared" si="42"/>
        <v>72048.727677000003</v>
      </c>
      <c r="J67" s="439">
        <f t="shared" si="42"/>
        <v>26655.676866268685</v>
      </c>
      <c r="K67" s="439">
        <f t="shared" si="42"/>
        <v>98704.404543268683</v>
      </c>
      <c r="L67" s="439">
        <f t="shared" si="42"/>
        <v>153688.85377107403</v>
      </c>
      <c r="M67" s="439">
        <f t="shared" si="42"/>
        <v>221753.06964502501</v>
      </c>
      <c r="N67" s="439">
        <f t="shared" si="42"/>
        <v>314924.27696078637</v>
      </c>
      <c r="O67" s="439">
        <f t="shared" si="42"/>
        <v>422728.34668570303</v>
      </c>
      <c r="P67" s="439">
        <f t="shared" si="42"/>
        <v>532298.25856380793</v>
      </c>
      <c r="Q67" s="439">
        <f t="shared" si="42"/>
        <v>0</v>
      </c>
    </row>
    <row r="68" spans="2:17">
      <c r="E68" s="409"/>
      <c r="F68" s="409"/>
      <c r="G68" s="409"/>
      <c r="H68" s="409"/>
      <c r="I68" s="409"/>
      <c r="J68" s="409"/>
      <c r="K68" s="291"/>
      <c r="L68" s="291"/>
      <c r="M68" s="291"/>
      <c r="N68" s="291"/>
      <c r="O68" s="291"/>
      <c r="P68" s="291"/>
      <c r="Q68" s="409"/>
    </row>
    <row r="69" spans="2:17">
      <c r="E69" s="409"/>
      <c r="F69" s="409"/>
      <c r="G69" s="409"/>
      <c r="H69" s="409"/>
      <c r="I69" s="409"/>
      <c r="J69" s="409"/>
      <c r="K69" s="409"/>
      <c r="L69" s="409"/>
      <c r="M69" s="409"/>
      <c r="N69" s="409"/>
      <c r="O69" s="409"/>
      <c r="P69" s="409"/>
      <c r="Q69" s="409"/>
    </row>
    <row r="70" spans="2:17">
      <c r="E70" s="409"/>
      <c r="F70" s="409"/>
      <c r="G70" s="409"/>
      <c r="H70" s="409"/>
      <c r="I70" s="409"/>
      <c r="J70" s="409"/>
      <c r="K70" s="291"/>
      <c r="L70" s="409"/>
      <c r="M70" s="409"/>
      <c r="N70" s="409"/>
      <c r="O70" s="409"/>
      <c r="P70" s="409"/>
      <c r="Q70" s="409"/>
    </row>
    <row r="71" spans="2:17">
      <c r="B71" s="171" t="s">
        <v>495</v>
      </c>
      <c r="E71" s="409"/>
      <c r="F71" s="409"/>
      <c r="G71" s="409"/>
      <c r="H71" s="409"/>
      <c r="I71" s="409"/>
      <c r="J71" s="409"/>
      <c r="K71" s="409"/>
      <c r="L71" s="409"/>
      <c r="M71" s="409"/>
      <c r="N71" s="409"/>
      <c r="O71" s="409"/>
      <c r="P71" s="409"/>
      <c r="Q71" s="409"/>
    </row>
    <row r="72" spans="2:17">
      <c r="E72" s="409"/>
      <c r="F72" s="409"/>
      <c r="G72" s="409"/>
      <c r="H72" s="409"/>
      <c r="I72" s="409"/>
      <c r="J72" s="409">
        <f>I73/3</f>
        <v>5398.1709053333334</v>
      </c>
      <c r="K72" s="409">
        <f>H73+(H78*H96/2+K78*K96/2+H79*H98/2+K79*K98/2)*12</f>
        <v>23354.762554000001</v>
      </c>
      <c r="L72" s="409">
        <f>K73+(K78*K96/2+L78*L96/2+K79*K98/2+L79*L98/2)*12</f>
        <v>36734.180775290843</v>
      </c>
      <c r="M72" s="409"/>
      <c r="N72" s="409"/>
      <c r="O72" s="409"/>
      <c r="P72" s="409"/>
      <c r="Q72" s="409"/>
    </row>
    <row r="73" spans="2:17" ht="13.8" thickBot="1">
      <c r="B73" s="175" t="s">
        <v>496</v>
      </c>
      <c r="C73" s="175"/>
      <c r="D73" s="175"/>
      <c r="E73" s="439">
        <f>0.851835689*1000</f>
        <v>851.835689</v>
      </c>
      <c r="F73" s="439">
        <v>2778.1461530000001</v>
      </c>
      <c r="G73" s="439">
        <v>7406.8122089999997</v>
      </c>
      <c r="H73" s="439">
        <v>15206.89199</v>
      </c>
      <c r="I73" s="439">
        <v>16194.512715999999</v>
      </c>
      <c r="J73" s="439">
        <f>K73-I73</f>
        <v>7160.2498380000015</v>
      </c>
      <c r="K73" s="439">
        <f>H73+(H78*H96/2+K78*K96/2+H79*H98/2+K79*K98/2)*12</f>
        <v>23354.762554000001</v>
      </c>
      <c r="L73" s="439">
        <f>K73+(K78*K96/2+L78*L96/2+K79*K98/2+L79*L98/2)*12</f>
        <v>36734.180775290843</v>
      </c>
      <c r="M73" s="439">
        <f>L73+(L78*L96/2+M78*M96/2+L79*L98/2+M79*M98/2)*12</f>
        <v>62114.422059458011</v>
      </c>
      <c r="N73" s="439">
        <f>M73+(M78*M96/2+N78*N96/2+M79*M98/2+N79*N98/2)*12</f>
        <v>109414.83334786381</v>
      </c>
      <c r="O73" s="439">
        <f>N73+(N78*N96/2+O78*O96/2+N79*N98/2+O79*O98/2)*12</f>
        <v>173005.11370432621</v>
      </c>
      <c r="P73" s="439">
        <f>O73+(O78*O96/2+P78*P96/2+O79*O98/2+P79*P98/2)*12</f>
        <v>236907.38456425315</v>
      </c>
      <c r="Q73" s="439"/>
    </row>
    <row r="74" spans="2:17">
      <c r="E74" s="409"/>
      <c r="F74" s="291"/>
      <c r="G74" s="291"/>
      <c r="H74" s="291"/>
      <c r="I74" s="291"/>
      <c r="J74" s="291"/>
      <c r="K74" s="291"/>
      <c r="L74" s="291"/>
      <c r="M74" s="291"/>
      <c r="N74" s="291"/>
      <c r="O74" s="291"/>
      <c r="P74" s="291"/>
      <c r="Q74" s="409"/>
    </row>
    <row r="75" spans="2:17">
      <c r="E75" s="409"/>
      <c r="F75" s="409"/>
      <c r="G75" s="409"/>
      <c r="H75" s="409"/>
      <c r="I75" s="409"/>
      <c r="J75" s="409"/>
      <c r="K75" s="409"/>
      <c r="L75" s="409"/>
      <c r="M75" s="409"/>
      <c r="N75" s="409"/>
      <c r="O75" s="409"/>
      <c r="P75" s="409"/>
      <c r="Q75" s="409"/>
    </row>
    <row r="76" spans="2:17">
      <c r="B76" s="154" t="s">
        <v>497</v>
      </c>
      <c r="C76" s="154" t="s">
        <v>349</v>
      </c>
      <c r="E76" s="409"/>
      <c r="F76" s="409"/>
      <c r="G76" s="409"/>
      <c r="H76" s="409"/>
      <c r="I76" s="409"/>
      <c r="J76" s="409"/>
      <c r="K76" s="409"/>
      <c r="L76" s="409"/>
      <c r="M76" s="409"/>
      <c r="N76" s="409"/>
      <c r="O76" s="409"/>
      <c r="P76" s="409"/>
      <c r="Q76" s="409"/>
    </row>
    <row r="77" spans="2:17">
      <c r="B77" s="205" t="s">
        <v>350</v>
      </c>
      <c r="C77" s="196"/>
      <c r="D77" s="196"/>
      <c r="E77" s="421">
        <v>1222</v>
      </c>
      <c r="F77" s="421">
        <f>E80</f>
        <v>4103</v>
      </c>
      <c r="G77" s="421">
        <f>F80</f>
        <v>17214</v>
      </c>
      <c r="H77" s="421">
        <f>G80</f>
        <v>53401</v>
      </c>
      <c r="I77" s="443">
        <f>H80</f>
        <v>99431</v>
      </c>
      <c r="J77" s="421">
        <f>I80</f>
        <v>127841</v>
      </c>
      <c r="K77" s="421">
        <f>H80</f>
        <v>99431</v>
      </c>
      <c r="L77" s="421">
        <f t="shared" ref="L77:P77" si="43">K80</f>
        <v>137310.99999999997</v>
      </c>
      <c r="M77" s="421">
        <f t="shared" si="43"/>
        <v>237731.32593085698</v>
      </c>
      <c r="N77" s="421">
        <f t="shared" si="43"/>
        <v>395716.71326157614</v>
      </c>
      <c r="O77" s="421">
        <f t="shared" si="43"/>
        <v>713975.61577886995</v>
      </c>
      <c r="P77" s="421">
        <f t="shared" si="43"/>
        <v>1034699.3303891799</v>
      </c>
      <c r="Q77" s="421"/>
    </row>
    <row r="78" spans="2:17">
      <c r="B78" s="168" t="s">
        <v>351</v>
      </c>
      <c r="E78" s="409">
        <f>E83</f>
        <v>4568</v>
      </c>
      <c r="F78" s="409">
        <f t="shared" ref="F78:P78" si="44">F83</f>
        <v>18166</v>
      </c>
      <c r="G78" s="409">
        <f t="shared" si="44"/>
        <v>49719</v>
      </c>
      <c r="H78" s="409">
        <f t="shared" si="44"/>
        <v>72459</v>
      </c>
      <c r="I78" s="427">
        <f t="shared" si="44"/>
        <v>59100</v>
      </c>
      <c r="J78" s="409">
        <f t="shared" si="44"/>
        <v>19699.999999999971</v>
      </c>
      <c r="K78" s="409">
        <f t="shared" si="44"/>
        <v>78799.999999999971</v>
      </c>
      <c r="L78" s="409">
        <f t="shared" si="44"/>
        <v>166377.3773687275</v>
      </c>
      <c r="M78" s="409">
        <f t="shared" si="44"/>
        <v>267774.4843679769</v>
      </c>
      <c r="N78" s="409">
        <f t="shared" si="44"/>
        <v>516346.9173420989</v>
      </c>
      <c r="O78" s="409">
        <f t="shared" si="44"/>
        <v>607794.49373454787</v>
      </c>
      <c r="P78" s="409">
        <f t="shared" si="44"/>
        <v>701822.55864650139</v>
      </c>
      <c r="Q78" s="409"/>
    </row>
    <row r="79" spans="2:17">
      <c r="B79" s="168" t="s">
        <v>352</v>
      </c>
      <c r="E79" s="409">
        <f>-E91</f>
        <v>-1687</v>
      </c>
      <c r="F79" s="409">
        <f t="shared" ref="F79:P79" si="45">-F91</f>
        <v>-5055</v>
      </c>
      <c r="G79" s="409">
        <f t="shared" si="45"/>
        <v>-13532</v>
      </c>
      <c r="H79" s="409">
        <f t="shared" si="45"/>
        <v>-26429</v>
      </c>
      <c r="I79" s="427">
        <f t="shared" si="45"/>
        <v>-30690</v>
      </c>
      <c r="J79" s="409">
        <f t="shared" si="45"/>
        <v>-10229.999999999993</v>
      </c>
      <c r="K79" s="409">
        <f t="shared" si="45"/>
        <v>-40919.999999999993</v>
      </c>
      <c r="L79" s="409">
        <f t="shared" si="45"/>
        <v>-65957.051437870468</v>
      </c>
      <c r="M79" s="409">
        <f t="shared" si="45"/>
        <v>-109789.09703725777</v>
      </c>
      <c r="N79" s="409">
        <f t="shared" si="45"/>
        <v>-198088.01482480508</v>
      </c>
      <c r="O79" s="409">
        <f t="shared" si="45"/>
        <v>-287070.77912423795</v>
      </c>
      <c r="P79" s="409">
        <f t="shared" si="45"/>
        <v>-377149.31519769394</v>
      </c>
      <c r="Q79" s="409"/>
    </row>
    <row r="80" spans="2:17">
      <c r="B80" s="206" t="s">
        <v>354</v>
      </c>
      <c r="C80" s="207"/>
      <c r="D80" s="207"/>
      <c r="E80" s="419">
        <f t="shared" ref="E80:P80" si="46">SUM(E77:E79)</f>
        <v>4103</v>
      </c>
      <c r="F80" s="419">
        <f t="shared" si="46"/>
        <v>17214</v>
      </c>
      <c r="G80" s="419">
        <f t="shared" si="46"/>
        <v>53401</v>
      </c>
      <c r="H80" s="419">
        <f t="shared" si="46"/>
        <v>99431</v>
      </c>
      <c r="I80" s="419">
        <f t="shared" si="46"/>
        <v>127841</v>
      </c>
      <c r="J80" s="419">
        <f t="shared" si="46"/>
        <v>137310.99999999997</v>
      </c>
      <c r="K80" s="419">
        <f t="shared" si="46"/>
        <v>137310.99999999997</v>
      </c>
      <c r="L80" s="419">
        <f t="shared" si="46"/>
        <v>237731.32593085698</v>
      </c>
      <c r="M80" s="419">
        <f t="shared" si="46"/>
        <v>395716.71326157614</v>
      </c>
      <c r="N80" s="419">
        <f t="shared" si="46"/>
        <v>713975.61577886995</v>
      </c>
      <c r="O80" s="419">
        <f t="shared" si="46"/>
        <v>1034699.3303891799</v>
      </c>
      <c r="P80" s="419">
        <f t="shared" si="46"/>
        <v>1359372.5738379874</v>
      </c>
      <c r="Q80" s="419"/>
    </row>
    <row r="81" spans="2:17">
      <c r="E81" s="291"/>
      <c r="F81" s="291">
        <f>F80/E80-1</f>
        <v>3.1954667316597609</v>
      </c>
      <c r="G81" s="291">
        <f>G80/F80-1</f>
        <v>2.1021842686185663</v>
      </c>
      <c r="H81" s="291">
        <f>H80/G80-1</f>
        <v>0.86196887698732239</v>
      </c>
      <c r="I81" s="409"/>
      <c r="J81" s="409"/>
      <c r="K81" s="291">
        <f>K80/H80-1</f>
        <v>0.38096770624855392</v>
      </c>
      <c r="L81" s="291">
        <f>L80/K80-1</f>
        <v>0.73133489619081526</v>
      </c>
      <c r="M81" s="291">
        <f t="shared" ref="M81:P81" si="47">M80/L80-1</f>
        <v>0.66455435232237114</v>
      </c>
      <c r="N81" s="291">
        <f t="shared" si="47"/>
        <v>0.80425944078565803</v>
      </c>
      <c r="O81" s="291">
        <f t="shared" si="47"/>
        <v>0.44920821877149852</v>
      </c>
      <c r="P81" s="291">
        <f t="shared" si="47"/>
        <v>0.31378511023747224</v>
      </c>
      <c r="Q81" s="409"/>
    </row>
    <row r="82" spans="2:17">
      <c r="E82" s="409"/>
      <c r="F82" s="409"/>
      <c r="G82" s="409"/>
      <c r="H82" s="409"/>
      <c r="I82" s="409"/>
      <c r="J82" s="409"/>
      <c r="K82" s="409"/>
      <c r="L82" s="409"/>
      <c r="M82" s="409"/>
      <c r="N82" s="409"/>
      <c r="O82" s="409"/>
      <c r="P82" s="409"/>
      <c r="Q82" s="409"/>
    </row>
    <row r="83" spans="2:17">
      <c r="C83" s="154" t="s">
        <v>351</v>
      </c>
      <c r="E83" s="409">
        <v>4568</v>
      </c>
      <c r="F83" s="409">
        <v>18166</v>
      </c>
      <c r="G83" s="409">
        <v>49719</v>
      </c>
      <c r="H83" s="409">
        <v>72459</v>
      </c>
      <c r="I83" s="409">
        <v>59100</v>
      </c>
      <c r="J83" s="409">
        <f>K83-I83</f>
        <v>19699.999999999971</v>
      </c>
      <c r="K83" s="409">
        <f>K85*K88-K77</f>
        <v>78799.999999999971</v>
      </c>
      <c r="L83" s="409">
        <f t="shared" ref="L83:P83" si="48">L85*L88-L77</f>
        <v>166377.3773687275</v>
      </c>
      <c r="M83" s="409">
        <f t="shared" si="48"/>
        <v>267774.4843679769</v>
      </c>
      <c r="N83" s="409">
        <f t="shared" si="48"/>
        <v>516346.9173420989</v>
      </c>
      <c r="O83" s="409">
        <f t="shared" si="48"/>
        <v>607794.49373454787</v>
      </c>
      <c r="P83" s="409">
        <f t="shared" si="48"/>
        <v>701822.55864650139</v>
      </c>
      <c r="Q83" s="409"/>
    </row>
    <row r="84" spans="2:17" ht="13.8" thickBot="1">
      <c r="E84" s="409"/>
      <c r="F84" s="409"/>
      <c r="G84" s="409"/>
      <c r="H84" s="409"/>
      <c r="I84" s="409"/>
      <c r="J84" s="409"/>
      <c r="K84" s="409"/>
      <c r="L84" s="409"/>
      <c r="M84" s="409"/>
      <c r="N84" s="409"/>
      <c r="O84" s="409"/>
      <c r="P84" s="409"/>
      <c r="Q84" s="409"/>
    </row>
    <row r="85" spans="2:17">
      <c r="C85" s="168" t="s">
        <v>498</v>
      </c>
      <c r="E85" s="409">
        <v>14216619</v>
      </c>
      <c r="F85" s="409">
        <v>20343188</v>
      </c>
      <c r="G85" s="409">
        <v>20926710</v>
      </c>
      <c r="H85" s="409">
        <v>21448463</v>
      </c>
      <c r="I85" s="444">
        <f>J85</f>
        <v>21660434.187630262</v>
      </c>
      <c r="J85" s="445">
        <f>K85</f>
        <v>21660434.187630262</v>
      </c>
      <c r="K85" s="445">
        <f>H85*(1+K86)</f>
        <v>21660434.187630262</v>
      </c>
      <c r="L85" s="445">
        <f>K85*(1+L86)</f>
        <v>21874500.247251369</v>
      </c>
      <c r="M85" s="445">
        <f t="shared" ref="M85:P85" si="49">L85*(1+M86)</f>
        <v>22090681.882095244</v>
      </c>
      <c r="N85" s="445">
        <v>22309000</v>
      </c>
      <c r="O85" s="445">
        <f t="shared" si="49"/>
        <v>22447315.800000001</v>
      </c>
      <c r="P85" s="446">
        <f t="shared" si="49"/>
        <v>22586489.157960001</v>
      </c>
      <c r="Q85" s="409"/>
    </row>
    <row r="86" spans="2:17" ht="13.8" thickBot="1">
      <c r="C86" s="168"/>
      <c r="E86" s="409"/>
      <c r="F86" s="291">
        <f>F85/E85-1</f>
        <v>0.43094416471314312</v>
      </c>
      <c r="G86" s="291">
        <f>G85/F85-1</f>
        <v>2.8683901461265648E-2</v>
      </c>
      <c r="H86" s="291">
        <f>H85/G85-1</f>
        <v>2.4932395010969222E-2</v>
      </c>
      <c r="I86" s="447">
        <f t="shared" ref="I86:J86" si="50">I85/H85-1</f>
        <v>9.8828148026393059E-3</v>
      </c>
      <c r="J86" s="448">
        <f t="shared" si="50"/>
        <v>0</v>
      </c>
      <c r="K86" s="448">
        <v>9.8828148026393059E-3</v>
      </c>
      <c r="L86" s="449">
        <f>K86</f>
        <v>9.8828148026393059E-3</v>
      </c>
      <c r="M86" s="449">
        <f t="shared" ref="M86:N86" si="51">L86</f>
        <v>9.8828148026393059E-3</v>
      </c>
      <c r="N86" s="449">
        <f t="shared" si="51"/>
        <v>9.8828148026393059E-3</v>
      </c>
      <c r="O86" s="449">
        <v>6.1999999999999998E-3</v>
      </c>
      <c r="P86" s="450">
        <f>O86</f>
        <v>6.1999999999999998E-3</v>
      </c>
      <c r="Q86" s="409"/>
    </row>
    <row r="87" spans="2:17">
      <c r="C87" s="168"/>
      <c r="E87" s="409"/>
      <c r="F87" s="291"/>
      <c r="G87" s="291"/>
      <c r="H87" s="291"/>
      <c r="I87" s="291"/>
      <c r="J87" s="291"/>
      <c r="K87" s="291"/>
      <c r="L87" s="292"/>
      <c r="M87" s="292"/>
      <c r="N87" s="292"/>
      <c r="O87" s="292"/>
      <c r="P87" s="292"/>
      <c r="Q87" s="409"/>
    </row>
    <row r="88" spans="2:17">
      <c r="B88" s="154">
        <v>2</v>
      </c>
      <c r="C88" s="168" t="s">
        <v>499</v>
      </c>
      <c r="E88" s="291">
        <f>SUM(E77:E78)/E85</f>
        <v>4.0726982976754177E-4</v>
      </c>
      <c r="F88" s="291">
        <f t="shared" ref="F88:H88" si="52">SUM(F77:F78)/F85</f>
        <v>1.0946661850640125E-3</v>
      </c>
      <c r="G88" s="291">
        <f t="shared" si="52"/>
        <v>3.1984482988486962E-3</v>
      </c>
      <c r="H88" s="291">
        <f t="shared" si="52"/>
        <v>5.8680195406076415E-3</v>
      </c>
      <c r="I88" s="291">
        <f>(I77+I78/3*4)/I85</f>
        <v>8.2284130805551116E-3</v>
      </c>
      <c r="J88" s="291">
        <f>I88</f>
        <v>8.2284130805551116E-3</v>
      </c>
      <c r="K88" s="292">
        <f>I88</f>
        <v>8.2284130805551116E-3</v>
      </c>
      <c r="L88" s="451">
        <f>K88+L89</f>
        <v>1.3883214424836393E-2</v>
      </c>
      <c r="M88" s="451">
        <f t="shared" ref="M88:P88" si="53">L88+M89</f>
        <v>2.2883214424836394E-2</v>
      </c>
      <c r="N88" s="451">
        <f t="shared" si="53"/>
        <v>4.0883214424836389E-2</v>
      </c>
      <c r="O88" s="451">
        <f t="shared" si="53"/>
        <v>5.8883214424836391E-2</v>
      </c>
      <c r="P88" s="451">
        <f t="shared" si="53"/>
        <v>7.6883214424836394E-2</v>
      </c>
      <c r="Q88" s="409"/>
    </row>
    <row r="89" spans="2:17">
      <c r="F89" s="288">
        <f>F88-E88</f>
        <v>6.8739635529647069E-4</v>
      </c>
      <c r="G89" s="288">
        <f t="shared" ref="G89:I89" si="54">G88-F88</f>
        <v>2.1037821137846837E-3</v>
      </c>
      <c r="H89" s="288">
        <f t="shared" si="54"/>
        <v>2.6695712417589453E-3</v>
      </c>
      <c r="I89" s="288">
        <f t="shared" si="54"/>
        <v>2.3603935399474701E-3</v>
      </c>
      <c r="J89" s="409"/>
      <c r="K89" s="409"/>
      <c r="L89" s="339">
        <v>5.6548013442812824E-3</v>
      </c>
      <c r="M89" s="339">
        <v>8.9999999999999993E-3</v>
      </c>
      <c r="N89" s="339">
        <v>1.7999999999999999E-2</v>
      </c>
      <c r="O89" s="339">
        <v>1.7999999999999999E-2</v>
      </c>
      <c r="P89" s="339">
        <v>1.7999999999999999E-2</v>
      </c>
    </row>
    <row r="90" spans="2:17">
      <c r="F90" s="288"/>
      <c r="G90" s="288"/>
      <c r="H90" s="288"/>
      <c r="I90" s="288"/>
      <c r="J90" s="409"/>
      <c r="K90" s="409"/>
      <c r="L90" s="292"/>
      <c r="M90" s="292"/>
      <c r="N90" s="292"/>
      <c r="O90" s="292"/>
      <c r="P90" s="292"/>
    </row>
    <row r="91" spans="2:17">
      <c r="C91" s="154" t="s">
        <v>352</v>
      </c>
      <c r="E91" s="154">
        <v>1687</v>
      </c>
      <c r="F91" s="154">
        <v>5055</v>
      </c>
      <c r="G91" s="154">
        <v>13532</v>
      </c>
      <c r="H91" s="154">
        <v>26429</v>
      </c>
      <c r="I91" s="154">
        <v>30690</v>
      </c>
      <c r="J91" s="154">
        <f>K91-I91</f>
        <v>10229.999999999993</v>
      </c>
      <c r="K91" s="154">
        <f>SUM(K77:K78)*K92</f>
        <v>40919.999999999993</v>
      </c>
      <c r="L91" s="154">
        <f t="shared" ref="L91:P91" si="55">SUM(L77:L78)*L92</f>
        <v>65957.051437870468</v>
      </c>
      <c r="M91" s="154">
        <f t="shared" si="55"/>
        <v>109789.09703725777</v>
      </c>
      <c r="N91" s="154">
        <f t="shared" si="55"/>
        <v>198088.01482480508</v>
      </c>
      <c r="O91" s="154">
        <f t="shared" si="55"/>
        <v>287070.77912423795</v>
      </c>
      <c r="P91" s="154">
        <f t="shared" si="55"/>
        <v>377149.31519769394</v>
      </c>
    </row>
    <row r="92" spans="2:17">
      <c r="C92" s="168" t="s">
        <v>359</v>
      </c>
      <c r="D92" s="286">
        <f>AVERAGE(F92:I92)</f>
        <v>0.2171866174443278</v>
      </c>
      <c r="E92" s="286">
        <f>E91/SUM(E77:E78)</f>
        <v>0.29136442141623486</v>
      </c>
      <c r="F92" s="286">
        <f t="shared" ref="F92:H92" si="56">F91/SUM(F77:F78)</f>
        <v>0.22699717095513944</v>
      </c>
      <c r="G92" s="286">
        <f t="shared" si="56"/>
        <v>0.20217232157530665</v>
      </c>
      <c r="H92" s="286">
        <f t="shared" si="56"/>
        <v>0.20998728746225964</v>
      </c>
      <c r="I92" s="286">
        <f>(I91/3*4)/SUM(I77,I78/3*4)</f>
        <v>0.22958968978460537</v>
      </c>
      <c r="J92" s="286">
        <f>I92</f>
        <v>0.22958968978460537</v>
      </c>
      <c r="K92" s="169">
        <f>I92</f>
        <v>0.22958968978460537</v>
      </c>
      <c r="L92" s="169">
        <f>D92</f>
        <v>0.2171866174443278</v>
      </c>
      <c r="M92" s="169">
        <f t="shared" ref="M92:P92" si="57">L92</f>
        <v>0.2171866174443278</v>
      </c>
      <c r="N92" s="169">
        <f t="shared" si="57"/>
        <v>0.2171866174443278</v>
      </c>
      <c r="O92" s="169">
        <f t="shared" si="57"/>
        <v>0.2171866174443278</v>
      </c>
      <c r="P92" s="286">
        <f t="shared" si="57"/>
        <v>0.2171866174443278</v>
      </c>
    </row>
    <row r="95" spans="2:17">
      <c r="B95" s="154" t="s">
        <v>500</v>
      </c>
      <c r="D95" s="177"/>
      <c r="E95" s="177"/>
      <c r="F95" s="177"/>
      <c r="G95" s="177"/>
      <c r="H95" s="177"/>
      <c r="I95" s="177"/>
      <c r="J95" s="177"/>
      <c r="K95" s="177"/>
      <c r="L95" s="177"/>
      <c r="M95" s="177"/>
      <c r="N95" s="177"/>
      <c r="O95" s="177"/>
      <c r="P95" s="177"/>
      <c r="Q95" s="177"/>
    </row>
    <row r="96" spans="2:17">
      <c r="B96" s="205" t="s">
        <v>362</v>
      </c>
      <c r="C96" s="196" t="s">
        <v>363</v>
      </c>
      <c r="E96" s="219">
        <v>2.6691852670753066E-2</v>
      </c>
      <c r="F96" s="219">
        <v>2.029404590994165E-2</v>
      </c>
      <c r="G96" s="219">
        <v>1.7355822386754264E-2</v>
      </c>
      <c r="H96" s="219">
        <v>1.7209976165831711E-2</v>
      </c>
      <c r="I96" s="219">
        <v>1.6670564771573602E-2</v>
      </c>
      <c r="J96" s="219">
        <f>K96</f>
        <v>1.6670564771573602E-2</v>
      </c>
      <c r="K96" s="219">
        <f>I96</f>
        <v>1.6670564771573602E-2</v>
      </c>
      <c r="L96" s="219">
        <f>K96*(1+L97)</f>
        <v>1.7020646631776645E-2</v>
      </c>
      <c r="M96" s="219">
        <f t="shared" ref="M96:P96" si="58">L96*(1+M97)</f>
        <v>1.7122770511567305E-2</v>
      </c>
      <c r="N96" s="219">
        <f t="shared" si="58"/>
        <v>1.7293998216682979E-2</v>
      </c>
      <c r="O96" s="219">
        <f t="shared" si="58"/>
        <v>1.7501526195283175E-2</v>
      </c>
      <c r="P96" s="219">
        <f t="shared" si="58"/>
        <v>1.7729046035821854E-2</v>
      </c>
    </row>
    <row r="97" spans="2:17">
      <c r="B97" s="170" t="s">
        <v>364</v>
      </c>
      <c r="F97" s="286">
        <f>F96/E96-1</f>
        <v>-0.23969137098608573</v>
      </c>
      <c r="G97" s="286">
        <f>G96/F96-1</f>
        <v>-0.14478254046661088</v>
      </c>
      <c r="H97" s="286">
        <f t="shared" ref="H97:I97" si="59">H96/G96-1</f>
        <v>-8.4033022274910829E-3</v>
      </c>
      <c r="I97" s="286">
        <f t="shared" si="59"/>
        <v>-3.1342948360907341E-2</v>
      </c>
      <c r="K97" s="286">
        <v>5.0999999999999997E-2</v>
      </c>
      <c r="L97" s="286">
        <v>2.1000000000000001E-2</v>
      </c>
      <c r="M97" s="286">
        <v>6.0000000000000001E-3</v>
      </c>
      <c r="N97" s="286">
        <v>0.01</v>
      </c>
      <c r="O97" s="286">
        <v>1.2E-2</v>
      </c>
      <c r="P97" s="286">
        <v>1.3000000000000001E-2</v>
      </c>
    </row>
    <row r="98" spans="2:17">
      <c r="B98" s="168" t="s">
        <v>365</v>
      </c>
      <c r="C98" s="154" t="s">
        <v>366</v>
      </c>
      <c r="E98" s="219">
        <v>2.7689184350918789E-2</v>
      </c>
      <c r="F98" s="219">
        <v>2.1842649851632045E-2</v>
      </c>
      <c r="G98" s="219">
        <v>1.965611712976648E-2</v>
      </c>
      <c r="H98" s="219">
        <v>1.8110491846078172E-2</v>
      </c>
      <c r="I98" s="219">
        <v>1.7693977289019201E-2</v>
      </c>
      <c r="J98" s="219">
        <f>K98</f>
        <v>1.7693977289019201E-2</v>
      </c>
      <c r="K98" s="219">
        <f>I98</f>
        <v>1.7693977289019201E-2</v>
      </c>
      <c r="L98" s="219">
        <f>K98*(1+L99)</f>
        <v>1.8065550812088601E-2</v>
      </c>
      <c r="M98" s="219">
        <f t="shared" ref="M98:P98" si="60">L98*(1+M99)</f>
        <v>1.8173944116961133E-2</v>
      </c>
      <c r="N98" s="219">
        <f t="shared" si="60"/>
        <v>1.8355683558130744E-2</v>
      </c>
      <c r="O98" s="219">
        <f t="shared" si="60"/>
        <v>1.8575951760828314E-2</v>
      </c>
      <c r="P98" s="219">
        <f t="shared" si="60"/>
        <v>1.8817439133719079E-2</v>
      </c>
    </row>
    <row r="99" spans="2:17">
      <c r="B99" s="224" t="s">
        <v>364</v>
      </c>
      <c r="C99" s="177"/>
      <c r="D99" s="177"/>
      <c r="E99" s="177"/>
      <c r="F99" s="289">
        <f>F98/E98-1</f>
        <v>-0.21114867181317831</v>
      </c>
      <c r="G99" s="289">
        <f>G98/F98-1</f>
        <v>-0.10010382150140962</v>
      </c>
      <c r="H99" s="289">
        <f t="shared" ref="H99:I99" si="61">H98/G98-1</f>
        <v>-7.8633296366944716E-2</v>
      </c>
      <c r="I99" s="289">
        <f t="shared" si="61"/>
        <v>-2.2998522657415754E-2</v>
      </c>
      <c r="J99" s="177"/>
      <c r="K99" s="289">
        <f>K97</f>
        <v>5.0999999999999997E-2</v>
      </c>
      <c r="L99" s="289">
        <f t="shared" ref="L99:P99" si="62">L97</f>
        <v>2.1000000000000001E-2</v>
      </c>
      <c r="M99" s="289">
        <f t="shared" si="62"/>
        <v>6.0000000000000001E-3</v>
      </c>
      <c r="N99" s="289">
        <f t="shared" si="62"/>
        <v>0.01</v>
      </c>
      <c r="O99" s="289">
        <f t="shared" si="62"/>
        <v>1.2E-2</v>
      </c>
      <c r="P99" s="289">
        <f t="shared" si="62"/>
        <v>1.3000000000000001E-2</v>
      </c>
      <c r="Q99" s="177"/>
    </row>
    <row r="102" spans="2:17">
      <c r="B102" s="171" t="s">
        <v>501</v>
      </c>
    </row>
    <row r="104" spans="2:17">
      <c r="B104" s="196" t="s">
        <v>502</v>
      </c>
      <c r="C104" s="196"/>
      <c r="D104" s="196"/>
      <c r="E104" s="196"/>
      <c r="F104" s="196"/>
      <c r="G104" s="196"/>
      <c r="H104" s="196"/>
      <c r="I104" s="197"/>
      <c r="J104" s="196"/>
      <c r="K104" s="196"/>
      <c r="L104" s="196"/>
      <c r="M104" s="196"/>
      <c r="N104" s="196"/>
      <c r="O104" s="196"/>
      <c r="P104" s="196"/>
      <c r="Q104" s="196"/>
    </row>
    <row r="105" spans="2:17">
      <c r="B105" s="168" t="s">
        <v>503</v>
      </c>
      <c r="I105" s="221"/>
      <c r="L105" s="154">
        <f>L113</f>
        <v>41193.299999999988</v>
      </c>
      <c r="M105" s="154">
        <f>M113</f>
        <v>95092.530372342793</v>
      </c>
      <c r="N105" s="154">
        <f t="shared" ref="N105:P105" si="63">N113</f>
        <v>197858.35663078807</v>
      </c>
      <c r="O105" s="154">
        <f t="shared" si="63"/>
        <v>428385.36946732196</v>
      </c>
      <c r="P105" s="154">
        <f t="shared" si="63"/>
        <v>620819.59823350795</v>
      </c>
    </row>
    <row r="106" spans="2:17">
      <c r="B106" s="248" t="s">
        <v>504</v>
      </c>
      <c r="C106" s="177"/>
      <c r="D106" s="177"/>
      <c r="E106" s="177"/>
      <c r="F106" s="177"/>
      <c r="G106" s="177"/>
      <c r="H106" s="177"/>
      <c r="I106" s="225"/>
      <c r="J106" s="177"/>
      <c r="K106" s="177"/>
      <c r="L106" s="290">
        <f>L119</f>
        <v>8.5103233158883226E-3</v>
      </c>
      <c r="M106" s="290">
        <f>M119</f>
        <v>8.5613852557836524E-3</v>
      </c>
      <c r="N106" s="290">
        <f t="shared" ref="N106:P106" si="64">N119</f>
        <v>8.6469991083414893E-3</v>
      </c>
      <c r="O106" s="290">
        <f t="shared" si="64"/>
        <v>8.7507630976415875E-3</v>
      </c>
      <c r="P106" s="290">
        <f t="shared" si="64"/>
        <v>8.8645230179109271E-3</v>
      </c>
      <c r="Q106" s="177"/>
    </row>
    <row r="107" spans="2:17" ht="13.8" thickBot="1">
      <c r="B107" s="175" t="s">
        <v>505</v>
      </c>
      <c r="C107" s="175"/>
      <c r="D107" s="175"/>
      <c r="E107" s="175"/>
      <c r="F107" s="175"/>
      <c r="G107" s="175"/>
      <c r="H107" s="175"/>
      <c r="I107" s="200"/>
      <c r="J107" s="175"/>
      <c r="K107" s="175"/>
      <c r="L107" s="175">
        <f>L105*L106</f>
        <v>350.56830144838233</v>
      </c>
      <c r="M107" s="175">
        <f>M105*M106</f>
        <v>814.12378746493471</v>
      </c>
      <c r="N107" s="175">
        <f t="shared" ref="N107:P107" si="65">N105*N106</f>
        <v>1710.8810333643369</v>
      </c>
      <c r="O107" s="175">
        <f t="shared" si="65"/>
        <v>3748.6988827041982</v>
      </c>
      <c r="P107" s="175">
        <f t="shared" si="65"/>
        <v>5503.2696185111454</v>
      </c>
      <c r="Q107" s="175"/>
    </row>
    <row r="108" spans="2:17">
      <c r="M108" s="286">
        <f t="shared" ref="M108:P108" si="66">M107/L107-1</f>
        <v>1.3222972074239472</v>
      </c>
      <c r="N108" s="286">
        <f t="shared" si="66"/>
        <v>1.1014998698069935</v>
      </c>
      <c r="O108" s="286">
        <f t="shared" si="66"/>
        <v>1.1910926648901032</v>
      </c>
      <c r="P108" s="286">
        <f t="shared" si="66"/>
        <v>0.46804792561552788</v>
      </c>
    </row>
    <row r="109" spans="2:17">
      <c r="L109" s="154">
        <v>196.07751571076216</v>
      </c>
      <c r="M109" s="154">
        <v>526.55048818977446</v>
      </c>
      <c r="N109" s="154">
        <v>1535.8617662849088</v>
      </c>
      <c r="O109" s="154">
        <v>2152.9775104073547</v>
      </c>
    </row>
    <row r="110" spans="2:17">
      <c r="B110" s="177" t="s">
        <v>503</v>
      </c>
      <c r="C110" s="177"/>
      <c r="D110" s="177"/>
      <c r="E110" s="177"/>
      <c r="F110" s="177"/>
      <c r="G110" s="177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</row>
    <row r="111" spans="2:17">
      <c r="B111" s="168" t="s">
        <v>506</v>
      </c>
      <c r="I111" s="197"/>
      <c r="L111" s="154">
        <f>L77</f>
        <v>137310.99999999997</v>
      </c>
      <c r="M111" s="154">
        <f>M77</f>
        <v>237731.32593085698</v>
      </c>
      <c r="N111" s="154">
        <f>N77</f>
        <v>395716.71326157614</v>
      </c>
      <c r="O111" s="154">
        <f>O77</f>
        <v>713975.61577886995</v>
      </c>
      <c r="P111" s="154">
        <f>P77</f>
        <v>1034699.3303891799</v>
      </c>
    </row>
    <row r="112" spans="2:17">
      <c r="B112" s="168" t="s">
        <v>507</v>
      </c>
      <c r="I112" s="225"/>
      <c r="L112" s="292">
        <v>0.3</v>
      </c>
      <c r="M112" s="292">
        <v>0.4</v>
      </c>
      <c r="N112" s="292">
        <v>0.5</v>
      </c>
      <c r="O112" s="292">
        <v>0.6</v>
      </c>
      <c r="P112" s="292">
        <f>O112</f>
        <v>0.6</v>
      </c>
    </row>
    <row r="113" spans="2:17" ht="13.8" thickBot="1">
      <c r="B113" s="175" t="s">
        <v>508</v>
      </c>
      <c r="C113" s="175"/>
      <c r="D113" s="175"/>
      <c r="E113" s="175"/>
      <c r="F113" s="175"/>
      <c r="G113" s="175"/>
      <c r="H113" s="175"/>
      <c r="I113" s="200"/>
      <c r="J113" s="175"/>
      <c r="K113" s="175"/>
      <c r="L113" s="175">
        <f>L111*L112</f>
        <v>41193.299999999988</v>
      </c>
      <c r="M113" s="175">
        <f>M111*M112</f>
        <v>95092.530372342793</v>
      </c>
      <c r="N113" s="175">
        <f t="shared" ref="N113:P113" si="67">N111*N112</f>
        <v>197858.35663078807</v>
      </c>
      <c r="O113" s="175">
        <f t="shared" si="67"/>
        <v>428385.36946732196</v>
      </c>
      <c r="P113" s="175">
        <f t="shared" si="67"/>
        <v>620819.59823350795</v>
      </c>
      <c r="Q113" s="175"/>
    </row>
    <row r="116" spans="2:17">
      <c r="B116" s="154" t="s">
        <v>504</v>
      </c>
    </row>
    <row r="117" spans="2:17">
      <c r="B117" s="205" t="s">
        <v>509</v>
      </c>
      <c r="C117" s="196"/>
      <c r="D117" s="196"/>
      <c r="E117" s="196"/>
      <c r="F117" s="196"/>
      <c r="G117" s="196"/>
      <c r="H117" s="196"/>
      <c r="I117" s="197"/>
      <c r="J117" s="196"/>
      <c r="K117" s="196"/>
      <c r="L117" s="214">
        <f>L96</f>
        <v>1.7020646631776645E-2</v>
      </c>
      <c r="M117" s="214">
        <f>M96</f>
        <v>1.7122770511567305E-2</v>
      </c>
      <c r="N117" s="214">
        <f>N96</f>
        <v>1.7293998216682979E-2</v>
      </c>
      <c r="O117" s="214">
        <f>O96</f>
        <v>1.7501526195283175E-2</v>
      </c>
      <c r="P117" s="214">
        <f>P96</f>
        <v>1.7729046035821854E-2</v>
      </c>
      <c r="Q117" s="196"/>
    </row>
    <row r="118" spans="2:17">
      <c r="B118" s="248" t="s">
        <v>510</v>
      </c>
      <c r="C118" s="177"/>
      <c r="D118" s="177"/>
      <c r="E118" s="177"/>
      <c r="F118" s="177"/>
      <c r="G118" s="177"/>
      <c r="H118" s="177"/>
      <c r="I118" s="225"/>
      <c r="J118" s="177"/>
      <c r="K118" s="177"/>
      <c r="L118" s="292">
        <v>0.5</v>
      </c>
      <c r="M118" s="292">
        <v>0.5</v>
      </c>
      <c r="N118" s="292">
        <v>0.5</v>
      </c>
      <c r="O118" s="292">
        <v>0.5</v>
      </c>
      <c r="P118" s="292">
        <f>O118</f>
        <v>0.5</v>
      </c>
      <c r="Q118" s="177"/>
    </row>
    <row r="119" spans="2:17" ht="13.8" thickBot="1">
      <c r="B119" s="175" t="s">
        <v>511</v>
      </c>
      <c r="C119" s="175"/>
      <c r="D119" s="175"/>
      <c r="E119" s="175"/>
      <c r="F119" s="175"/>
      <c r="G119" s="175"/>
      <c r="H119" s="175"/>
      <c r="I119" s="200"/>
      <c r="J119" s="175"/>
      <c r="K119" s="175"/>
      <c r="L119" s="293">
        <f>L117*L118</f>
        <v>8.5103233158883226E-3</v>
      </c>
      <c r="M119" s="293">
        <f>M117*M118</f>
        <v>8.5613852557836524E-3</v>
      </c>
      <c r="N119" s="293">
        <f t="shared" ref="N119:P119" si="68">N117*N118</f>
        <v>8.6469991083414893E-3</v>
      </c>
      <c r="O119" s="293">
        <f t="shared" si="68"/>
        <v>8.7507630976415875E-3</v>
      </c>
      <c r="P119" s="293">
        <f t="shared" si="68"/>
        <v>8.8645230179109271E-3</v>
      </c>
      <c r="Q119" s="175"/>
    </row>
    <row r="122" spans="2:17" s="247" customFormat="1">
      <c r="B122" s="247" t="s">
        <v>512</v>
      </c>
    </row>
    <row r="123" spans="2:17" s="247" customFormat="1"/>
    <row r="124" spans="2:17" s="247" customFormat="1" ht="13.8" thickBot="1">
      <c r="B124" s="250" t="s">
        <v>513</v>
      </c>
      <c r="C124" s="250"/>
      <c r="D124" s="250"/>
      <c r="E124" s="250"/>
      <c r="F124" s="250"/>
      <c r="G124" s="250">
        <f>G130+G162</f>
        <v>170.45483500000958</v>
      </c>
      <c r="H124" s="250">
        <f>H130+H162</f>
        <v>4034.5532449999996</v>
      </c>
      <c r="I124" s="250">
        <f>I130+I162</f>
        <v>13092.645149000002</v>
      </c>
      <c r="J124" s="250">
        <f>J130+J162</f>
        <v>5241.5704242686834</v>
      </c>
      <c r="K124" s="250">
        <f>SUM(I124:J124)</f>
        <v>18334.215573268684</v>
      </c>
      <c r="L124" s="250">
        <f>L130+L162</f>
        <v>33638.150015567029</v>
      </c>
      <c r="M124" s="250">
        <f>M130+M162</f>
        <v>39443.426568419498</v>
      </c>
      <c r="N124" s="250">
        <f>N130+N162</f>
        <v>43359.074377778663</v>
      </c>
      <c r="O124" s="250">
        <f>O130+O162</f>
        <v>45685.917939301165</v>
      </c>
      <c r="P124" s="250">
        <f>P130+P162</f>
        <v>47267.984438100451</v>
      </c>
      <c r="Q124" s="250"/>
    </row>
    <row r="125" spans="2:17" s="247" customFormat="1">
      <c r="B125" s="294" t="s">
        <v>514</v>
      </c>
      <c r="G125" s="295"/>
      <c r="J125" s="247">
        <f>I124/3</f>
        <v>4364.2150496666673</v>
      </c>
      <c r="K125" s="296">
        <f>K124/I124-1</f>
        <v>0.40034464881750997</v>
      </c>
      <c r="L125" s="296">
        <f>L124/K124-1</f>
        <v>0.83471989194953644</v>
      </c>
      <c r="M125" s="296">
        <f t="shared" ref="M125:P125" si="69">M124/L124-1</f>
        <v>0.17258013743817391</v>
      </c>
      <c r="N125" s="296">
        <f t="shared" si="69"/>
        <v>9.9272506220193346E-2</v>
      </c>
      <c r="O125" s="296">
        <f t="shared" si="69"/>
        <v>5.3664511867785647E-2</v>
      </c>
      <c r="P125" s="296">
        <f t="shared" si="69"/>
        <v>3.4629193636893429E-2</v>
      </c>
    </row>
    <row r="126" spans="2:17" s="247" customFormat="1">
      <c r="I126" s="409"/>
      <c r="J126" s="409"/>
      <c r="K126" s="409">
        <f>SUM(K130,K162)</f>
        <v>22267.092262074748</v>
      </c>
      <c r="L126" s="409"/>
    </row>
    <row r="127" spans="2:17" s="247" customFormat="1">
      <c r="I127" s="409"/>
      <c r="J127" s="409"/>
      <c r="K127" s="409">
        <f>K126-K124</f>
        <v>3932.8766888060636</v>
      </c>
      <c r="L127" s="409"/>
    </row>
    <row r="128" spans="2:17" s="247" customFormat="1">
      <c r="B128" s="233" t="s">
        <v>515</v>
      </c>
      <c r="I128" s="409"/>
      <c r="J128" s="409"/>
      <c r="K128" s="409">
        <v>581.75911380605999</v>
      </c>
      <c r="L128" s="409"/>
    </row>
    <row r="129" spans="2:17" s="247" customFormat="1">
      <c r="I129" s="409"/>
      <c r="J129" s="409"/>
      <c r="K129" s="409"/>
      <c r="L129" s="409"/>
    </row>
    <row r="130" spans="2:17" s="247" customFormat="1" ht="13.8" thickBot="1">
      <c r="B130" s="250" t="s">
        <v>516</v>
      </c>
      <c r="C130" s="250"/>
      <c r="D130" s="250"/>
      <c r="E130" s="250"/>
      <c r="F130" s="250">
        <v>0</v>
      </c>
      <c r="G130" s="250">
        <v>170.45483500000958</v>
      </c>
      <c r="H130" s="250">
        <v>4034.5532449999996</v>
      </c>
      <c r="I130" s="250">
        <v>13092.645149000002</v>
      </c>
      <c r="J130" s="250">
        <f>K130-I130</f>
        <v>3930.6115279999958</v>
      </c>
      <c r="K130" s="250">
        <f>H130+(H135*H150/2+K135*K150/2+H136*H152/2+K136*K152/2)*12</f>
        <v>17023.256676999998</v>
      </c>
      <c r="L130" s="250">
        <f>K130+(K135*K150/2+L135*L150/2+K136*K152/2+L136*L152/2)*12</f>
        <v>27271.435217382219</v>
      </c>
      <c r="M130" s="250">
        <f>L130+(L135*L150/2+M135*M150/2+L136*L152/2+M136*M152/2)*12</f>
        <v>32306.901049006308</v>
      </c>
      <c r="N130" s="250">
        <f>M130+(M135*M150/2+N135*N150/2+M136*M152/2+N136*N152/2)*12</f>
        <v>35667.904221748046</v>
      </c>
      <c r="O130" s="250">
        <f>N130+(N135*N150/2+O135*O150/2+N136*N152/2+O136*O152/2)*12</f>
        <v>37637.604425935526</v>
      </c>
      <c r="P130" s="250">
        <f>O130+(O135*O150/2+P135*P150/2+O136*O152/2+P136*P152/2)*12</f>
        <v>38931.391009942214</v>
      </c>
      <c r="Q130" s="250"/>
    </row>
    <row r="131" spans="2:17" s="247" customFormat="1">
      <c r="G131" s="295"/>
      <c r="K131" s="296"/>
      <c r="L131" s="296"/>
      <c r="M131" s="296"/>
      <c r="N131" s="296"/>
      <c r="O131" s="296"/>
      <c r="P131" s="296"/>
    </row>
    <row r="132" spans="2:17" s="247" customFormat="1"/>
    <row r="133" spans="2:17" s="247" customFormat="1">
      <c r="B133" s="247" t="s">
        <v>517</v>
      </c>
      <c r="C133" s="247" t="s">
        <v>349</v>
      </c>
      <c r="J133" s="297"/>
    </row>
    <row r="134" spans="2:17" s="247" customFormat="1">
      <c r="B134" s="205" t="s">
        <v>350</v>
      </c>
      <c r="C134" s="196"/>
      <c r="D134" s="196"/>
      <c r="E134" s="196"/>
      <c r="F134" s="196">
        <f>E137</f>
        <v>0</v>
      </c>
      <c r="G134" s="196">
        <v>0</v>
      </c>
      <c r="H134" s="196">
        <f>G137</f>
        <v>843</v>
      </c>
      <c r="I134" s="197">
        <f>H137</f>
        <v>4643</v>
      </c>
      <c r="J134" s="196">
        <f>I137</f>
        <v>8504</v>
      </c>
      <c r="K134" s="196">
        <f>H137</f>
        <v>4643</v>
      </c>
      <c r="L134" s="196">
        <f>K137</f>
        <v>9791.0000000000018</v>
      </c>
      <c r="M134" s="196">
        <f>L137</f>
        <v>11643.073467158654</v>
      </c>
      <c r="N134" s="196">
        <f>M137</f>
        <v>12973.019906503996</v>
      </c>
      <c r="O134" s="196">
        <f>N137</f>
        <v>13842.843441801508</v>
      </c>
      <c r="P134" s="196">
        <f>O137</f>
        <v>14313.876328495537</v>
      </c>
      <c r="Q134" s="298"/>
    </row>
    <row r="135" spans="2:17" s="247" customFormat="1">
      <c r="B135" s="168" t="s">
        <v>351</v>
      </c>
      <c r="C135" s="154"/>
      <c r="D135" s="154"/>
      <c r="E135" s="154"/>
      <c r="F135" s="154"/>
      <c r="G135" s="154">
        <f>G140</f>
        <v>869</v>
      </c>
      <c r="H135" s="154">
        <f t="shared" ref="H135:J135" si="70">H140</f>
        <v>4000</v>
      </c>
      <c r="I135" s="221">
        <f t="shared" si="70"/>
        <v>4577</v>
      </c>
      <c r="J135" s="154">
        <f t="shared" si="70"/>
        <v>1525.666666666667</v>
      </c>
      <c r="K135" s="154">
        <f>K140</f>
        <v>6102.666666666667</v>
      </c>
      <c r="L135" s="154">
        <f t="shared" ref="L135:P135" si="71">L140</f>
        <v>3068.8848624292973</v>
      </c>
      <c r="M135" s="154">
        <f t="shared" si="71"/>
        <v>2777.7927523727349</v>
      </c>
      <c r="N135" s="154">
        <f t="shared" si="71"/>
        <v>2514.2302157031922</v>
      </c>
      <c r="O135" s="154">
        <f t="shared" si="71"/>
        <v>2275.6022588438309</v>
      </c>
      <c r="P135" s="154">
        <f t="shared" si="71"/>
        <v>2275.6022588438309</v>
      </c>
    </row>
    <row r="136" spans="2:17" s="247" customFormat="1">
      <c r="B136" s="168" t="s">
        <v>352</v>
      </c>
      <c r="C136" s="154"/>
      <c r="D136" s="154"/>
      <c r="E136" s="154"/>
      <c r="F136" s="154"/>
      <c r="G136" s="154">
        <f>-G145</f>
        <v>-26</v>
      </c>
      <c r="H136" s="154">
        <f t="shared" ref="H136:P136" si="72">-H145</f>
        <v>-200</v>
      </c>
      <c r="I136" s="221">
        <f t="shared" si="72"/>
        <v>-716</v>
      </c>
      <c r="J136" s="154">
        <f t="shared" si="72"/>
        <v>-238.66666666666663</v>
      </c>
      <c r="K136" s="154">
        <f t="shared" si="72"/>
        <v>-954.66666666666663</v>
      </c>
      <c r="L136" s="154">
        <f t="shared" si="72"/>
        <v>-1216.8113952706444</v>
      </c>
      <c r="M136" s="154">
        <f t="shared" si="72"/>
        <v>-1447.8463130273915</v>
      </c>
      <c r="N136" s="154">
        <f t="shared" si="72"/>
        <v>-1644.4066804056806</v>
      </c>
      <c r="O136" s="154">
        <f t="shared" si="72"/>
        <v>-1804.5693721498003</v>
      </c>
      <c r="P136" s="154">
        <f t="shared" si="72"/>
        <v>-1953.1702036231807</v>
      </c>
    </row>
    <row r="137" spans="2:17" s="247" customFormat="1">
      <c r="B137" s="206" t="s">
        <v>354</v>
      </c>
      <c r="C137" s="207"/>
      <c r="D137" s="207"/>
      <c r="E137" s="207">
        <f t="shared" ref="E137:F137" si="73">SUM(E134:E136)</f>
        <v>0</v>
      </c>
      <c r="F137" s="207">
        <f t="shared" si="73"/>
        <v>0</v>
      </c>
      <c r="G137" s="207">
        <f>SUM(G134:G136)</f>
        <v>843</v>
      </c>
      <c r="H137" s="207">
        <f t="shared" ref="H137:P137" si="74">SUM(H134:H136)</f>
        <v>4643</v>
      </c>
      <c r="I137" s="227">
        <f t="shared" si="74"/>
        <v>8504</v>
      </c>
      <c r="J137" s="207">
        <f t="shared" si="74"/>
        <v>9791.0000000000018</v>
      </c>
      <c r="K137" s="207">
        <f t="shared" si="74"/>
        <v>9791.0000000000018</v>
      </c>
      <c r="L137" s="207">
        <f t="shared" si="74"/>
        <v>11643.073467158654</v>
      </c>
      <c r="M137" s="207">
        <f t="shared" si="74"/>
        <v>12973.019906503996</v>
      </c>
      <c r="N137" s="207">
        <f t="shared" si="74"/>
        <v>13842.843441801508</v>
      </c>
      <c r="O137" s="207">
        <f t="shared" si="74"/>
        <v>14313.876328495537</v>
      </c>
      <c r="P137" s="207">
        <f t="shared" si="74"/>
        <v>14636.308383716187</v>
      </c>
      <c r="Q137" s="300"/>
    </row>
    <row r="138" spans="2:17" s="247" customFormat="1"/>
    <row r="139" spans="2:17" s="247" customFormat="1"/>
    <row r="140" spans="2:17" s="247" customFormat="1">
      <c r="C140" s="247" t="s">
        <v>351</v>
      </c>
      <c r="G140" s="247">
        <v>869</v>
      </c>
      <c r="H140" s="247">
        <v>4000</v>
      </c>
      <c r="I140" s="247">
        <v>4577</v>
      </c>
      <c r="J140" s="247">
        <f>K140-I140</f>
        <v>1525.666666666667</v>
      </c>
      <c r="K140" s="301">
        <f>K141*K143</f>
        <v>6102.666666666667</v>
      </c>
      <c r="L140" s="247">
        <f>L141*L143</f>
        <v>3068.8848624292973</v>
      </c>
      <c r="M140" s="247">
        <f t="shared" ref="M140:P140" si="75">M141*M143</f>
        <v>2777.7927523727349</v>
      </c>
      <c r="N140" s="247">
        <f t="shared" si="75"/>
        <v>2514.2302157031922</v>
      </c>
      <c r="O140" s="247">
        <f t="shared" si="75"/>
        <v>2275.6022588438309</v>
      </c>
      <c r="P140" s="247">
        <f t="shared" si="75"/>
        <v>2275.6022588438309</v>
      </c>
    </row>
    <row r="141" spans="2:17" s="247" customFormat="1">
      <c r="C141" s="220" t="s">
        <v>518</v>
      </c>
      <c r="D141" s="302">
        <f>AVERAGE(H141:I141)</f>
        <v>5.8111398715367653</v>
      </c>
      <c r="G141" s="302">
        <f>G140/G143</f>
        <v>0.99971239574345705</v>
      </c>
      <c r="H141" s="302">
        <f t="shared" ref="H141" si="76">H140/H143</f>
        <v>4.6016681046879491</v>
      </c>
      <c r="I141" s="302">
        <f>(I140/3*4)/I143</f>
        <v>7.0206116383855814</v>
      </c>
      <c r="J141" s="302">
        <f>I141</f>
        <v>7.0206116383855814</v>
      </c>
      <c r="K141" s="423">
        <f>I141</f>
        <v>7.0206116383855814</v>
      </c>
      <c r="L141" s="423">
        <f>K141*(1+L142)</f>
        <v>3.5103058191927907</v>
      </c>
      <c r="M141" s="302">
        <f t="shared" ref="M141:O141" si="77">L141*(1+M142)</f>
        <v>3.1592752372735116</v>
      </c>
      <c r="N141" s="302">
        <f t="shared" si="77"/>
        <v>2.8433477135461604</v>
      </c>
      <c r="O141" s="302">
        <f t="shared" si="77"/>
        <v>2.5590129421915444</v>
      </c>
      <c r="P141" s="302">
        <f t="shared" ref="P141" si="78">O141</f>
        <v>2.5590129421915444</v>
      </c>
    </row>
    <row r="142" spans="2:17" s="247" customFormat="1">
      <c r="C142" s="220" t="s">
        <v>357</v>
      </c>
      <c r="L142" s="287">
        <v>-0.5</v>
      </c>
      <c r="M142" s="287">
        <v>-0.1</v>
      </c>
      <c r="N142" s="287">
        <v>-0.1</v>
      </c>
      <c r="O142" s="287">
        <v>-0.1</v>
      </c>
      <c r="P142" s="296"/>
    </row>
    <row r="143" spans="2:17" s="247" customFormat="1">
      <c r="C143" s="220" t="s">
        <v>519</v>
      </c>
      <c r="E143" s="247">
        <f>'Physical Security'!E90</f>
        <v>9.1277185619387247E-2</v>
      </c>
      <c r="G143" s="247">
        <f>'Physical Security'!G83</f>
        <v>869.25</v>
      </c>
      <c r="H143" s="247">
        <f>'Physical Security'!H83</f>
        <v>869.25</v>
      </c>
      <c r="I143" s="247">
        <f>'Physical Security'!I83</f>
        <v>869.25</v>
      </c>
      <c r="J143" s="247">
        <f>'Physical Security'!J83</f>
        <v>869.25</v>
      </c>
      <c r="K143" s="247">
        <f>'Physical Security'!K83</f>
        <v>869.25</v>
      </c>
      <c r="L143" s="247">
        <f>'Physical Security'!L83</f>
        <v>874.25</v>
      </c>
      <c r="M143" s="247">
        <f>'Physical Security'!M83</f>
        <v>879.25</v>
      </c>
      <c r="N143" s="247">
        <f>'Physical Security'!N83</f>
        <v>884.25</v>
      </c>
      <c r="O143" s="247">
        <f>'Physical Security'!O83</f>
        <v>889.25</v>
      </c>
      <c r="P143" s="247">
        <f>'Physical Security'!P83</f>
        <v>889.25</v>
      </c>
    </row>
    <row r="144" spans="2:17" s="247" customFormat="1"/>
    <row r="145" spans="2:17" s="247" customFormat="1">
      <c r="C145" s="247" t="s">
        <v>352</v>
      </c>
      <c r="G145" s="247">
        <v>26</v>
      </c>
      <c r="H145" s="247">
        <v>200</v>
      </c>
      <c r="I145" s="247">
        <v>716</v>
      </c>
      <c r="J145" s="247">
        <f>K145-I145</f>
        <v>238.66666666666663</v>
      </c>
      <c r="K145" s="247">
        <f t="shared" ref="K145:L145" si="79">SUM(K134:K135)*K146</f>
        <v>954.66666666666663</v>
      </c>
      <c r="L145" s="247">
        <f t="shared" si="79"/>
        <v>1216.8113952706444</v>
      </c>
      <c r="M145" s="247">
        <f t="shared" ref="M145" si="80">SUM(M134:M135)*M146</f>
        <v>1447.8463130273915</v>
      </c>
      <c r="N145" s="247">
        <f t="shared" ref="N145:P145" si="81">SUM(N134:N135)*N146</f>
        <v>1644.4066804056806</v>
      </c>
      <c r="O145" s="247">
        <f t="shared" si="81"/>
        <v>1804.5693721498003</v>
      </c>
      <c r="P145" s="247">
        <f t="shared" si="81"/>
        <v>1953.1702036231807</v>
      </c>
    </row>
    <row r="146" spans="2:17" s="247" customFormat="1">
      <c r="C146" s="220" t="s">
        <v>359</v>
      </c>
      <c r="D146" s="303">
        <f>AVERAGE(H146:I146)</f>
        <v>6.5069365373019911E-2</v>
      </c>
      <c r="E146" s="296"/>
      <c r="F146" s="296"/>
      <c r="G146" s="296">
        <f t="shared" ref="G146:H146" si="82">G145/SUM(G134:G135)</f>
        <v>2.9919447640966629E-2</v>
      </c>
      <c r="H146" s="296">
        <f t="shared" si="82"/>
        <v>4.1296716911005574E-2</v>
      </c>
      <c r="I146" s="296">
        <f>(I145/3*4)/SUM(I134,I135/3*4)</f>
        <v>8.8842013835034261E-2</v>
      </c>
      <c r="J146" s="296">
        <f>I146</f>
        <v>8.8842013835034261E-2</v>
      </c>
      <c r="K146" s="296">
        <f>J146</f>
        <v>8.8842013835034261E-2</v>
      </c>
      <c r="L146" s="296">
        <f>K146+Q147</f>
        <v>9.4620706817182376E-2</v>
      </c>
      <c r="M146" s="296">
        <f>L146+$Q$147</f>
        <v>0.10039939979933049</v>
      </c>
      <c r="N146" s="296">
        <f>M146+$Q$147</f>
        <v>0.10617809278147861</v>
      </c>
      <c r="O146" s="296">
        <f>N146+$Q$147</f>
        <v>0.11195678576362672</v>
      </c>
      <c r="P146" s="296">
        <f>O146+$Q$147</f>
        <v>0.11773547874577484</v>
      </c>
      <c r="Q146" s="296">
        <f>'Physical Security'!P86</f>
        <v>0.11773547874577485</v>
      </c>
    </row>
    <row r="147" spans="2:17" s="247" customFormat="1">
      <c r="I147" s="296">
        <f>(I145/3*4)/(K134+K135)</f>
        <v>8.8842013835034261E-2</v>
      </c>
      <c r="L147" s="287">
        <v>1.4999999999999999E-2</v>
      </c>
      <c r="M147" s="287">
        <v>1.4999999999999999E-2</v>
      </c>
      <c r="N147" s="287">
        <v>1.4999999999999999E-2</v>
      </c>
      <c r="O147" s="287">
        <v>1.4999999999999999E-2</v>
      </c>
      <c r="P147" s="287">
        <f>O147</f>
        <v>1.4999999999999999E-2</v>
      </c>
      <c r="Q147" s="287">
        <f>(Q146-K146)/5</f>
        <v>5.7786929821481174E-3</v>
      </c>
    </row>
    <row r="148" spans="2:17" s="247" customFormat="1">
      <c r="L148" s="296"/>
      <c r="M148" s="296"/>
      <c r="N148" s="296"/>
      <c r="O148" s="296"/>
    </row>
    <row r="149" spans="2:17" s="247" customFormat="1">
      <c r="B149" s="247" t="s">
        <v>520</v>
      </c>
      <c r="D149" s="249"/>
      <c r="E149" s="249"/>
      <c r="F149" s="249"/>
      <c r="G149" s="249"/>
      <c r="H149" s="249"/>
      <c r="I149" s="249"/>
      <c r="J149" s="249"/>
      <c r="K149" s="249"/>
      <c r="L149" s="249"/>
      <c r="M149" s="249"/>
      <c r="N149" s="249"/>
      <c r="O149" s="249"/>
      <c r="P149" s="249"/>
      <c r="Q149" s="249"/>
    </row>
    <row r="150" spans="2:17" s="247" customFormat="1">
      <c r="B150" s="304" t="s">
        <v>362</v>
      </c>
      <c r="C150" s="298" t="s">
        <v>363</v>
      </c>
      <c r="E150" s="305"/>
      <c r="F150" s="305"/>
      <c r="G150" s="305">
        <v>0.15479999999999999</v>
      </c>
      <c r="H150" s="305">
        <v>0.24</v>
      </c>
      <c r="I150" s="306">
        <v>0.22143972099628578</v>
      </c>
      <c r="J150" s="305">
        <f>I150</f>
        <v>0.22143972099628578</v>
      </c>
      <c r="K150" s="305">
        <f>J150</f>
        <v>0.22143972099628578</v>
      </c>
      <c r="L150" s="305">
        <f>K150*(1+L151)</f>
        <v>0.22608995513720775</v>
      </c>
      <c r="M150" s="305">
        <f t="shared" ref="M150:P150" si="83">L150*(1+M151)</f>
        <v>0.22744649486803101</v>
      </c>
      <c r="N150" s="305">
        <f t="shared" si="83"/>
        <v>0.22972095981671131</v>
      </c>
      <c r="O150" s="305">
        <f t="shared" si="83"/>
        <v>0.23247761133451186</v>
      </c>
      <c r="P150" s="305">
        <f t="shared" si="83"/>
        <v>0.23549982028186051</v>
      </c>
    </row>
    <row r="151" spans="2:17" s="247" customFormat="1">
      <c r="B151" s="222" t="s">
        <v>364</v>
      </c>
      <c r="F151" s="296"/>
      <c r="G151" s="305"/>
      <c r="H151" s="305"/>
      <c r="I151" s="307"/>
      <c r="K151" s="296">
        <v>5.0999999999999997E-2</v>
      </c>
      <c r="L151" s="296">
        <v>2.1000000000000001E-2</v>
      </c>
      <c r="M151" s="296">
        <v>6.0000000000000001E-3</v>
      </c>
      <c r="N151" s="296">
        <v>0.01</v>
      </c>
      <c r="O151" s="296">
        <v>1.2E-2</v>
      </c>
      <c r="P151" s="296">
        <v>1.3000000000000001E-2</v>
      </c>
    </row>
    <row r="152" spans="2:17" s="247" customFormat="1">
      <c r="B152" s="220" t="s">
        <v>365</v>
      </c>
      <c r="C152" s="247" t="s">
        <v>366</v>
      </c>
      <c r="E152" s="305"/>
      <c r="F152" s="305"/>
      <c r="G152" s="305">
        <v>7.0768999999999999E-2</v>
      </c>
      <c r="H152" s="305">
        <v>6.5909999999999996E-2</v>
      </c>
      <c r="I152" s="307">
        <v>0.13974186312849199</v>
      </c>
      <c r="J152" s="305">
        <f>I152</f>
        <v>0.13974186312849199</v>
      </c>
      <c r="K152" s="305">
        <f>J152</f>
        <v>0.13974186312849199</v>
      </c>
      <c r="L152" s="308">
        <f>+K152+($N152-$K152)/($N$3-$K$3)</f>
        <v>0.16747064521493368</v>
      </c>
      <c r="M152" s="452">
        <f>+L152+($N152-$K152)/($N$3-$K$3)</f>
        <v>0.19519942730137538</v>
      </c>
      <c r="N152" s="453">
        <f>(SUMPRODUCT(G140:H140,G150:H150)+SUMPRODUCT(K140,K150))/SUM(G140:H140,K140)</f>
        <v>0.22292820938781707</v>
      </c>
      <c r="O152" s="453">
        <f>(SUMPRODUCT(K150:L150,K140:L140)+SUMPRODUCT(H150,H140))/SUM(H140,K140:L140)</f>
        <v>0.22815966959012915</v>
      </c>
      <c r="P152" s="453">
        <f>(SUMPRODUCT(K140:M140,K150:M150)/SUM(K140:M140))</f>
        <v>0.22403037411989782</v>
      </c>
    </row>
    <row r="153" spans="2:17" s="247" customFormat="1">
      <c r="B153" s="309" t="s">
        <v>364</v>
      </c>
      <c r="C153" s="249"/>
      <c r="D153" s="249"/>
      <c r="E153" s="249"/>
      <c r="F153" s="310"/>
      <c r="G153" s="310"/>
      <c r="H153" s="310"/>
      <c r="I153" s="311"/>
      <c r="J153" s="249"/>
      <c r="K153" s="310"/>
      <c r="L153" s="310">
        <f>L152/K152-1</f>
        <v>0.19842859874385099</v>
      </c>
      <c r="M153" s="310">
        <f t="shared" ref="M153:P153" si="84">M152/L152-1</f>
        <v>0.16557398492645836</v>
      </c>
      <c r="N153" s="310">
        <f t="shared" si="84"/>
        <v>0.14205360369029285</v>
      </c>
      <c r="O153" s="310">
        <f t="shared" si="84"/>
        <v>2.3467017550978353E-2</v>
      </c>
      <c r="P153" s="310">
        <f t="shared" si="84"/>
        <v>-1.8098270731410571E-2</v>
      </c>
      <c r="Q153" s="249"/>
    </row>
    <row r="154" spans="2:17" s="247" customFormat="1">
      <c r="L154" s="305"/>
      <c r="M154" s="305"/>
      <c r="N154" s="305"/>
      <c r="O154" s="305"/>
      <c r="P154" s="305"/>
    </row>
    <row r="155" spans="2:17" s="247" customFormat="1"/>
    <row r="156" spans="2:17" s="247" customFormat="1">
      <c r="B156" s="233" t="s">
        <v>521</v>
      </c>
    </row>
    <row r="157" spans="2:17" s="247" customFormat="1"/>
    <row r="158" spans="2:17" s="247" customFormat="1">
      <c r="B158" s="298" t="s">
        <v>522</v>
      </c>
      <c r="C158" s="298"/>
      <c r="D158" s="298"/>
      <c r="E158" s="298"/>
      <c r="F158" s="298"/>
      <c r="G158" s="298"/>
      <c r="H158" s="298"/>
      <c r="I158" s="312"/>
      <c r="J158" s="298"/>
      <c r="K158" s="298"/>
      <c r="L158" s="298"/>
      <c r="M158" s="298"/>
      <c r="N158" s="298"/>
      <c r="O158" s="298"/>
      <c r="P158" s="298"/>
      <c r="Q158" s="298"/>
    </row>
    <row r="159" spans="2:17" s="247" customFormat="1">
      <c r="B159" s="220" t="s">
        <v>523</v>
      </c>
      <c r="G159" s="247">
        <f t="shared" ref="G159:P159" si="85">G137</f>
        <v>843</v>
      </c>
      <c r="H159" s="247">
        <f t="shared" si="85"/>
        <v>4643</v>
      </c>
      <c r="I159" s="313">
        <f t="shared" si="85"/>
        <v>8504</v>
      </c>
      <c r="J159" s="247">
        <f t="shared" si="85"/>
        <v>9791.0000000000018</v>
      </c>
      <c r="K159" s="247">
        <f t="shared" si="85"/>
        <v>9791.0000000000018</v>
      </c>
      <c r="L159" s="247">
        <f t="shared" si="85"/>
        <v>11643.073467158654</v>
      </c>
      <c r="M159" s="247">
        <f t="shared" si="85"/>
        <v>12973.019906503996</v>
      </c>
      <c r="N159" s="247">
        <f t="shared" si="85"/>
        <v>13842.843441801508</v>
      </c>
      <c r="O159" s="247">
        <f t="shared" si="85"/>
        <v>14313.876328495537</v>
      </c>
      <c r="P159" s="247">
        <f t="shared" si="85"/>
        <v>14636.308383716187</v>
      </c>
    </row>
    <row r="160" spans="2:17" s="247" customFormat="1">
      <c r="B160" s="220" t="s">
        <v>524</v>
      </c>
      <c r="G160" s="314"/>
      <c r="H160" s="314"/>
      <c r="I160" s="313"/>
      <c r="K160" s="314">
        <v>0.53557712032220917</v>
      </c>
      <c r="L160" s="315">
        <f>K160*(1+L161)</f>
        <v>0.54682423984897555</v>
      </c>
      <c r="M160" s="315">
        <f t="shared" ref="M160:P160" si="86">L160*(1+M161)</f>
        <v>0.5501051852880694</v>
      </c>
      <c r="N160" s="315">
        <f t="shared" si="86"/>
        <v>0.55560623714095014</v>
      </c>
      <c r="O160" s="315">
        <f t="shared" si="86"/>
        <v>0.56227351198664155</v>
      </c>
      <c r="P160" s="315">
        <f t="shared" si="86"/>
        <v>0.5695830676424678</v>
      </c>
    </row>
    <row r="161" spans="2:17" s="247" customFormat="1">
      <c r="B161" s="220"/>
      <c r="G161" s="314"/>
      <c r="H161" s="314"/>
      <c r="I161" s="311"/>
      <c r="K161" s="314"/>
      <c r="L161" s="316">
        <v>2.1000000000000001E-2</v>
      </c>
      <c r="M161" s="316">
        <v>6.0000000000000001E-3</v>
      </c>
      <c r="N161" s="316">
        <v>0.01</v>
      </c>
      <c r="O161" s="316">
        <v>1.2E-2</v>
      </c>
      <c r="P161" s="316">
        <v>1.3000000000000001E-2</v>
      </c>
    </row>
    <row r="162" spans="2:17" s="247" customFormat="1" ht="13.8" thickBot="1">
      <c r="B162" s="250" t="s">
        <v>525</v>
      </c>
      <c r="C162" s="250"/>
      <c r="D162" s="250"/>
      <c r="E162" s="250"/>
      <c r="F162" s="250">
        <v>0</v>
      </c>
      <c r="G162" s="250">
        <v>0</v>
      </c>
      <c r="H162" s="250">
        <v>0</v>
      </c>
      <c r="I162" s="317"/>
      <c r="J162" s="250">
        <f>K162/4</f>
        <v>1310.9588962686878</v>
      </c>
      <c r="K162" s="250">
        <f>K159*K160</f>
        <v>5243.8355850747512</v>
      </c>
      <c r="L162" s="250">
        <f>L159*L160</f>
        <v>6366.7147981848075</v>
      </c>
      <c r="M162" s="250">
        <f t="shared" ref="M162:P162" si="87">M159*M160</f>
        <v>7136.5255194131933</v>
      </c>
      <c r="N162" s="250">
        <f t="shared" si="87"/>
        <v>7691.1701560306146</v>
      </c>
      <c r="O162" s="250">
        <f t="shared" si="87"/>
        <v>8048.3135133656397</v>
      </c>
      <c r="P162" s="250">
        <f t="shared" si="87"/>
        <v>8336.5934281582358</v>
      </c>
      <c r="Q162" s="250"/>
    </row>
    <row r="163" spans="2:17" s="247" customFormat="1">
      <c r="L163" s="296"/>
      <c r="M163" s="296"/>
      <c r="N163" s="296"/>
      <c r="O163" s="296"/>
      <c r="P163" s="296"/>
    </row>
    <row r="166" spans="2:17">
      <c r="B166" s="171" t="s">
        <v>526</v>
      </c>
    </row>
    <row r="167" spans="2:17">
      <c r="K167" s="409"/>
    </row>
    <row r="168" spans="2:17" ht="13.8" thickBot="1">
      <c r="B168" s="175" t="s">
        <v>527</v>
      </c>
      <c r="C168" s="175"/>
      <c r="D168" s="175"/>
      <c r="E168" s="175">
        <v>282.932796</v>
      </c>
      <c r="F168" s="175">
        <v>3058.8926780000002</v>
      </c>
      <c r="G168" s="175">
        <v>12700.44478</v>
      </c>
      <c r="H168" s="175">
        <v>24875.830383</v>
      </c>
      <c r="I168" s="200">
        <v>28327.277816999998</v>
      </c>
      <c r="J168" s="175">
        <f>I168/3</f>
        <v>9442.4259389999988</v>
      </c>
      <c r="K168" s="439">
        <f>I168+J168</f>
        <v>37769.703755999995</v>
      </c>
      <c r="L168" s="175">
        <f>K168+(K173*K190/2+L173*L190/2+K174*K192/2+L174*L192/2+K175*K193/2+L175*L193/2)*12</f>
        <v>51788.032784385883</v>
      </c>
      <c r="M168" s="175">
        <f>L168+(L173*L190/2+M173*M190/2+L174*L192/2+M174*M192/2+L175*L193/2+M175*M193/2)*12</f>
        <v>64218.813120687075</v>
      </c>
      <c r="N168" s="175">
        <f>M168+(M173*M190/2+N173*N190/2+M174*M192/2+N174*N192/2+M175*M193/2+N175*N193/2)*12</f>
        <v>74399.030788732853</v>
      </c>
      <c r="O168" s="175">
        <f>N168+(N173*N190/2+O173*O190/2+N174*N192/2+O174*O192/2+N175*N193/2+O175*O193/2)*12</f>
        <v>74949.624921391107</v>
      </c>
      <c r="P168" s="175">
        <f>O168+(O173*O190/2+P173*P190/2+O174*O192/2+P174*P192/2+O175*O193/2+P175*P193/2)*12</f>
        <v>73490.42830264433</v>
      </c>
      <c r="Q168" s="175"/>
    </row>
    <row r="169" spans="2:17">
      <c r="E169" s="286"/>
      <c r="F169" s="286"/>
      <c r="G169" s="286"/>
      <c r="H169" s="286"/>
      <c r="I169" s="286"/>
      <c r="K169" s="286"/>
      <c r="L169" s="286"/>
      <c r="M169" s="286"/>
      <c r="N169" s="286"/>
      <c r="O169" s="286"/>
      <c r="P169" s="286"/>
    </row>
    <row r="171" spans="2:17">
      <c r="B171" s="154" t="s">
        <v>528</v>
      </c>
      <c r="C171" s="154" t="s">
        <v>349</v>
      </c>
      <c r="J171" s="228"/>
    </row>
    <row r="172" spans="2:17">
      <c r="B172" s="205" t="s">
        <v>350</v>
      </c>
      <c r="C172" s="196"/>
      <c r="D172" s="196"/>
      <c r="E172" s="196"/>
      <c r="F172" s="196">
        <v>85</v>
      </c>
      <c r="G172" s="196">
        <f>F176</f>
        <v>136</v>
      </c>
      <c r="H172" s="196">
        <f>G176</f>
        <v>270</v>
      </c>
      <c r="I172" s="197">
        <f>H176</f>
        <v>359</v>
      </c>
      <c r="J172" s="196">
        <f>I176</f>
        <v>438</v>
      </c>
      <c r="K172" s="196">
        <f>H176</f>
        <v>359</v>
      </c>
      <c r="L172" s="196">
        <f t="shared" ref="L172:P172" si="88">K176</f>
        <v>465.66533333333331</v>
      </c>
      <c r="M172" s="196">
        <f t="shared" si="88"/>
        <v>483.137</v>
      </c>
      <c r="N172" s="196">
        <f t="shared" si="88"/>
        <v>523.28666666666663</v>
      </c>
      <c r="O172" s="196">
        <f t="shared" si="88"/>
        <v>508.07533333333328</v>
      </c>
      <c r="P172" s="196">
        <f t="shared" si="88"/>
        <v>522.87899999999991</v>
      </c>
      <c r="Q172" s="196"/>
    </row>
    <row r="173" spans="2:17">
      <c r="B173" s="168" t="s">
        <v>351</v>
      </c>
      <c r="E173" s="154">
        <f>E180</f>
        <v>85</v>
      </c>
      <c r="F173" s="154">
        <f>F180</f>
        <v>51</v>
      </c>
      <c r="G173" s="154">
        <f t="shared" ref="G173:P173" si="89">G180</f>
        <v>134</v>
      </c>
      <c r="H173" s="154">
        <f t="shared" si="89"/>
        <v>89</v>
      </c>
      <c r="I173" s="221">
        <f t="shared" si="89"/>
        <v>91</v>
      </c>
      <c r="J173" s="154">
        <f t="shared" si="89"/>
        <v>30.333333333333329</v>
      </c>
      <c r="K173" s="154">
        <f t="shared" si="89"/>
        <v>121.33333333333333</v>
      </c>
      <c r="L173" s="154">
        <f t="shared" si="89"/>
        <v>74.166666666666671</v>
      </c>
      <c r="M173" s="154">
        <f t="shared" si="89"/>
        <v>74.166666666666671</v>
      </c>
      <c r="N173" s="154">
        <f t="shared" si="89"/>
        <v>74.166666666666671</v>
      </c>
      <c r="O173" s="154">
        <f t="shared" si="89"/>
        <v>74.166666666666671</v>
      </c>
      <c r="P173" s="154">
        <f t="shared" si="89"/>
        <v>74.166666666666671</v>
      </c>
    </row>
    <row r="174" spans="2:17">
      <c r="B174" s="168" t="s">
        <v>352</v>
      </c>
      <c r="F174" s="154">
        <f>-F185</f>
        <v>0</v>
      </c>
      <c r="G174" s="154">
        <f t="shared" ref="G174:P174" si="90">-G185</f>
        <v>0</v>
      </c>
      <c r="H174" s="154">
        <f t="shared" si="90"/>
        <v>0</v>
      </c>
      <c r="I174" s="221">
        <f t="shared" si="90"/>
        <v>-12</v>
      </c>
      <c r="J174" s="154">
        <f t="shared" si="90"/>
        <v>-4</v>
      </c>
      <c r="K174" s="154">
        <f t="shared" si="90"/>
        <v>-16</v>
      </c>
      <c r="L174" s="154">
        <f t="shared" si="90"/>
        <v>-85</v>
      </c>
      <c r="M174" s="154">
        <f t="shared" si="90"/>
        <v>-51</v>
      </c>
      <c r="N174" s="154">
        <f t="shared" si="90"/>
        <v>-134</v>
      </c>
      <c r="O174" s="154">
        <f t="shared" si="90"/>
        <v>-89</v>
      </c>
      <c r="P174" s="154">
        <f t="shared" si="90"/>
        <v>-121.33333333333333</v>
      </c>
    </row>
    <row r="175" spans="2:17">
      <c r="B175" s="168" t="s">
        <v>529</v>
      </c>
      <c r="F175" s="154">
        <v>0</v>
      </c>
      <c r="G175" s="154">
        <v>0</v>
      </c>
      <c r="H175" s="154">
        <v>0</v>
      </c>
      <c r="I175" s="221">
        <v>0</v>
      </c>
      <c r="J175" s="154">
        <f>J186</f>
        <v>1.3320000000000001</v>
      </c>
      <c r="K175" s="154">
        <f>K186</f>
        <v>1.3320000000000001</v>
      </c>
      <c r="L175" s="154">
        <f>L186</f>
        <v>28.305000000000003</v>
      </c>
      <c r="M175" s="154">
        <f>M186</f>
        <v>16.983000000000001</v>
      </c>
      <c r="N175" s="154">
        <f t="shared" ref="N175:P175" si="91">N186</f>
        <v>44.622</v>
      </c>
      <c r="O175" s="154">
        <f t="shared" si="91"/>
        <v>29.637</v>
      </c>
      <c r="P175" s="154">
        <f t="shared" si="91"/>
        <v>40.404000000000003</v>
      </c>
    </row>
    <row r="176" spans="2:17">
      <c r="B176" s="206" t="s">
        <v>354</v>
      </c>
      <c r="C176" s="207"/>
      <c r="D176" s="207"/>
      <c r="E176" s="207">
        <f>SUM(E172:E175)</f>
        <v>85</v>
      </c>
      <c r="F176" s="207">
        <f>SUM(F172:F175)</f>
        <v>136</v>
      </c>
      <c r="G176" s="207">
        <f t="shared" ref="G176:P176" si="92">SUM(G172:G175)</f>
        <v>270</v>
      </c>
      <c r="H176" s="207">
        <f t="shared" si="92"/>
        <v>359</v>
      </c>
      <c r="I176" s="227">
        <f t="shared" si="92"/>
        <v>438</v>
      </c>
      <c r="J176" s="207">
        <f t="shared" si="92"/>
        <v>465.66533333333331</v>
      </c>
      <c r="K176" s="207">
        <f t="shared" si="92"/>
        <v>465.66533333333331</v>
      </c>
      <c r="L176" s="207">
        <f t="shared" si="92"/>
        <v>483.137</v>
      </c>
      <c r="M176" s="207">
        <f t="shared" si="92"/>
        <v>523.28666666666663</v>
      </c>
      <c r="N176" s="207">
        <f t="shared" si="92"/>
        <v>508.07533333333328</v>
      </c>
      <c r="O176" s="207">
        <f t="shared" si="92"/>
        <v>522.87899999999991</v>
      </c>
      <c r="P176" s="207">
        <f t="shared" si="92"/>
        <v>516.11633333333327</v>
      </c>
      <c r="Q176" s="207"/>
    </row>
    <row r="177" spans="2:17">
      <c r="B177" s="154" t="s">
        <v>530</v>
      </c>
    </row>
    <row r="178" spans="2:17">
      <c r="I178" s="286"/>
    </row>
    <row r="179" spans="2:17">
      <c r="D179" s="409"/>
      <c r="E179" s="409"/>
      <c r="F179" s="409"/>
      <c r="G179" s="409"/>
      <c r="H179" s="409"/>
      <c r="I179" s="409"/>
      <c r="J179" s="409"/>
      <c r="K179" s="409"/>
      <c r="L179" s="409"/>
    </row>
    <row r="180" spans="2:17">
      <c r="C180" s="154" t="s">
        <v>351</v>
      </c>
      <c r="D180" s="409"/>
      <c r="E180" s="409">
        <v>85</v>
      </c>
      <c r="F180" s="409">
        <v>51</v>
      </c>
      <c r="G180" s="409">
        <v>134</v>
      </c>
      <c r="H180" s="409">
        <v>89</v>
      </c>
      <c r="I180" s="409">
        <v>91</v>
      </c>
      <c r="J180" s="409">
        <f>K180-I180</f>
        <v>30.333333333333329</v>
      </c>
      <c r="K180" s="416">
        <f>K181*K183</f>
        <v>121.33333333333333</v>
      </c>
      <c r="L180" s="409">
        <f>L181*L183</f>
        <v>74.166666666666671</v>
      </c>
      <c r="M180" s="154">
        <f t="shared" ref="M180:P180" si="93">M181*M183</f>
        <v>74.166666666666671</v>
      </c>
      <c r="N180" s="154">
        <f t="shared" si="93"/>
        <v>74.166666666666671</v>
      </c>
      <c r="O180" s="154">
        <f t="shared" si="93"/>
        <v>74.166666666666671</v>
      </c>
      <c r="P180" s="154">
        <f t="shared" si="93"/>
        <v>74.166666666666671</v>
      </c>
    </row>
    <row r="181" spans="2:17">
      <c r="C181" s="168" t="s">
        <v>356</v>
      </c>
      <c r="D181" s="454">
        <f>AVERAGE(G181:I181)</f>
        <v>4.162962962962963</v>
      </c>
      <c r="E181" s="423">
        <f t="shared" ref="E181:F181" si="94">E180/E183</f>
        <v>8.0952380952380949</v>
      </c>
      <c r="F181" s="423">
        <f t="shared" si="94"/>
        <v>1.3691275167785235</v>
      </c>
      <c r="G181" s="423">
        <f>G180/G183</f>
        <v>4.4666666666666668</v>
      </c>
      <c r="H181" s="423">
        <f t="shared" ref="H181" si="95">H180/H183</f>
        <v>2.9666666666666668</v>
      </c>
      <c r="I181" s="423">
        <f>(I180/3*4)/I183</f>
        <v>5.0555555555555554</v>
      </c>
      <c r="J181" s="423"/>
      <c r="K181" s="423">
        <f>I181</f>
        <v>5.0555555555555554</v>
      </c>
      <c r="L181" s="423">
        <f>H181</f>
        <v>2.9666666666666668</v>
      </c>
      <c r="M181" s="234">
        <f t="shared" ref="M181:P181" si="96">L181*(1+M182)</f>
        <v>2.9666666666666668</v>
      </c>
      <c r="N181" s="234">
        <f t="shared" si="96"/>
        <v>2.9666666666666668</v>
      </c>
      <c r="O181" s="234">
        <f t="shared" si="96"/>
        <v>2.9666666666666668</v>
      </c>
      <c r="P181" s="234">
        <f t="shared" si="96"/>
        <v>2.9666666666666668</v>
      </c>
    </row>
    <row r="182" spans="2:17">
      <c r="C182" s="168" t="s">
        <v>357</v>
      </c>
      <c r="D182" s="409"/>
      <c r="E182" s="409"/>
      <c r="F182" s="291">
        <f>F181/E181-1</f>
        <v>-0.83087248322147644</v>
      </c>
      <c r="G182" s="291">
        <f>G181/F181-1</f>
        <v>2.2624183006535947</v>
      </c>
      <c r="H182" s="291">
        <f>H181/G181-1</f>
        <v>-0.33582089552238803</v>
      </c>
      <c r="I182" s="409"/>
      <c r="J182" s="409"/>
      <c r="K182" s="292">
        <v>0</v>
      </c>
      <c r="L182" s="292">
        <v>0</v>
      </c>
      <c r="M182" s="212">
        <v>0</v>
      </c>
      <c r="N182" s="212">
        <v>0</v>
      </c>
      <c r="O182" s="212">
        <v>0</v>
      </c>
      <c r="P182" s="212">
        <v>0</v>
      </c>
    </row>
    <row r="183" spans="2:17">
      <c r="C183" s="168" t="s">
        <v>358</v>
      </c>
      <c r="D183" s="409"/>
      <c r="E183" s="409">
        <v>10.5</v>
      </c>
      <c r="F183" s="409">
        <v>37.25</v>
      </c>
      <c r="G183" s="409">
        <v>30</v>
      </c>
      <c r="H183" s="409">
        <v>30</v>
      </c>
      <c r="I183" s="409">
        <v>24</v>
      </c>
      <c r="J183" s="409">
        <v>24</v>
      </c>
      <c r="K183" s="409">
        <v>24</v>
      </c>
      <c r="L183" s="409">
        <v>25</v>
      </c>
      <c r="M183" s="154">
        <f t="shared" ref="M183:P183" si="97">L183</f>
        <v>25</v>
      </c>
      <c r="N183" s="154">
        <f t="shared" si="97"/>
        <v>25</v>
      </c>
      <c r="O183" s="154">
        <f t="shared" si="97"/>
        <v>25</v>
      </c>
      <c r="P183" s="154">
        <f t="shared" si="97"/>
        <v>25</v>
      </c>
    </row>
    <row r="184" spans="2:17">
      <c r="D184" s="409"/>
      <c r="E184" s="409"/>
      <c r="F184" s="409"/>
      <c r="G184" s="409"/>
      <c r="H184" s="409"/>
      <c r="I184" s="409"/>
      <c r="J184" s="409"/>
      <c r="K184" s="409"/>
      <c r="L184" s="409"/>
    </row>
    <row r="185" spans="2:17">
      <c r="C185" s="154" t="s">
        <v>352</v>
      </c>
      <c r="D185" s="409"/>
      <c r="E185" s="409"/>
      <c r="F185" s="409"/>
      <c r="G185" s="409"/>
      <c r="H185" s="409"/>
      <c r="I185" s="409">
        <v>12</v>
      </c>
      <c r="J185" s="409">
        <f>I185/3</f>
        <v>4</v>
      </c>
      <c r="K185" s="409">
        <f>I185+J185</f>
        <v>16</v>
      </c>
      <c r="L185" s="409">
        <f>F172</f>
        <v>85</v>
      </c>
      <c r="M185" s="154">
        <f>F180</f>
        <v>51</v>
      </c>
      <c r="N185" s="154">
        <f t="shared" ref="N185:O185" si="98">G180</f>
        <v>134</v>
      </c>
      <c r="O185" s="154">
        <f t="shared" si="98"/>
        <v>89</v>
      </c>
      <c r="P185" s="154">
        <f>K180</f>
        <v>121.33333333333333</v>
      </c>
    </row>
    <row r="186" spans="2:17">
      <c r="C186" s="154" t="s">
        <v>529</v>
      </c>
      <c r="J186" s="154">
        <f>J185*J187</f>
        <v>1.3320000000000001</v>
      </c>
      <c r="K186" s="154">
        <f>I186+J186</f>
        <v>1.3320000000000001</v>
      </c>
      <c r="L186" s="154">
        <f>L185*L187</f>
        <v>28.305000000000003</v>
      </c>
      <c r="M186" s="154">
        <f t="shared" ref="M186:P186" si="99">M185*M187</f>
        <v>16.983000000000001</v>
      </c>
      <c r="N186" s="154">
        <f t="shared" si="99"/>
        <v>44.622</v>
      </c>
      <c r="O186" s="154">
        <f t="shared" si="99"/>
        <v>29.637</v>
      </c>
      <c r="P186" s="154">
        <f t="shared" si="99"/>
        <v>40.404000000000003</v>
      </c>
    </row>
    <row r="187" spans="2:17">
      <c r="C187" s="168" t="s">
        <v>531</v>
      </c>
      <c r="J187" s="212">
        <v>0.33300000000000002</v>
      </c>
      <c r="K187" s="212"/>
      <c r="L187" s="212">
        <v>0.33300000000000002</v>
      </c>
      <c r="M187" s="212">
        <f>L187</f>
        <v>0.33300000000000002</v>
      </c>
      <c r="N187" s="212">
        <f t="shared" ref="N187:P187" si="100">M187</f>
        <v>0.33300000000000002</v>
      </c>
      <c r="O187" s="212">
        <f t="shared" si="100"/>
        <v>0.33300000000000002</v>
      </c>
      <c r="P187" s="212">
        <f t="shared" si="100"/>
        <v>0.33300000000000002</v>
      </c>
    </row>
    <row r="188" spans="2:17">
      <c r="J188" s="212"/>
    </row>
    <row r="189" spans="2:17">
      <c r="B189" s="154" t="s">
        <v>532</v>
      </c>
      <c r="D189" s="177"/>
      <c r="E189" s="177"/>
      <c r="F189" s="177"/>
      <c r="G189" s="177"/>
      <c r="H189" s="177"/>
      <c r="I189" s="177"/>
      <c r="J189" s="177"/>
      <c r="K189" s="177"/>
      <c r="L189" s="177"/>
      <c r="M189" s="177"/>
      <c r="N189" s="177"/>
      <c r="O189" s="177"/>
      <c r="P189" s="177"/>
      <c r="Q189" s="177"/>
    </row>
    <row r="190" spans="2:17">
      <c r="B190" s="205" t="s">
        <v>362</v>
      </c>
      <c r="C190" s="196" t="s">
        <v>363</v>
      </c>
      <c r="D190" s="229">
        <f>AVERAGE(G190:I190)</f>
        <v>14.171754189590438</v>
      </c>
      <c r="E190" s="219">
        <v>0.27738509411764706</v>
      </c>
      <c r="F190" s="219">
        <v>4.9981906503267979</v>
      </c>
      <c r="G190" s="219">
        <v>7.8982865547263685</v>
      </c>
      <c r="H190" s="219">
        <v>23.291976014044945</v>
      </c>
      <c r="I190" s="318">
        <v>11.324999999999999</v>
      </c>
      <c r="J190" s="219">
        <f>K190</f>
        <v>11.324999999999999</v>
      </c>
      <c r="K190" s="219">
        <f>I190</f>
        <v>11.324999999999999</v>
      </c>
      <c r="L190" s="219">
        <f>D190</f>
        <v>14.171754189590438</v>
      </c>
      <c r="M190" s="219">
        <f t="shared" ref="M190:P190" si="101">L190*(1+M191)</f>
        <v>14.25678471472798</v>
      </c>
      <c r="N190" s="219">
        <f t="shared" si="101"/>
        <v>14.39935256187526</v>
      </c>
      <c r="O190" s="219">
        <f t="shared" si="101"/>
        <v>14.572144792617763</v>
      </c>
      <c r="P190" s="219">
        <f t="shared" si="101"/>
        <v>14.761582674921792</v>
      </c>
    </row>
    <row r="191" spans="2:17">
      <c r="B191" s="170" t="s">
        <v>364</v>
      </c>
      <c r="F191" s="286"/>
      <c r="G191" s="286"/>
      <c r="H191" s="286"/>
      <c r="I191" s="221"/>
      <c r="J191" s="286"/>
      <c r="K191" s="286">
        <v>5.0999999999999997E-2</v>
      </c>
      <c r="L191" s="286">
        <v>2.1000000000000001E-2</v>
      </c>
      <c r="M191" s="286">
        <v>6.0000000000000001E-3</v>
      </c>
      <c r="N191" s="286">
        <v>0.01</v>
      </c>
      <c r="O191" s="286">
        <v>1.2E-2</v>
      </c>
      <c r="P191" s="286">
        <v>1.3000000000000001E-2</v>
      </c>
    </row>
    <row r="192" spans="2:17">
      <c r="B192" s="168" t="s">
        <v>365</v>
      </c>
      <c r="C192" s="154" t="s">
        <v>366</v>
      </c>
      <c r="E192" s="219"/>
      <c r="F192" s="219"/>
      <c r="G192" s="219"/>
      <c r="H192" s="219"/>
      <c r="I192" s="319">
        <v>16.183</v>
      </c>
      <c r="J192" s="219"/>
      <c r="K192" s="219">
        <v>5</v>
      </c>
      <c r="L192" s="219">
        <v>5</v>
      </c>
      <c r="M192" s="320">
        <f>F190</f>
        <v>4.9981906503267979</v>
      </c>
      <c r="N192" s="320">
        <f t="shared" ref="N192:O192" si="102">G190</f>
        <v>7.8982865547263685</v>
      </c>
      <c r="O192" s="320">
        <f t="shared" si="102"/>
        <v>23.291976014044945</v>
      </c>
      <c r="P192" s="320">
        <f>K190</f>
        <v>11.324999999999999</v>
      </c>
    </row>
    <row r="193" spans="2:17">
      <c r="B193" s="248" t="s">
        <v>533</v>
      </c>
      <c r="C193" s="177" t="s">
        <v>366</v>
      </c>
      <c r="D193" s="177"/>
      <c r="E193" s="290">
        <f>E190</f>
        <v>0.27738509411764706</v>
      </c>
      <c r="F193" s="290">
        <f t="shared" ref="F193:P193" si="103">F190</f>
        <v>4.9981906503267979</v>
      </c>
      <c r="G193" s="290">
        <f t="shared" si="103"/>
        <v>7.8982865547263685</v>
      </c>
      <c r="H193" s="290">
        <f t="shared" si="103"/>
        <v>23.291976014044945</v>
      </c>
      <c r="I193" s="321">
        <f t="shared" si="103"/>
        <v>11.324999999999999</v>
      </c>
      <c r="J193" s="290">
        <f t="shared" si="103"/>
        <v>11.324999999999999</v>
      </c>
      <c r="K193" s="290">
        <f t="shared" si="103"/>
        <v>11.324999999999999</v>
      </c>
      <c r="L193" s="290">
        <f t="shared" si="103"/>
        <v>14.171754189590438</v>
      </c>
      <c r="M193" s="290">
        <f t="shared" si="103"/>
        <v>14.25678471472798</v>
      </c>
      <c r="N193" s="290">
        <f t="shared" si="103"/>
        <v>14.39935256187526</v>
      </c>
      <c r="O193" s="290">
        <f t="shared" si="103"/>
        <v>14.572144792617763</v>
      </c>
      <c r="P193" s="290">
        <f t="shared" si="103"/>
        <v>14.761582674921792</v>
      </c>
      <c r="Q193" s="177"/>
    </row>
    <row r="194" spans="2:17">
      <c r="B194" s="170"/>
      <c r="F194" s="322"/>
      <c r="G194" s="322"/>
      <c r="H194" s="322"/>
      <c r="K194" s="322"/>
      <c r="L194" s="322"/>
      <c r="M194" s="322"/>
      <c r="N194" s="322"/>
      <c r="O194" s="322"/>
      <c r="P194" s="322"/>
    </row>
    <row r="197" spans="2:17">
      <c r="B197" s="171" t="s">
        <v>534</v>
      </c>
    </row>
    <row r="199" spans="2:17">
      <c r="B199" s="196" t="s">
        <v>535</v>
      </c>
      <c r="C199" s="196"/>
      <c r="D199" s="196"/>
      <c r="E199" s="196"/>
      <c r="F199" s="196"/>
      <c r="G199" s="196"/>
      <c r="H199" s="196"/>
      <c r="I199" s="197"/>
      <c r="J199" s="196"/>
      <c r="K199" s="196"/>
      <c r="L199" s="196"/>
      <c r="M199" s="196"/>
      <c r="N199" s="196"/>
      <c r="O199" s="196"/>
      <c r="P199" s="196"/>
      <c r="Q199" s="196"/>
    </row>
    <row r="200" spans="2:17">
      <c r="B200" s="168" t="s">
        <v>282</v>
      </c>
      <c r="F200" s="154">
        <v>318</v>
      </c>
      <c r="G200" s="154">
        <v>519</v>
      </c>
      <c r="H200" s="154">
        <v>814</v>
      </c>
      <c r="I200" s="221">
        <v>1244</v>
      </c>
      <c r="K200" s="154">
        <f>I200</f>
        <v>1244</v>
      </c>
      <c r="L200" s="154">
        <f>K200*(1+L201)</f>
        <v>1262.6599999999999</v>
      </c>
      <c r="M200" s="154">
        <f t="shared" ref="M200:P200" si="104">L200*(1+M201)</f>
        <v>1292.9638399999999</v>
      </c>
      <c r="N200" s="154">
        <f t="shared" si="104"/>
        <v>1329.16682752</v>
      </c>
      <c r="O200" s="154">
        <f t="shared" si="104"/>
        <v>1366.3834986905599</v>
      </c>
      <c r="P200" s="154">
        <f t="shared" si="104"/>
        <v>1406.008620152586</v>
      </c>
    </row>
    <row r="201" spans="2:17">
      <c r="B201" s="170" t="s">
        <v>178</v>
      </c>
      <c r="G201" s="228">
        <f>G200/F200-1</f>
        <v>0.63207547169811318</v>
      </c>
      <c r="H201" s="228">
        <f>H200/G200-1</f>
        <v>0.56840077071290951</v>
      </c>
      <c r="I201" s="323">
        <f>I200/H200-1</f>
        <v>0.52825552825552835</v>
      </c>
      <c r="J201" s="239"/>
      <c r="K201" s="239">
        <v>2.6000000000000002E-2</v>
      </c>
      <c r="L201" s="239">
        <v>1.4999999999999999E-2</v>
      </c>
      <c r="M201" s="239">
        <v>2.4E-2</v>
      </c>
      <c r="N201" s="239">
        <v>2.7999999999999997E-2</v>
      </c>
      <c r="O201" s="239">
        <v>2.7999999999999997E-2</v>
      </c>
      <c r="P201" s="239">
        <v>2.8999999999999998E-2</v>
      </c>
    </row>
    <row r="202" spans="2:17">
      <c r="B202" s="168" t="s">
        <v>536</v>
      </c>
      <c r="F202" s="234">
        <f>F204/F200</f>
        <v>40.268180531446539</v>
      </c>
      <c r="G202" s="234">
        <f>G204/G200</f>
        <v>33.736649666666672</v>
      </c>
      <c r="H202" s="234">
        <f t="shared" ref="H202" si="105">H204/H200</f>
        <v>10.707446566339065</v>
      </c>
      <c r="I202" s="324">
        <f>(I204*4/3)/I200</f>
        <v>9.6518860235798503</v>
      </c>
      <c r="J202" s="234"/>
      <c r="K202" s="234">
        <f>I202</f>
        <v>9.6518860235798503</v>
      </c>
      <c r="L202" s="234">
        <f>K202*(1+L203)</f>
        <v>9.8545756300750256</v>
      </c>
      <c r="M202" s="234">
        <f t="shared" ref="M202:P202" si="106">L202*(1+M203)</f>
        <v>9.9137030838554754</v>
      </c>
      <c r="N202" s="234">
        <f t="shared" si="106"/>
        <v>10.012840114694031</v>
      </c>
      <c r="O202" s="234">
        <f t="shared" si="106"/>
        <v>10.13299419607036</v>
      </c>
      <c r="P202" s="234">
        <f t="shared" si="106"/>
        <v>10.264723120619273</v>
      </c>
    </row>
    <row r="203" spans="2:17">
      <c r="B203" s="170" t="s">
        <v>178</v>
      </c>
      <c r="F203" s="234"/>
      <c r="G203" s="234"/>
      <c r="H203" s="234"/>
      <c r="I203" s="221"/>
      <c r="J203" s="239"/>
      <c r="K203" s="239">
        <v>5.0999999999999997E-2</v>
      </c>
      <c r="L203" s="239">
        <v>2.1000000000000001E-2</v>
      </c>
      <c r="M203" s="239">
        <v>6.0000000000000001E-3</v>
      </c>
      <c r="N203" s="239">
        <v>0.01</v>
      </c>
      <c r="O203" s="239">
        <v>1.2E-2</v>
      </c>
      <c r="P203" s="239">
        <v>1.3000000000000001E-2</v>
      </c>
    </row>
    <row r="204" spans="2:17" ht="13.8" thickBot="1">
      <c r="B204" s="175" t="s">
        <v>537</v>
      </c>
      <c r="C204" s="175"/>
      <c r="D204" s="175"/>
      <c r="E204" s="175"/>
      <c r="F204" s="175">
        <v>12805.281408999999</v>
      </c>
      <c r="G204" s="175">
        <v>17509.321177000002</v>
      </c>
      <c r="H204" s="175">
        <v>8715.8615049999989</v>
      </c>
      <c r="I204" s="200">
        <v>9005.2096600000004</v>
      </c>
      <c r="J204" s="175">
        <f>K204-I204</f>
        <v>3001.7365533333341</v>
      </c>
      <c r="K204" s="175">
        <f>K200*K202</f>
        <v>12006.946213333335</v>
      </c>
      <c r="L204" s="175">
        <f>L200*L202</f>
        <v>12442.97846507053</v>
      </c>
      <c r="M204" s="175">
        <f t="shared" ref="M204:P204" si="107">M200*M202</f>
        <v>12818.059607921616</v>
      </c>
      <c r="N204" s="175">
        <f t="shared" si="107"/>
        <v>13308.734929712859</v>
      </c>
      <c r="O204" s="175">
        <f t="shared" si="107"/>
        <v>13845.556061837757</v>
      </c>
      <c r="P204" s="175">
        <f t="shared" si="107"/>
        <v>14432.289191070251</v>
      </c>
      <c r="Q204" s="175"/>
    </row>
    <row r="207" spans="2:17" s="247" customFormat="1">
      <c r="B207" s="233" t="s">
        <v>538</v>
      </c>
    </row>
    <row r="208" spans="2:17" s="247" customFormat="1"/>
    <row r="209" spans="2:17" s="247" customFormat="1" ht="13.8" thickBot="1">
      <c r="B209" s="250" t="s">
        <v>539</v>
      </c>
      <c r="C209" s="250"/>
      <c r="D209" s="250"/>
      <c r="E209" s="250"/>
      <c r="F209" s="250"/>
      <c r="G209" s="250"/>
      <c r="H209" s="250">
        <v>3728.4214440000001</v>
      </c>
      <c r="I209" s="317">
        <v>5429.0823350000001</v>
      </c>
      <c r="J209" s="250">
        <f>I209/3</f>
        <v>1809.6941116666667</v>
      </c>
      <c r="K209" s="250">
        <f>I209+J209</f>
        <v>7238.7764466666667</v>
      </c>
      <c r="L209" s="250">
        <f>K209+(K214*K227/2+L214*L227/2+K215*K229/2+L215*L229/2)*12</f>
        <v>18734.943429311377</v>
      </c>
      <c r="M209" s="250">
        <f>L209+(L214*L227/2+M214*M227/2+L215*L229/2+M215*M229/2)*12</f>
        <v>42344.22450107387</v>
      </c>
      <c r="N209" s="250">
        <f>M209+(M214*M227/2+N214*N227/2+M215*M229/2+N215*N229/2)*12</f>
        <v>72731.722483333855</v>
      </c>
      <c r="O209" s="250">
        <f>N209+(N214*N227/2+O214*O227/2+N215*N229/2+O215*O229/2)*12</f>
        <v>111493.43517614262</v>
      </c>
      <c r="P209" s="250">
        <f>O209+(O214*O227/2+P214*P227/2+O215*O229/2+P215*P229/2)*12</f>
        <v>154696.90244922863</v>
      </c>
      <c r="Q209" s="250"/>
    </row>
    <row r="210" spans="2:17" s="247" customFormat="1"/>
    <row r="211" spans="2:17" s="247" customFormat="1"/>
    <row r="212" spans="2:17" s="247" customFormat="1">
      <c r="B212" s="247" t="s">
        <v>540</v>
      </c>
      <c r="C212" s="247" t="s">
        <v>349</v>
      </c>
    </row>
    <row r="213" spans="2:17" s="247" customFormat="1">
      <c r="B213" s="304" t="s">
        <v>350</v>
      </c>
      <c r="C213" s="298"/>
      <c r="D213" s="298"/>
      <c r="E213" s="298"/>
      <c r="F213" s="298">
        <f>E216</f>
        <v>0</v>
      </c>
      <c r="G213" s="298">
        <f>F216</f>
        <v>0</v>
      </c>
      <c r="H213" s="298"/>
      <c r="I213" s="312">
        <f>G216</f>
        <v>0</v>
      </c>
      <c r="J213" s="298">
        <f>I216</f>
        <v>0</v>
      </c>
      <c r="K213" s="298">
        <f>H216</f>
        <v>3728</v>
      </c>
      <c r="L213" s="298">
        <f t="shared" ref="L213:P213" si="108">K216</f>
        <v>9002.3871100269025</v>
      </c>
      <c r="M213" s="298">
        <f t="shared" si="108"/>
        <v>49506.809464088023</v>
      </c>
      <c r="N213" s="298">
        <f t="shared" si="108"/>
        <v>89109.417368561379</v>
      </c>
      <c r="O213" s="298">
        <f t="shared" si="108"/>
        <v>128188.60165748493</v>
      </c>
      <c r="P213" s="298">
        <f t="shared" si="108"/>
        <v>167103.94853525341</v>
      </c>
      <c r="Q213" s="298"/>
    </row>
    <row r="214" spans="2:17" s="247" customFormat="1">
      <c r="B214" s="220" t="s">
        <v>351</v>
      </c>
      <c r="E214" s="247">
        <f>E219</f>
        <v>0</v>
      </c>
      <c r="F214" s="247">
        <f t="shared" ref="F214:G214" si="109">F219</f>
        <v>0</v>
      </c>
      <c r="G214" s="247">
        <f t="shared" si="109"/>
        <v>0</v>
      </c>
      <c r="H214" s="247">
        <f>H219</f>
        <v>3728</v>
      </c>
      <c r="I214" s="313"/>
      <c r="K214" s="247">
        <f>K219</f>
        <v>6425.2506142736984</v>
      </c>
      <c r="L214" s="247">
        <f>L219</f>
        <v>46520.260462791688</v>
      </c>
      <c r="M214" s="247">
        <f t="shared" ref="M214:P214" si="110">M219</f>
        <v>49873.488778876868</v>
      </c>
      <c r="N214" s="247">
        <f t="shared" si="110"/>
        <v>53061.599432220668</v>
      </c>
      <c r="O214" s="247">
        <f t="shared" si="110"/>
        <v>56120.462750198989</v>
      </c>
      <c r="P214" s="247">
        <f t="shared" si="110"/>
        <v>60483.52765327174</v>
      </c>
    </row>
    <row r="215" spans="2:17" s="247" customFormat="1">
      <c r="B215" s="220" t="s">
        <v>352</v>
      </c>
      <c r="I215" s="313"/>
      <c r="K215" s="247">
        <f>-K223</f>
        <v>-1150.8635042467968</v>
      </c>
      <c r="L215" s="247">
        <f>-L223</f>
        <v>-6015.8381087305706</v>
      </c>
      <c r="M215" s="247">
        <f t="shared" ref="M215:P215" si="111">-M223</f>
        <v>-10270.880874403516</v>
      </c>
      <c r="N215" s="247">
        <f t="shared" si="111"/>
        <v>-13982.415143297125</v>
      </c>
      <c r="O215" s="247">
        <f t="shared" si="111"/>
        <v>-17205.115872430495</v>
      </c>
      <c r="P215" s="247">
        <f t="shared" si="111"/>
        <v>-21245.123844133333</v>
      </c>
    </row>
    <row r="216" spans="2:17" s="247" customFormat="1">
      <c r="B216" s="325" t="s">
        <v>354</v>
      </c>
      <c r="C216" s="300"/>
      <c r="D216" s="300"/>
      <c r="E216" s="300">
        <f t="shared" ref="E216:P216" si="112">SUM(E213:E215)</f>
        <v>0</v>
      </c>
      <c r="F216" s="300">
        <f t="shared" si="112"/>
        <v>0</v>
      </c>
      <c r="G216" s="300">
        <f t="shared" si="112"/>
        <v>0</v>
      </c>
      <c r="H216" s="300">
        <f>SUM(H213:H215)</f>
        <v>3728</v>
      </c>
      <c r="I216" s="326">
        <f t="shared" si="112"/>
        <v>0</v>
      </c>
      <c r="J216" s="300">
        <f t="shared" si="112"/>
        <v>0</v>
      </c>
      <c r="K216" s="300">
        <f t="shared" si="112"/>
        <v>9002.3871100269025</v>
      </c>
      <c r="L216" s="300">
        <f t="shared" si="112"/>
        <v>49506.809464088023</v>
      </c>
      <c r="M216" s="300">
        <f t="shared" si="112"/>
        <v>89109.417368561379</v>
      </c>
      <c r="N216" s="300">
        <f t="shared" si="112"/>
        <v>128188.60165748493</v>
      </c>
      <c r="O216" s="300">
        <f t="shared" si="112"/>
        <v>167103.94853525341</v>
      </c>
      <c r="P216" s="300">
        <f t="shared" si="112"/>
        <v>206342.35234439181</v>
      </c>
      <c r="Q216" s="300"/>
    </row>
    <row r="217" spans="2:17" s="247" customFormat="1">
      <c r="H217" s="247">
        <v>3728</v>
      </c>
    </row>
    <row r="218" spans="2:17" s="247" customFormat="1"/>
    <row r="219" spans="2:17" s="247" customFormat="1">
      <c r="C219" s="247" t="s">
        <v>351</v>
      </c>
      <c r="H219" s="247">
        <f>H220*H221</f>
        <v>3728</v>
      </c>
      <c r="K219" s="247">
        <f>K220*K221-H220*H221</f>
        <v>6425.2506142736984</v>
      </c>
      <c r="L219" s="247">
        <f>L220*L221-K220*K221</f>
        <v>46520.260462791688</v>
      </c>
      <c r="M219" s="247">
        <f t="shared" ref="M219:P219" si="113">M220*M221-L220*L221</f>
        <v>49873.488778876868</v>
      </c>
      <c r="N219" s="247">
        <f t="shared" si="113"/>
        <v>53061.599432220668</v>
      </c>
      <c r="O219" s="247">
        <f t="shared" si="113"/>
        <v>56120.462750198989</v>
      </c>
      <c r="P219" s="247">
        <f t="shared" si="113"/>
        <v>60483.52765327174</v>
      </c>
    </row>
    <row r="220" spans="2:17" s="247" customFormat="1">
      <c r="C220" s="220" t="s">
        <v>541</v>
      </c>
      <c r="E220" s="302"/>
      <c r="F220" s="302"/>
      <c r="G220" s="302"/>
      <c r="H220" s="327">
        <v>533770</v>
      </c>
      <c r="I220" s="302"/>
      <c r="K220" s="327">
        <v>556699.55099494825</v>
      </c>
      <c r="L220" s="327">
        <v>578658.38590142236</v>
      </c>
      <c r="M220" s="327">
        <v>599789.35451918328</v>
      </c>
      <c r="N220" s="327">
        <v>620220.02313849668</v>
      </c>
      <c r="O220" s="327">
        <v>640063.7212379541</v>
      </c>
      <c r="P220" s="327">
        <f>O220*(1+Q220)</f>
        <v>662786.71899768035</v>
      </c>
      <c r="Q220" s="297">
        <f>((O220/K220)^(1/4))-1</f>
        <v>3.5501149347720418E-2</v>
      </c>
    </row>
    <row r="221" spans="2:17" s="247" customFormat="1">
      <c r="C221" s="222" t="s">
        <v>542</v>
      </c>
      <c r="E221" s="302"/>
      <c r="F221" s="302"/>
      <c r="G221" s="302"/>
      <c r="H221" s="328">
        <f>H217/H220</f>
        <v>6.9842816194240964E-3</v>
      </c>
      <c r="K221" s="287">
        <v>1.8238294958434112E-2</v>
      </c>
      <c r="L221" s="287">
        <f>K221+$Q$221</f>
        <v>9.7939496701115861E-2</v>
      </c>
      <c r="M221" s="287">
        <f t="shared" ref="M221:O221" si="114">L221+$Q$221</f>
        <v>0.1776406984437976</v>
      </c>
      <c r="N221" s="287">
        <f t="shared" si="114"/>
        <v>0.25734190018647934</v>
      </c>
      <c r="O221" s="287">
        <f t="shared" si="114"/>
        <v>0.33704310192916109</v>
      </c>
      <c r="P221" s="287">
        <v>0.41674430367184284</v>
      </c>
      <c r="Q221" s="299">
        <f>(P221-K221)/5</f>
        <v>7.9701201742681749E-2</v>
      </c>
    </row>
    <row r="222" spans="2:17" s="247" customFormat="1">
      <c r="K222" s="303">
        <v>1.8238294958434112E-2</v>
      </c>
      <c r="L222" s="303">
        <v>5.8062364548268977E-2</v>
      </c>
      <c r="M222" s="303">
        <v>0.1750495944671818</v>
      </c>
      <c r="N222" s="303">
        <v>0.30141354538845139</v>
      </c>
      <c r="O222" s="303">
        <v>0.41674430367184284</v>
      </c>
      <c r="P222" s="303">
        <f t="shared" ref="P222" si="115">O222+$Q$221</f>
        <v>0.49644550541452459</v>
      </c>
    </row>
    <row r="223" spans="2:17" s="247" customFormat="1">
      <c r="C223" s="247" t="s">
        <v>352</v>
      </c>
      <c r="K223" s="247">
        <f t="shared" ref="K223:P223" si="116">SUM(K213:K214)*K224</f>
        <v>1150.8635042467968</v>
      </c>
      <c r="L223" s="247">
        <f t="shared" si="116"/>
        <v>6015.8381087305706</v>
      </c>
      <c r="M223" s="247">
        <f t="shared" si="116"/>
        <v>10270.880874403516</v>
      </c>
      <c r="N223" s="247">
        <f t="shared" si="116"/>
        <v>13982.415143297125</v>
      </c>
      <c r="O223" s="247">
        <f t="shared" si="116"/>
        <v>17205.115872430495</v>
      </c>
      <c r="P223" s="247">
        <f t="shared" si="116"/>
        <v>21245.123844133333</v>
      </c>
    </row>
    <row r="224" spans="2:17" s="247" customFormat="1">
      <c r="C224" s="220" t="s">
        <v>359</v>
      </c>
      <c r="K224" s="287">
        <v>0.11334926596107886</v>
      </c>
      <c r="L224" s="287">
        <v>0.10834926596107886</v>
      </c>
      <c r="M224" s="287">
        <v>0.10334926596107885</v>
      </c>
      <c r="N224" s="287">
        <v>9.8349265961078847E-2</v>
      </c>
      <c r="O224" s="287">
        <v>9.3349265961078842E-2</v>
      </c>
      <c r="P224" s="287">
        <f>O224</f>
        <v>9.3349265961078842E-2</v>
      </c>
    </row>
    <row r="225" spans="1:17" s="247" customFormat="1"/>
    <row r="226" spans="1:17" s="247" customFormat="1">
      <c r="B226" s="247" t="s">
        <v>543</v>
      </c>
      <c r="D226" s="249"/>
      <c r="E226" s="249"/>
      <c r="F226" s="249"/>
      <c r="G226" s="249"/>
      <c r="H226" s="249"/>
      <c r="I226" s="249"/>
      <c r="J226" s="249"/>
      <c r="K226" s="249"/>
      <c r="L226" s="249"/>
      <c r="M226" s="249"/>
      <c r="N226" s="249"/>
      <c r="O226" s="249"/>
      <c r="P226" s="249"/>
      <c r="Q226" s="249"/>
    </row>
    <row r="227" spans="1:17" s="247" customFormat="1">
      <c r="B227" s="304" t="s">
        <v>362</v>
      </c>
      <c r="C227" s="298" t="s">
        <v>363</v>
      </c>
      <c r="H227" s="312"/>
      <c r="I227" s="312"/>
      <c r="K227" s="329">
        <v>2.4261168094666757E-2</v>
      </c>
      <c r="L227" s="329">
        <v>4.3045940108090222E-2</v>
      </c>
      <c r="M227" s="329">
        <v>5.2096024884314016E-2</v>
      </c>
      <c r="N227" s="329">
        <v>6.8847076095983659E-2</v>
      </c>
      <c r="O227" s="329">
        <v>8.130366058527734E-2</v>
      </c>
      <c r="P227" s="329">
        <f>O227</f>
        <v>8.130366058527734E-2</v>
      </c>
    </row>
    <row r="228" spans="1:17" s="247" customFormat="1">
      <c r="B228" s="222" t="s">
        <v>364</v>
      </c>
      <c r="F228" s="296"/>
      <c r="G228" s="296"/>
      <c r="H228" s="313"/>
      <c r="I228" s="313"/>
      <c r="K228" s="296">
        <v>5.0999999999999997E-2</v>
      </c>
      <c r="L228" s="296">
        <f>L227/K227-1</f>
        <v>0.7742731899851456</v>
      </c>
      <c r="M228" s="296">
        <f t="shared" ref="M228:P228" si="117">M227/L227-1</f>
        <v>0.21024247010283981</v>
      </c>
      <c r="N228" s="296">
        <f t="shared" si="117"/>
        <v>0.32154183066496</v>
      </c>
      <c r="O228" s="296">
        <f t="shared" si="117"/>
        <v>0.18093120573380994</v>
      </c>
      <c r="P228" s="296">
        <f t="shared" si="117"/>
        <v>0</v>
      </c>
    </row>
    <row r="229" spans="1:17" s="247" customFormat="1">
      <c r="B229" s="220" t="s">
        <v>365</v>
      </c>
      <c r="C229" s="247" t="s">
        <v>366</v>
      </c>
      <c r="E229" s="305"/>
      <c r="F229" s="305"/>
      <c r="G229" s="305"/>
      <c r="H229" s="313"/>
      <c r="I229" s="313"/>
      <c r="K229" s="305">
        <v>2.4110984407514319E-2</v>
      </c>
      <c r="L229" s="305">
        <v>3.5675186827089346E-2</v>
      </c>
      <c r="M229" s="305">
        <v>4.3932213470896653E-2</v>
      </c>
      <c r="N229" s="305">
        <v>5.2604714613801978E-2</v>
      </c>
      <c r="O229" s="305">
        <v>5.9291005637683206E-2</v>
      </c>
      <c r="P229" s="305">
        <f>O229</f>
        <v>5.9291005637683206E-2</v>
      </c>
    </row>
    <row r="230" spans="1:17" s="247" customFormat="1">
      <c r="B230" s="309" t="s">
        <v>364</v>
      </c>
      <c r="C230" s="249"/>
      <c r="D230" s="249"/>
      <c r="E230" s="249"/>
      <c r="F230" s="249"/>
      <c r="G230" s="249"/>
      <c r="H230" s="311"/>
      <c r="I230" s="311"/>
      <c r="J230" s="249"/>
      <c r="K230" s="249"/>
      <c r="L230" s="310">
        <f>L229/K229-1</f>
        <v>0.47962381892507788</v>
      </c>
      <c r="M230" s="310">
        <f t="shared" ref="M230:P230" si="118">M229/L229-1</f>
        <v>0.23145013041774676</v>
      </c>
      <c r="N230" s="310">
        <f t="shared" si="118"/>
        <v>0.19740642361784277</v>
      </c>
      <c r="O230" s="310">
        <f t="shared" si="118"/>
        <v>0.12710440638198861</v>
      </c>
      <c r="P230" s="310">
        <f t="shared" si="118"/>
        <v>0</v>
      </c>
      <c r="Q230" s="249"/>
    </row>
    <row r="231" spans="1:17" s="247" customFormat="1"/>
    <row r="232" spans="1:17" hidden="1" outlineLevel="1"/>
    <row r="233" spans="1:17" collapsed="1"/>
    <row r="234" spans="1:17">
      <c r="A234" s="154">
        <v>2</v>
      </c>
      <c r="B234" s="162" t="s">
        <v>77</v>
      </c>
      <c r="C234" s="162"/>
      <c r="D234" s="162"/>
      <c r="E234" s="162"/>
      <c r="F234" s="162"/>
      <c r="G234" s="162"/>
      <c r="H234" s="162"/>
      <c r="I234" s="162"/>
      <c r="J234" s="162"/>
      <c r="K234" s="162"/>
      <c r="L234" s="162"/>
      <c r="M234" s="162"/>
      <c r="N234" s="162"/>
      <c r="O234" s="162"/>
      <c r="P234" s="162"/>
      <c r="Q234" s="162"/>
    </row>
    <row r="235" spans="1:17">
      <c r="K235" s="286"/>
      <c r="L235" s="286"/>
      <c r="M235" s="286"/>
      <c r="N235" s="286"/>
      <c r="O235" s="286"/>
      <c r="P235" s="286"/>
    </row>
    <row r="236" spans="1:17">
      <c r="B236" s="196" t="s">
        <v>77</v>
      </c>
      <c r="C236" s="196"/>
      <c r="D236" s="196"/>
      <c r="E236" s="196"/>
      <c r="F236" s="196"/>
      <c r="G236" s="196"/>
      <c r="H236" s="196"/>
      <c r="I236" s="197"/>
      <c r="J236" s="196"/>
      <c r="K236" s="196"/>
      <c r="L236" s="196"/>
      <c r="M236" s="196"/>
      <c r="N236" s="196"/>
      <c r="O236" s="196"/>
      <c r="P236" s="196"/>
      <c r="Q236" s="196"/>
    </row>
    <row r="237" spans="1:17">
      <c r="B237" s="168" t="s">
        <v>66</v>
      </c>
      <c r="E237" s="154">
        <f t="shared" ref="E237:G237" si="119">SUM(E238:E240)</f>
        <v>1781.4556650000002</v>
      </c>
      <c r="F237" s="154">
        <f t="shared" si="119"/>
        <v>893.92438400000003</v>
      </c>
      <c r="G237" s="154">
        <f t="shared" si="119"/>
        <v>2215.2455009999999</v>
      </c>
      <c r="H237" s="154">
        <f t="shared" ref="H237:P237" si="120">SUM(H238:H240)</f>
        <v>2993.6122480000004</v>
      </c>
      <c r="I237" s="221">
        <f t="shared" si="120"/>
        <v>3368.7487570000003</v>
      </c>
      <c r="J237" s="154">
        <f t="shared" si="120"/>
        <v>1215.724643134919</v>
      </c>
      <c r="K237" s="154">
        <f t="shared" si="120"/>
        <v>4584.4734001349188</v>
      </c>
      <c r="L237" s="154">
        <f t="shared" si="120"/>
        <v>13706.861880828395</v>
      </c>
      <c r="M237" s="154">
        <f t="shared" si="120"/>
        <v>28327.700189865514</v>
      </c>
      <c r="N237" s="154">
        <f t="shared" si="120"/>
        <v>58805.596044741134</v>
      </c>
      <c r="O237" s="154">
        <f t="shared" si="120"/>
        <v>87643.355783471488</v>
      </c>
      <c r="P237" s="154">
        <f t="shared" si="120"/>
        <v>121692.93696139063</v>
      </c>
    </row>
    <row r="238" spans="1:17">
      <c r="B238" s="170" t="s">
        <v>90</v>
      </c>
      <c r="E238" s="154">
        <f>E263</f>
        <v>1781.4556650000002</v>
      </c>
      <c r="F238" s="154">
        <f t="shared" ref="F238:P239" si="121">F263</f>
        <v>893.92438400000003</v>
      </c>
      <c r="G238" s="154">
        <f t="shared" si="121"/>
        <v>2215.2455009999999</v>
      </c>
      <c r="H238" s="154">
        <f t="shared" si="121"/>
        <v>2993.6122480000004</v>
      </c>
      <c r="I238" s="221">
        <f t="shared" si="121"/>
        <v>3366.7237570000002</v>
      </c>
      <c r="J238" s="154">
        <f t="shared" si="121"/>
        <v>1122.2412523333319</v>
      </c>
      <c r="K238" s="154">
        <f t="shared" si="121"/>
        <v>4488.9650093333321</v>
      </c>
      <c r="L238" s="154">
        <f t="shared" si="121"/>
        <v>9676.9839097116164</v>
      </c>
      <c r="M238" s="154">
        <f t="shared" si="121"/>
        <v>15667.976705408602</v>
      </c>
      <c r="N238" s="154">
        <f t="shared" si="121"/>
        <v>30514.530190730045</v>
      </c>
      <c r="O238" s="154">
        <f t="shared" si="121"/>
        <v>36349.829077284827</v>
      </c>
      <c r="P238" s="154">
        <f t="shared" si="121"/>
        <v>42518.935275698226</v>
      </c>
    </row>
    <row r="239" spans="1:17">
      <c r="B239" s="170" t="s">
        <v>83</v>
      </c>
      <c r="E239" s="154">
        <f>E264</f>
        <v>0</v>
      </c>
      <c r="F239" s="154">
        <f t="shared" si="121"/>
        <v>0</v>
      </c>
      <c r="G239" s="154">
        <f t="shared" si="121"/>
        <v>0</v>
      </c>
      <c r="H239" s="154">
        <f t="shared" si="121"/>
        <v>0</v>
      </c>
      <c r="I239" s="221">
        <f t="shared" si="121"/>
        <v>2.0250000000000004</v>
      </c>
      <c r="J239" s="154">
        <f t="shared" si="121"/>
        <v>0.67500000000000004</v>
      </c>
      <c r="K239" s="154">
        <f t="shared" si="121"/>
        <v>2.7</v>
      </c>
      <c r="L239" s="154">
        <f t="shared" si="121"/>
        <v>4.6746042197152011</v>
      </c>
      <c r="M239" s="154">
        <f t="shared" si="121"/>
        <v>7.7811327993114601</v>
      </c>
      <c r="N239" s="154">
        <f t="shared" si="121"/>
        <v>14.039182313164638</v>
      </c>
      <c r="O239" s="154">
        <f t="shared" si="121"/>
        <v>20.34569839306965</v>
      </c>
      <c r="P239" s="154">
        <f t="shared" si="121"/>
        <v>26.729875606197371</v>
      </c>
    </row>
    <row r="240" spans="1:17">
      <c r="B240" s="170" t="s">
        <v>16</v>
      </c>
      <c r="E240" s="154">
        <f t="shared" ref="E240:P240" si="122">E499</f>
        <v>0</v>
      </c>
      <c r="F240" s="154">
        <f t="shared" si="122"/>
        <v>0</v>
      </c>
      <c r="G240" s="154">
        <f t="shared" si="122"/>
        <v>0</v>
      </c>
      <c r="H240" s="154">
        <f t="shared" si="122"/>
        <v>0</v>
      </c>
      <c r="I240" s="221">
        <f t="shared" si="122"/>
        <v>0</v>
      </c>
      <c r="J240" s="154">
        <f t="shared" si="122"/>
        <v>92.80839080158708</v>
      </c>
      <c r="K240" s="154">
        <f t="shared" si="122"/>
        <v>92.80839080158708</v>
      </c>
      <c r="L240" s="154">
        <f t="shared" si="122"/>
        <v>4025.2033668970635</v>
      </c>
      <c r="M240" s="154">
        <f t="shared" si="122"/>
        <v>12651.942351657603</v>
      </c>
      <c r="N240" s="154">
        <f t="shared" si="122"/>
        <v>28277.026671697924</v>
      </c>
      <c r="O240" s="154">
        <f t="shared" si="122"/>
        <v>51273.181007793602</v>
      </c>
      <c r="P240" s="154">
        <f t="shared" si="122"/>
        <v>79147.271810086197</v>
      </c>
    </row>
    <row r="241" spans="2:17">
      <c r="B241" s="168" t="s">
        <v>67</v>
      </c>
      <c r="E241" s="154">
        <f t="shared" ref="E241:P241" si="123">SUM(E242:E243)</f>
        <v>0</v>
      </c>
      <c r="F241" s="154">
        <f t="shared" si="123"/>
        <v>0</v>
      </c>
      <c r="G241" s="154">
        <f t="shared" si="123"/>
        <v>400</v>
      </c>
      <c r="H241" s="154">
        <f t="shared" si="123"/>
        <v>2886.2267400000001</v>
      </c>
      <c r="I241" s="221">
        <f t="shared" si="123"/>
        <v>12202.262125142985</v>
      </c>
      <c r="J241" s="154">
        <f t="shared" si="123"/>
        <v>4732.6550305081064</v>
      </c>
      <c r="K241" s="154">
        <f t="shared" si="123"/>
        <v>16934.917155651092</v>
      </c>
      <c r="L241" s="154">
        <f t="shared" si="123"/>
        <v>28602.471677314115</v>
      </c>
      <c r="M241" s="154">
        <f t="shared" si="123"/>
        <v>33022.77046004522</v>
      </c>
      <c r="N241" s="154">
        <f t="shared" si="123"/>
        <v>36022.876497418169</v>
      </c>
      <c r="O241" s="154">
        <f t="shared" si="123"/>
        <v>37824.91394237589</v>
      </c>
      <c r="P241" s="154">
        <f t="shared" si="123"/>
        <v>39065.879266095355</v>
      </c>
    </row>
    <row r="242" spans="2:17">
      <c r="B242" s="170" t="s">
        <v>90</v>
      </c>
      <c r="E242" s="154">
        <f>E284</f>
        <v>0</v>
      </c>
      <c r="F242" s="154">
        <f t="shared" ref="F242:P243" si="124">F284</f>
        <v>0</v>
      </c>
      <c r="G242" s="154">
        <f t="shared" si="124"/>
        <v>0</v>
      </c>
      <c r="H242" s="154">
        <f t="shared" si="124"/>
        <v>0</v>
      </c>
      <c r="I242" s="221">
        <f t="shared" si="124"/>
        <v>9927.1938973379856</v>
      </c>
      <c r="J242" s="154">
        <f t="shared" si="124"/>
        <v>3974.2989545731066</v>
      </c>
      <c r="K242" s="154">
        <f t="shared" si="124"/>
        <v>13901.492851911093</v>
      </c>
      <c r="L242" s="154">
        <f t="shared" si="124"/>
        <v>25505.345463195576</v>
      </c>
      <c r="M242" s="154">
        <f t="shared" si="124"/>
        <v>29907.061488641972</v>
      </c>
      <c r="N242" s="154">
        <f t="shared" si="124"/>
        <v>32876.010436300887</v>
      </c>
      <c r="O242" s="154">
        <f t="shared" si="124"/>
        <v>34640.285488525202</v>
      </c>
      <c r="P242" s="154">
        <f t="shared" si="124"/>
        <v>35839.850642344609</v>
      </c>
    </row>
    <row r="243" spans="2:17">
      <c r="B243" s="170" t="s">
        <v>83</v>
      </c>
      <c r="E243" s="154">
        <f>E285</f>
        <v>0</v>
      </c>
      <c r="F243" s="154">
        <f t="shared" si="124"/>
        <v>0</v>
      </c>
      <c r="G243" s="154">
        <f t="shared" si="124"/>
        <v>400</v>
      </c>
      <c r="H243" s="154">
        <f t="shared" si="124"/>
        <v>2886.2267400000001</v>
      </c>
      <c r="I243" s="221">
        <f t="shared" si="124"/>
        <v>2275.0682278049999</v>
      </c>
      <c r="J243" s="154">
        <f t="shared" si="124"/>
        <v>758.35607593499992</v>
      </c>
      <c r="K243" s="154">
        <f t="shared" si="124"/>
        <v>3033.4243037399997</v>
      </c>
      <c r="L243" s="154">
        <f t="shared" si="124"/>
        <v>3097.1262141185393</v>
      </c>
      <c r="M243" s="154">
        <f t="shared" si="124"/>
        <v>3115.7089714032504</v>
      </c>
      <c r="N243" s="154">
        <f t="shared" si="124"/>
        <v>3146.8660611172832</v>
      </c>
      <c r="O243" s="154">
        <f t="shared" si="124"/>
        <v>3184.6284538506907</v>
      </c>
      <c r="P243" s="154">
        <f t="shared" si="124"/>
        <v>3226.0286237507494</v>
      </c>
    </row>
    <row r="244" spans="2:17">
      <c r="B244" s="168" t="s">
        <v>68</v>
      </c>
      <c r="E244" s="154">
        <f t="shared" ref="E244:P244" si="125">SUM(E245:E251)</f>
        <v>622.09916399999997</v>
      </c>
      <c r="F244" s="154">
        <f t="shared" si="125"/>
        <v>12703.976007000001</v>
      </c>
      <c r="G244" s="154">
        <f t="shared" si="125"/>
        <v>27740.911704999999</v>
      </c>
      <c r="H244" s="154">
        <f t="shared" si="125"/>
        <v>23548.688567000001</v>
      </c>
      <c r="I244" s="221">
        <f t="shared" si="125"/>
        <v>28919.795692227191</v>
      </c>
      <c r="J244" s="154">
        <f t="shared" si="125"/>
        <v>11597.74252645496</v>
      </c>
      <c r="K244" s="154">
        <f t="shared" si="125"/>
        <v>40517.538218682152</v>
      </c>
      <c r="L244" s="154">
        <f t="shared" si="125"/>
        <v>51557.448245067506</v>
      </c>
      <c r="M244" s="154">
        <f t="shared" si="125"/>
        <v>66730.109171077886</v>
      </c>
      <c r="N244" s="154">
        <f t="shared" si="125"/>
        <v>77203.11235998277</v>
      </c>
      <c r="O244" s="154">
        <f t="shared" si="125"/>
        <v>78766.083966520921</v>
      </c>
      <c r="P244" s="154">
        <f t="shared" si="125"/>
        <v>78104.964628883055</v>
      </c>
    </row>
    <row r="245" spans="2:17">
      <c r="B245" s="170" t="s">
        <v>91</v>
      </c>
      <c r="E245" s="154">
        <f>E307</f>
        <v>0</v>
      </c>
      <c r="F245" s="154">
        <f t="shared" ref="F245:P245" si="126">F307</f>
        <v>2273.9959800000001</v>
      </c>
      <c r="G245" s="154">
        <f t="shared" si="126"/>
        <v>12023.420204999995</v>
      </c>
      <c r="H245" s="154">
        <f t="shared" si="126"/>
        <v>7341.2511540000005</v>
      </c>
      <c r="I245" s="221">
        <f t="shared" si="126"/>
        <v>10315.851863</v>
      </c>
      <c r="J245" s="154">
        <f t="shared" si="126"/>
        <v>3438.617287666666</v>
      </c>
      <c r="K245" s="154">
        <f t="shared" si="126"/>
        <v>13754.469150666666</v>
      </c>
      <c r="L245" s="154">
        <f t="shared" si="126"/>
        <v>23304.614752973648</v>
      </c>
      <c r="M245" s="154">
        <f t="shared" si="126"/>
        <v>28898.465904309185</v>
      </c>
      <c r="N245" s="154">
        <f t="shared" si="126"/>
        <v>33479.563854929787</v>
      </c>
      <c r="O245" s="154">
        <f t="shared" si="126"/>
        <v>33727.331214626</v>
      </c>
      <c r="P245" s="154">
        <f t="shared" si="126"/>
        <v>33070.692736189951</v>
      </c>
    </row>
    <row r="246" spans="2:17">
      <c r="B246" s="170" t="s">
        <v>86</v>
      </c>
      <c r="E246" s="154">
        <f>E305</f>
        <v>0</v>
      </c>
      <c r="F246" s="154">
        <f t="shared" ref="F246:P247" si="127">F305</f>
        <v>0</v>
      </c>
      <c r="G246" s="154">
        <f t="shared" si="127"/>
        <v>0</v>
      </c>
      <c r="H246" s="154">
        <f t="shared" si="127"/>
        <v>3774.9822119999999</v>
      </c>
      <c r="I246" s="221">
        <f t="shared" si="127"/>
        <v>5181.9627289999999</v>
      </c>
      <c r="J246" s="154">
        <f t="shared" si="127"/>
        <v>1727.3209096666669</v>
      </c>
      <c r="K246" s="154">
        <f t="shared" si="127"/>
        <v>6909.2836386666668</v>
      </c>
      <c r="L246" s="154">
        <f t="shared" si="127"/>
        <v>8666.3366021256425</v>
      </c>
      <c r="M246" s="154">
        <f t="shared" si="127"/>
        <v>10746.533914697655</v>
      </c>
      <c r="N246" s="154">
        <f t="shared" si="127"/>
        <v>12450.116542782944</v>
      </c>
      <c r="O246" s="154">
        <f t="shared" si="127"/>
        <v>12542.254317249839</v>
      </c>
      <c r="P246" s="154">
        <f t="shared" si="127"/>
        <v>12298.068771152866</v>
      </c>
    </row>
    <row r="247" spans="2:17">
      <c r="B247" s="170" t="s">
        <v>92</v>
      </c>
      <c r="E247" s="154">
        <f>E306</f>
        <v>0</v>
      </c>
      <c r="F247" s="154">
        <f>F306</f>
        <v>9863.1637960000007</v>
      </c>
      <c r="G247" s="154">
        <f t="shared" si="127"/>
        <v>14480.264762000003</v>
      </c>
      <c r="H247" s="154">
        <f t="shared" si="127"/>
        <v>6509.4696599999997</v>
      </c>
      <c r="I247" s="221">
        <f t="shared" si="127"/>
        <v>8500.6453280000005</v>
      </c>
      <c r="J247" s="154">
        <f t="shared" si="127"/>
        <v>4750.4780307125639</v>
      </c>
      <c r="K247" s="154">
        <f t="shared" si="127"/>
        <v>13251.123358712564</v>
      </c>
      <c r="L247" s="154">
        <f t="shared" si="127"/>
        <v>9505.5230343638123</v>
      </c>
      <c r="M247" s="154">
        <f t="shared" si="127"/>
        <v>9676.5288179704021</v>
      </c>
      <c r="N247" s="154">
        <f t="shared" si="127"/>
        <v>9910.815019725509</v>
      </c>
      <c r="O247" s="154">
        <f t="shared" si="127"/>
        <v>10172.812757107595</v>
      </c>
      <c r="P247" s="154">
        <f t="shared" si="127"/>
        <v>10459.366065222044</v>
      </c>
    </row>
    <row r="248" spans="2:17">
      <c r="B248" s="170" t="s">
        <v>79</v>
      </c>
      <c r="E248" s="154">
        <f>E308</f>
        <v>0</v>
      </c>
      <c r="F248" s="154">
        <f t="shared" ref="F248:P250" si="128">F308</f>
        <v>566.81623100000002</v>
      </c>
      <c r="G248" s="154">
        <f t="shared" si="128"/>
        <v>1237.2267380000001</v>
      </c>
      <c r="H248" s="154">
        <f t="shared" si="128"/>
        <v>1019.043761</v>
      </c>
      <c r="I248" s="221">
        <f t="shared" si="128"/>
        <v>1055.8036641421888</v>
      </c>
      <c r="J248" s="154">
        <f t="shared" si="128"/>
        <v>351.93455471406293</v>
      </c>
      <c r="K248" s="154">
        <f t="shared" si="128"/>
        <v>1407.7382188562517</v>
      </c>
      <c r="L248" s="154">
        <f t="shared" si="128"/>
        <v>1490.7746701544995</v>
      </c>
      <c r="M248" s="154">
        <f t="shared" si="128"/>
        <v>1606.7769879338784</v>
      </c>
      <c r="N248" s="154">
        <f t="shared" si="128"/>
        <v>1552.4819657382177</v>
      </c>
      <c r="O248" s="154">
        <f t="shared" si="128"/>
        <v>1603.9330476563534</v>
      </c>
      <c r="P248" s="154">
        <f t="shared" si="128"/>
        <v>1590.8813955485289</v>
      </c>
    </row>
    <row r="249" spans="2:17">
      <c r="B249" s="170" t="s">
        <v>83</v>
      </c>
      <c r="E249" s="154">
        <f>E309</f>
        <v>622.09916399999997</v>
      </c>
      <c r="F249" s="154">
        <f t="shared" si="128"/>
        <v>0</v>
      </c>
      <c r="G249" s="154">
        <f t="shared" si="128"/>
        <v>0</v>
      </c>
      <c r="H249" s="154">
        <f t="shared" si="128"/>
        <v>4903.9417800000019</v>
      </c>
      <c r="I249" s="221">
        <f t="shared" si="128"/>
        <v>3865.5321080850013</v>
      </c>
      <c r="J249" s="154">
        <f t="shared" si="128"/>
        <v>1288.5107026950004</v>
      </c>
      <c r="K249" s="154">
        <f t="shared" si="128"/>
        <v>5154.0428107800017</v>
      </c>
      <c r="L249" s="154">
        <f t="shared" si="128"/>
        <v>5262.2777098063816</v>
      </c>
      <c r="M249" s="154">
        <f t="shared" si="128"/>
        <v>5293.8513760652195</v>
      </c>
      <c r="N249" s="154">
        <f t="shared" si="128"/>
        <v>5346.7898898258718</v>
      </c>
      <c r="O249" s="154">
        <f t="shared" si="128"/>
        <v>5410.9513685037828</v>
      </c>
      <c r="P249" s="154">
        <f t="shared" si="128"/>
        <v>5481.2937362943312</v>
      </c>
    </row>
    <row r="250" spans="2:17">
      <c r="B250" s="170" t="s">
        <v>492</v>
      </c>
      <c r="E250" s="154">
        <f>E310</f>
        <v>0</v>
      </c>
      <c r="F250" s="154">
        <f t="shared" si="128"/>
        <v>0</v>
      </c>
      <c r="G250" s="154">
        <f t="shared" si="128"/>
        <v>0</v>
      </c>
      <c r="H250" s="154">
        <f t="shared" si="128"/>
        <v>0</v>
      </c>
      <c r="I250" s="221">
        <f t="shared" si="128"/>
        <v>0</v>
      </c>
      <c r="J250" s="154">
        <f t="shared" si="128"/>
        <v>40.881040999999641</v>
      </c>
      <c r="K250" s="154">
        <f t="shared" si="128"/>
        <v>40.881040999999641</v>
      </c>
      <c r="L250" s="154">
        <f t="shared" si="128"/>
        <v>3327.9214756435258</v>
      </c>
      <c r="M250" s="154">
        <f t="shared" si="128"/>
        <v>10507.952170101536</v>
      </c>
      <c r="N250" s="154">
        <f t="shared" si="128"/>
        <v>14463.345086980447</v>
      </c>
      <c r="O250" s="154">
        <f t="shared" si="128"/>
        <v>15308.801261377352</v>
      </c>
      <c r="P250" s="154">
        <f t="shared" si="128"/>
        <v>15204.661924475338</v>
      </c>
    </row>
    <row r="251" spans="2:17" ht="12" customHeight="1">
      <c r="B251" s="170" t="s">
        <v>16</v>
      </c>
      <c r="E251" s="154">
        <f t="shared" ref="E251:P251" si="129">E505</f>
        <v>0</v>
      </c>
      <c r="F251" s="154">
        <f t="shared" si="129"/>
        <v>0</v>
      </c>
      <c r="G251" s="154">
        <f t="shared" si="129"/>
        <v>0</v>
      </c>
      <c r="H251" s="154">
        <f t="shared" si="129"/>
        <v>0</v>
      </c>
      <c r="I251" s="221">
        <f t="shared" si="129"/>
        <v>0</v>
      </c>
      <c r="J251" s="154">
        <f t="shared" si="129"/>
        <v>0</v>
      </c>
      <c r="K251" s="154">
        <f t="shared" si="129"/>
        <v>0</v>
      </c>
      <c r="L251" s="154">
        <f t="shared" si="129"/>
        <v>0</v>
      </c>
      <c r="M251" s="154">
        <f t="shared" si="129"/>
        <v>0</v>
      </c>
      <c r="N251" s="154">
        <f t="shared" si="129"/>
        <v>0</v>
      </c>
      <c r="O251" s="154">
        <f t="shared" si="129"/>
        <v>0</v>
      </c>
      <c r="P251" s="154">
        <f t="shared" si="129"/>
        <v>0</v>
      </c>
    </row>
    <row r="252" spans="2:17">
      <c r="B252" s="168" t="s">
        <v>69</v>
      </c>
      <c r="E252" s="154">
        <f>SUM(E253:E255)</f>
        <v>0</v>
      </c>
      <c r="F252" s="154">
        <f t="shared" ref="F252:P252" si="130">SUM(F253:F255)</f>
        <v>0</v>
      </c>
      <c r="G252" s="154">
        <f t="shared" si="130"/>
        <v>0</v>
      </c>
      <c r="H252" s="154">
        <f t="shared" si="130"/>
        <v>1647.0011571385407</v>
      </c>
      <c r="I252" s="221">
        <f t="shared" si="130"/>
        <v>1525.3981849059405</v>
      </c>
      <c r="J252" s="154">
        <f t="shared" si="130"/>
        <v>520.93646252905296</v>
      </c>
      <c r="K252" s="154">
        <f t="shared" si="130"/>
        <v>2046.3346474349935</v>
      </c>
      <c r="L252" s="154">
        <f t="shared" si="130"/>
        <v>4904.5960068857148</v>
      </c>
      <c r="M252" s="154">
        <f t="shared" si="130"/>
        <v>11241.015563654139</v>
      </c>
      <c r="N252" s="154">
        <f t="shared" si="130"/>
        <v>20109.529977161073</v>
      </c>
      <c r="O252" s="154">
        <f t="shared" si="130"/>
        <v>32086.983223118477</v>
      </c>
      <c r="P252" s="154">
        <f t="shared" si="130"/>
        <v>46410.015959360942</v>
      </c>
    </row>
    <row r="253" spans="2:17">
      <c r="B253" s="170" t="s">
        <v>79</v>
      </c>
      <c r="C253" s="170" t="s">
        <v>544</v>
      </c>
      <c r="E253" s="154">
        <f t="shared" ref="E253:P254" si="131">E353</f>
        <v>0</v>
      </c>
      <c r="F253" s="154">
        <f t="shared" si="131"/>
        <v>0</v>
      </c>
      <c r="G253" s="154">
        <f t="shared" si="131"/>
        <v>0</v>
      </c>
      <c r="H253" s="154">
        <f t="shared" si="131"/>
        <v>0</v>
      </c>
      <c r="I253" s="221">
        <f t="shared" si="131"/>
        <v>227.14952279148585</v>
      </c>
      <c r="J253" s="154">
        <f t="shared" si="131"/>
        <v>75.71650759716195</v>
      </c>
      <c r="K253" s="154">
        <f t="shared" si="131"/>
        <v>302.8660303886478</v>
      </c>
      <c r="L253" s="154">
        <f t="shared" si="131"/>
        <v>795.55284552940452</v>
      </c>
      <c r="M253" s="154">
        <f t="shared" si="131"/>
        <v>1772.7758307635252</v>
      </c>
      <c r="N253" s="154">
        <f t="shared" si="131"/>
        <v>3004.1087659027548</v>
      </c>
      <c r="O253" s="154">
        <f t="shared" si="131"/>
        <v>4584.3373108855503</v>
      </c>
      <c r="P253" s="154">
        <f t="shared" si="131"/>
        <v>6335.7737245082399</v>
      </c>
    </row>
    <row r="254" spans="2:17">
      <c r="B254" s="170" t="s">
        <v>83</v>
      </c>
      <c r="E254" s="154">
        <f t="shared" si="131"/>
        <v>0</v>
      </c>
      <c r="F254" s="154">
        <f t="shared" si="131"/>
        <v>0</v>
      </c>
      <c r="G254" s="154">
        <f t="shared" si="131"/>
        <v>0</v>
      </c>
      <c r="H254" s="154">
        <f t="shared" si="131"/>
        <v>1647.0011571385407</v>
      </c>
      <c r="I254" s="221">
        <f t="shared" si="131"/>
        <v>1298.2486621144546</v>
      </c>
      <c r="J254" s="154">
        <f t="shared" si="131"/>
        <v>432.74955403815153</v>
      </c>
      <c r="K254" s="154">
        <f t="shared" si="131"/>
        <v>1730.9982161526061</v>
      </c>
      <c r="L254" s="154">
        <f t="shared" si="131"/>
        <v>1767.3491786918107</v>
      </c>
      <c r="M254" s="154">
        <f t="shared" si="131"/>
        <v>1777.9532737639615</v>
      </c>
      <c r="N254" s="154">
        <f t="shared" si="131"/>
        <v>1795.7328065016011</v>
      </c>
      <c r="O254" s="154">
        <f t="shared" si="131"/>
        <v>1817.2816001796202</v>
      </c>
      <c r="P254" s="154">
        <f t="shared" si="131"/>
        <v>1840.906260981955</v>
      </c>
    </row>
    <row r="255" spans="2:17">
      <c r="B255" s="170" t="s">
        <v>16</v>
      </c>
      <c r="E255" s="154">
        <f>E502</f>
        <v>0</v>
      </c>
      <c r="F255" s="154">
        <f>F502</f>
        <v>0</v>
      </c>
      <c r="G255" s="154">
        <f>G502</f>
        <v>0</v>
      </c>
      <c r="H255" s="154">
        <f t="shared" ref="H255:P255" si="132">H502</f>
        <v>0</v>
      </c>
      <c r="I255" s="221">
        <f t="shared" si="132"/>
        <v>0</v>
      </c>
      <c r="J255" s="154">
        <f t="shared" si="132"/>
        <v>12.470400893739443</v>
      </c>
      <c r="K255" s="154">
        <f t="shared" si="132"/>
        <v>12.470400893739443</v>
      </c>
      <c r="L255" s="154">
        <f t="shared" si="132"/>
        <v>2341.6939826644989</v>
      </c>
      <c r="M255" s="154">
        <f t="shared" si="132"/>
        <v>7690.2864591266507</v>
      </c>
      <c r="N255" s="154">
        <f t="shared" si="132"/>
        <v>15309.688404756716</v>
      </c>
      <c r="O255" s="154">
        <f t="shared" si="132"/>
        <v>25685.364312053309</v>
      </c>
      <c r="P255" s="154">
        <f t="shared" si="132"/>
        <v>38233.335973870744</v>
      </c>
    </row>
    <row r="256" spans="2:17" ht="13.8" thickBot="1">
      <c r="B256" s="175" t="s">
        <v>545</v>
      </c>
      <c r="C256" s="175"/>
      <c r="D256" s="175"/>
      <c r="E256" s="175">
        <f t="shared" ref="E256:P256" si="133">SUM(E237,E241,E244,E252)</f>
        <v>2403.5548290000002</v>
      </c>
      <c r="F256" s="175">
        <f t="shared" si="133"/>
        <v>13597.900391000001</v>
      </c>
      <c r="G256" s="175">
        <f t="shared" si="133"/>
        <v>30356.157206</v>
      </c>
      <c r="H256" s="175">
        <f t="shared" si="133"/>
        <v>31075.528712138541</v>
      </c>
      <c r="I256" s="200">
        <f t="shared" si="133"/>
        <v>46016.204759276116</v>
      </c>
      <c r="J256" s="175">
        <f t="shared" si="133"/>
        <v>18067.058662627038</v>
      </c>
      <c r="K256" s="175">
        <f t="shared" si="133"/>
        <v>64083.263421903161</v>
      </c>
      <c r="L256" s="175">
        <f t="shared" si="133"/>
        <v>98771.377810095728</v>
      </c>
      <c r="M256" s="175">
        <f t="shared" si="133"/>
        <v>139321.59538464274</v>
      </c>
      <c r="N256" s="175">
        <f t="shared" si="133"/>
        <v>192141.11487930315</v>
      </c>
      <c r="O256" s="175">
        <f t="shared" si="133"/>
        <v>236321.33691548678</v>
      </c>
      <c r="P256" s="175">
        <f t="shared" si="133"/>
        <v>285273.79681572999</v>
      </c>
      <c r="Q256" s="175"/>
    </row>
    <row r="257" spans="2:17">
      <c r="E257" s="286"/>
      <c r="F257" s="286"/>
      <c r="G257" s="286"/>
      <c r="H257" s="286"/>
      <c r="I257" s="286"/>
      <c r="J257" s="286"/>
      <c r="K257" s="286"/>
      <c r="L257" s="286"/>
      <c r="M257" s="286"/>
      <c r="N257" s="286"/>
      <c r="O257" s="286"/>
      <c r="P257" s="286"/>
      <c r="Q257" s="286"/>
    </row>
    <row r="260" spans="2:17">
      <c r="B260" s="171" t="s">
        <v>546</v>
      </c>
    </row>
    <row r="262" spans="2:17">
      <c r="B262" s="196" t="s">
        <v>547</v>
      </c>
      <c r="C262" s="196"/>
      <c r="D262" s="196"/>
      <c r="E262" s="196"/>
      <c r="F262" s="196"/>
      <c r="G262" s="196"/>
      <c r="H262" s="196"/>
      <c r="I262" s="197"/>
      <c r="J262" s="196"/>
      <c r="K262" s="196"/>
      <c r="L262" s="196"/>
      <c r="M262" s="196"/>
      <c r="N262" s="196"/>
      <c r="O262" s="196"/>
      <c r="P262" s="196"/>
      <c r="Q262" s="196"/>
    </row>
    <row r="263" spans="2:17">
      <c r="B263" s="168" t="s">
        <v>548</v>
      </c>
      <c r="E263" s="154">
        <f>E268</f>
        <v>1781.4556650000002</v>
      </c>
      <c r="F263" s="154">
        <f t="shared" ref="F263:P263" si="134">F268</f>
        <v>893.92438400000003</v>
      </c>
      <c r="G263" s="154">
        <f t="shared" si="134"/>
        <v>2215.2455009999999</v>
      </c>
      <c r="H263" s="154">
        <f t="shared" si="134"/>
        <v>2993.6122480000004</v>
      </c>
      <c r="I263" s="221">
        <f t="shared" si="134"/>
        <v>3366.7237570000002</v>
      </c>
      <c r="J263" s="154">
        <f t="shared" si="134"/>
        <v>1122.2412523333319</v>
      </c>
      <c r="K263" s="154">
        <f t="shared" si="134"/>
        <v>4488.9650093333321</v>
      </c>
      <c r="L263" s="154">
        <f t="shared" si="134"/>
        <v>9676.9839097116164</v>
      </c>
      <c r="M263" s="154">
        <f t="shared" si="134"/>
        <v>15667.976705408602</v>
      </c>
      <c r="N263" s="154">
        <f t="shared" si="134"/>
        <v>30514.530190730045</v>
      </c>
      <c r="O263" s="154">
        <f t="shared" si="134"/>
        <v>36349.829077284827</v>
      </c>
      <c r="P263" s="154">
        <f t="shared" si="134"/>
        <v>42518.935275698226</v>
      </c>
    </row>
    <row r="264" spans="2:17">
      <c r="B264" s="248" t="s">
        <v>418</v>
      </c>
      <c r="C264" s="177"/>
      <c r="D264" s="177"/>
      <c r="E264" s="177">
        <f>E277</f>
        <v>0</v>
      </c>
      <c r="F264" s="177">
        <f t="shared" ref="F264:P264" si="135">F277</f>
        <v>0</v>
      </c>
      <c r="G264" s="177">
        <f t="shared" si="135"/>
        <v>0</v>
      </c>
      <c r="H264" s="177">
        <f t="shared" si="135"/>
        <v>0</v>
      </c>
      <c r="I264" s="225">
        <f t="shared" si="135"/>
        <v>2.0250000000000004</v>
      </c>
      <c r="J264" s="177">
        <f t="shared" si="135"/>
        <v>0.67500000000000004</v>
      </c>
      <c r="K264" s="177">
        <f t="shared" si="135"/>
        <v>2.7</v>
      </c>
      <c r="L264" s="177">
        <f t="shared" si="135"/>
        <v>4.6746042197152011</v>
      </c>
      <c r="M264" s="177">
        <f t="shared" si="135"/>
        <v>7.7811327993114601</v>
      </c>
      <c r="N264" s="177">
        <f t="shared" si="135"/>
        <v>14.039182313164638</v>
      </c>
      <c r="O264" s="177">
        <f t="shared" si="135"/>
        <v>20.34569839306965</v>
      </c>
      <c r="P264" s="177">
        <f t="shared" si="135"/>
        <v>26.729875606197371</v>
      </c>
      <c r="Q264" s="177"/>
    </row>
    <row r="265" spans="2:17">
      <c r="B265" s="168"/>
    </row>
    <row r="266" spans="2:17">
      <c r="D266" s="409"/>
      <c r="E266" s="409"/>
      <c r="F266" s="409"/>
      <c r="G266" s="409"/>
      <c r="H266" s="409"/>
      <c r="I266" s="409"/>
      <c r="J266" s="409"/>
      <c r="K266" s="291">
        <f t="shared" ref="K266:P266" si="136">K263/K58</f>
        <v>0.19220769206940624</v>
      </c>
      <c r="L266" s="291">
        <f t="shared" si="136"/>
        <v>0.26343268600182901</v>
      </c>
      <c r="M266" s="291">
        <f t="shared" si="136"/>
        <v>0.25224378149104709</v>
      </c>
      <c r="N266" s="291">
        <f t="shared" si="136"/>
        <v>0.27888842177106699</v>
      </c>
      <c r="O266" s="291">
        <f t="shared" si="136"/>
        <v>0.21010840835264774</v>
      </c>
      <c r="P266" s="291">
        <f t="shared" si="136"/>
        <v>0.17947492584033992</v>
      </c>
    </row>
    <row r="267" spans="2:17">
      <c r="D267" s="409"/>
      <c r="E267" s="409"/>
      <c r="F267" s="409"/>
      <c r="G267" s="409"/>
      <c r="H267" s="409"/>
      <c r="I267" s="409"/>
      <c r="J267" s="409"/>
      <c r="K267" s="409"/>
      <c r="L267" s="409"/>
      <c r="M267" s="409"/>
      <c r="N267" s="409"/>
      <c r="O267" s="409"/>
    </row>
    <row r="268" spans="2:17">
      <c r="B268" s="154" t="s">
        <v>548</v>
      </c>
      <c r="D268" s="409"/>
      <c r="E268" s="430">
        <v>1781.4556650000002</v>
      </c>
      <c r="F268" s="430">
        <v>893.92438400000003</v>
      </c>
      <c r="G268" s="430">
        <v>2215.2455009999999</v>
      </c>
      <c r="H268" s="430">
        <v>2993.6122480000004</v>
      </c>
      <c r="I268" s="430">
        <v>3366.7237570000002</v>
      </c>
      <c r="J268" s="430">
        <f>K268-I268</f>
        <v>1122.2412523333319</v>
      </c>
      <c r="K268" s="430">
        <f>K269*K270</f>
        <v>4488.9650093333321</v>
      </c>
      <c r="L268" s="430">
        <f t="shared" ref="L268:P268" si="137">L269*L270</f>
        <v>9676.9839097116164</v>
      </c>
      <c r="M268" s="430">
        <f t="shared" si="137"/>
        <v>15667.976705408602</v>
      </c>
      <c r="N268" s="430">
        <f t="shared" si="137"/>
        <v>30514.530190730045</v>
      </c>
      <c r="O268" s="430">
        <f t="shared" si="137"/>
        <v>36349.829077284827</v>
      </c>
      <c r="P268" s="171">
        <f t="shared" si="137"/>
        <v>42518.935275698226</v>
      </c>
    </row>
    <row r="269" spans="2:17">
      <c r="C269" s="154" t="s">
        <v>549</v>
      </c>
      <c r="D269" s="409"/>
      <c r="E269" s="409">
        <f t="shared" ref="E269:P269" si="138">E78</f>
        <v>4568</v>
      </c>
      <c r="F269" s="409">
        <f t="shared" si="138"/>
        <v>18166</v>
      </c>
      <c r="G269" s="409">
        <f t="shared" si="138"/>
        <v>49719</v>
      </c>
      <c r="H269" s="409">
        <f t="shared" si="138"/>
        <v>72459</v>
      </c>
      <c r="I269" s="409">
        <f t="shared" si="138"/>
        <v>59100</v>
      </c>
      <c r="J269" s="409">
        <f t="shared" si="138"/>
        <v>19699.999999999971</v>
      </c>
      <c r="K269" s="409">
        <f t="shared" si="138"/>
        <v>78799.999999999971</v>
      </c>
      <c r="L269" s="409">
        <f t="shared" si="138"/>
        <v>166377.3773687275</v>
      </c>
      <c r="M269" s="409">
        <f t="shared" si="138"/>
        <v>267774.4843679769</v>
      </c>
      <c r="N269" s="409">
        <f t="shared" si="138"/>
        <v>516346.9173420989</v>
      </c>
      <c r="O269" s="409">
        <f t="shared" si="138"/>
        <v>607794.49373454787</v>
      </c>
      <c r="P269" s="154">
        <f t="shared" si="138"/>
        <v>701822.55864650139</v>
      </c>
    </row>
    <row r="270" spans="2:17">
      <c r="C270" s="154" t="s">
        <v>550</v>
      </c>
      <c r="D270" s="435">
        <f>AVERAGE(F270:H270)</f>
        <v>4.5026177011939804E-2</v>
      </c>
      <c r="E270" s="435">
        <f>E268/E269</f>
        <v>0.38998591615586692</v>
      </c>
      <c r="F270" s="435">
        <f t="shared" ref="F270:H270" si="139">F268/F269</f>
        <v>4.9208652647803594E-2</v>
      </c>
      <c r="G270" s="435">
        <f t="shared" si="139"/>
        <v>4.4555310867072949E-2</v>
      </c>
      <c r="H270" s="435">
        <f t="shared" si="139"/>
        <v>4.1314567520942883E-2</v>
      </c>
      <c r="I270" s="435">
        <f>I268/I269</f>
        <v>5.69665610321489E-2</v>
      </c>
      <c r="J270" s="435">
        <f t="shared" ref="J270" si="140">I270</f>
        <v>5.69665610321489E-2</v>
      </c>
      <c r="K270" s="435">
        <f>J270</f>
        <v>5.69665610321489E-2</v>
      </c>
      <c r="L270" s="435">
        <f t="shared" ref="L270:P270" si="141">K270*(1+L271)</f>
        <v>5.816285881382402E-2</v>
      </c>
      <c r="M270" s="435">
        <f t="shared" si="141"/>
        <v>5.8511835966706963E-2</v>
      </c>
      <c r="N270" s="435">
        <f t="shared" si="141"/>
        <v>5.9096954326374032E-2</v>
      </c>
      <c r="O270" s="435">
        <f t="shared" si="141"/>
        <v>5.9806117778290521E-2</v>
      </c>
      <c r="P270" s="217">
        <f t="shared" si="141"/>
        <v>6.0583597309408294E-2</v>
      </c>
    </row>
    <row r="271" spans="2:17">
      <c r="D271" s="409"/>
      <c r="E271" s="409"/>
      <c r="F271" s="409"/>
      <c r="G271" s="409"/>
      <c r="H271" s="409"/>
      <c r="I271" s="409"/>
      <c r="J271" s="409"/>
      <c r="K271" s="291">
        <v>5.0999999999999997E-2</v>
      </c>
      <c r="L271" s="291">
        <v>2.1000000000000001E-2</v>
      </c>
      <c r="M271" s="291">
        <v>6.0000000000000001E-3</v>
      </c>
      <c r="N271" s="291">
        <v>0.01</v>
      </c>
      <c r="O271" s="291">
        <v>1.2E-2</v>
      </c>
      <c r="P271" s="291">
        <v>1.3000000000000001E-2</v>
      </c>
    </row>
    <row r="272" spans="2:17">
      <c r="D272" s="409"/>
      <c r="E272" s="409"/>
      <c r="F272" s="409"/>
      <c r="G272" s="409"/>
      <c r="H272" s="409"/>
      <c r="I272" s="409"/>
      <c r="J272" s="409"/>
      <c r="K272" s="291"/>
      <c r="L272" s="291"/>
      <c r="M272" s="291"/>
      <c r="N272" s="291"/>
      <c r="O272" s="291"/>
      <c r="P272" s="291"/>
    </row>
    <row r="273" spans="2:17">
      <c r="C273" s="154" t="s">
        <v>551</v>
      </c>
      <c r="D273" s="409"/>
      <c r="E273" s="435">
        <f t="shared" ref="E273:P273" si="142">E96</f>
        <v>2.6691852670753066E-2</v>
      </c>
      <c r="F273" s="435">
        <f t="shared" si="142"/>
        <v>2.029404590994165E-2</v>
      </c>
      <c r="G273" s="435">
        <f t="shared" si="142"/>
        <v>1.7355822386754264E-2</v>
      </c>
      <c r="H273" s="435">
        <f t="shared" si="142"/>
        <v>1.7209976165831711E-2</v>
      </c>
      <c r="I273" s="435">
        <f t="shared" si="142"/>
        <v>1.6670564771573602E-2</v>
      </c>
      <c r="J273" s="435">
        <f t="shared" si="142"/>
        <v>1.6670564771573602E-2</v>
      </c>
      <c r="K273" s="435">
        <f t="shared" si="142"/>
        <v>1.6670564771573602E-2</v>
      </c>
      <c r="L273" s="435">
        <f t="shared" si="142"/>
        <v>1.7020646631776645E-2</v>
      </c>
      <c r="M273" s="435">
        <f t="shared" si="142"/>
        <v>1.7122770511567305E-2</v>
      </c>
      <c r="N273" s="435">
        <f t="shared" si="142"/>
        <v>1.7293998216682979E-2</v>
      </c>
      <c r="O273" s="435">
        <f t="shared" si="142"/>
        <v>1.7501526195283175E-2</v>
      </c>
      <c r="P273" s="217">
        <f t="shared" si="142"/>
        <v>1.7729046035821854E-2</v>
      </c>
    </row>
    <row r="274" spans="2:17">
      <c r="C274" s="154" t="s">
        <v>552</v>
      </c>
      <c r="D274" s="409"/>
      <c r="E274" s="409">
        <f t="shared" ref="E274:P274" si="143">E273*E78*12</f>
        <v>1463.1405960000002</v>
      </c>
      <c r="F274" s="409">
        <f t="shared" si="143"/>
        <v>4423.9396560000005</v>
      </c>
      <c r="G274" s="409">
        <f t="shared" si="143"/>
        <v>10354.969598964422</v>
      </c>
      <c r="H274" s="409">
        <f t="shared" si="143"/>
        <v>14964.211955999999</v>
      </c>
      <c r="I274" s="409">
        <f t="shared" si="143"/>
        <v>11822.764535999999</v>
      </c>
      <c r="J274" s="409">
        <f t="shared" si="143"/>
        <v>3940.9215119999935</v>
      </c>
      <c r="K274" s="409">
        <f t="shared" si="143"/>
        <v>15763.686047999992</v>
      </c>
      <c r="L274" s="409">
        <f t="shared" si="143"/>
        <v>33982.206572578361</v>
      </c>
      <c r="M274" s="409">
        <f t="shared" si="143"/>
        <v>55020.492536233622</v>
      </c>
      <c r="N274" s="409">
        <f t="shared" si="143"/>
        <v>107156.43201244815</v>
      </c>
      <c r="O274" s="409">
        <f t="shared" si="143"/>
        <v>127647.97504132878</v>
      </c>
      <c r="P274" s="154">
        <f t="shared" si="143"/>
        <v>149311.73341466527</v>
      </c>
    </row>
    <row r="275" spans="2:17">
      <c r="D275" s="409"/>
      <c r="E275" s="409"/>
      <c r="F275" s="291">
        <f>F268/F274</f>
        <v>0.20206522997835391</v>
      </c>
      <c r="G275" s="291">
        <f t="shared" ref="G275:P275" si="144">G268/G274</f>
        <v>0.2139306619713825</v>
      </c>
      <c r="H275" s="291">
        <f t="shared" si="144"/>
        <v>0.20005144653138196</v>
      </c>
      <c r="I275" s="291">
        <f t="shared" si="144"/>
        <v>0.28476620224892557</v>
      </c>
      <c r="J275" s="291">
        <f t="shared" si="144"/>
        <v>0.28476620224892563</v>
      </c>
      <c r="K275" s="291">
        <f t="shared" si="144"/>
        <v>0.28476620224892557</v>
      </c>
      <c r="L275" s="291">
        <f t="shared" si="144"/>
        <v>0.28476620224892552</v>
      </c>
      <c r="M275" s="291">
        <f t="shared" si="144"/>
        <v>0.28476620224892557</v>
      </c>
      <c r="N275" s="291">
        <f t="shared" si="144"/>
        <v>0.28476620224892552</v>
      </c>
      <c r="O275" s="291">
        <f t="shared" si="144"/>
        <v>0.28476620224892552</v>
      </c>
      <c r="P275" s="291">
        <f t="shared" si="144"/>
        <v>0.28476620224892557</v>
      </c>
    </row>
    <row r="276" spans="2:17">
      <c r="D276" s="409"/>
      <c r="E276" s="409"/>
      <c r="F276" s="409"/>
      <c r="G276" s="409"/>
      <c r="H276" s="409"/>
      <c r="I276" s="409"/>
      <c r="J276" s="409"/>
      <c r="K276" s="409"/>
      <c r="L276" s="409"/>
      <c r="M276" s="409"/>
      <c r="N276" s="409"/>
      <c r="O276" s="409"/>
    </row>
    <row r="277" spans="2:17">
      <c r="B277" s="154" t="s">
        <v>553</v>
      </c>
      <c r="D277" s="409"/>
      <c r="E277" s="409"/>
      <c r="F277" s="409">
        <v>0</v>
      </c>
      <c r="G277" s="409">
        <v>0</v>
      </c>
      <c r="H277" s="409">
        <v>0</v>
      </c>
      <c r="I277" s="409">
        <f>K277-J277</f>
        <v>2.0250000000000004</v>
      </c>
      <c r="J277" s="409">
        <f>K277/4</f>
        <v>0.67500000000000004</v>
      </c>
      <c r="K277" s="409">
        <v>2.7</v>
      </c>
      <c r="L277" s="409">
        <f>K277*(1+L279)</f>
        <v>4.6746042197152011</v>
      </c>
      <c r="M277" s="409">
        <f t="shared" ref="M277:P277" si="145">L277*(1+M279)</f>
        <v>7.7811327993114601</v>
      </c>
      <c r="N277" s="409">
        <f t="shared" si="145"/>
        <v>14.039182313164638</v>
      </c>
      <c r="O277" s="409">
        <f t="shared" si="145"/>
        <v>20.34569839306965</v>
      </c>
      <c r="P277" s="154">
        <f t="shared" si="145"/>
        <v>26.729875606197371</v>
      </c>
    </row>
    <row r="278" spans="2:17">
      <c r="C278" s="154" t="s">
        <v>554</v>
      </c>
      <c r="D278" s="409"/>
      <c r="E278" s="409"/>
      <c r="F278" s="409"/>
      <c r="G278" s="409"/>
      <c r="H278" s="409"/>
      <c r="I278" s="409">
        <v>0</v>
      </c>
      <c r="J278" s="409"/>
      <c r="K278" s="409"/>
      <c r="L278" s="291">
        <v>0.80777381949560501</v>
      </c>
      <c r="M278" s="291">
        <v>0.90522831120328484</v>
      </c>
      <c r="N278" s="291">
        <v>0.48926482157847784</v>
      </c>
      <c r="O278" s="291">
        <v>0.33823138808058029</v>
      </c>
    </row>
    <row r="279" spans="2:17">
      <c r="C279" s="154" t="s">
        <v>555</v>
      </c>
      <c r="D279" s="409"/>
      <c r="E279" s="409"/>
      <c r="F279" s="409"/>
      <c r="G279" s="409"/>
      <c r="H279" s="409"/>
      <c r="I279" s="409"/>
      <c r="J279" s="409"/>
      <c r="K279" s="409"/>
      <c r="L279" s="291">
        <f>L81</f>
        <v>0.73133489619081526</v>
      </c>
      <c r="M279" s="291">
        <f>M81</f>
        <v>0.66455435232237114</v>
      </c>
      <c r="N279" s="291">
        <f>N81</f>
        <v>0.80425944078565803</v>
      </c>
      <c r="O279" s="291">
        <f>O81</f>
        <v>0.44920821877149852</v>
      </c>
      <c r="P279" s="291">
        <f>P81</f>
        <v>0.31378511023747224</v>
      </c>
    </row>
    <row r="280" spans="2:17">
      <c r="L280" s="291"/>
      <c r="M280" s="291"/>
      <c r="N280" s="291"/>
      <c r="O280" s="291"/>
      <c r="P280" s="291"/>
    </row>
    <row r="281" spans="2:17" s="247" customFormat="1">
      <c r="B281" s="233" t="s">
        <v>556</v>
      </c>
    </row>
    <row r="282" spans="2:17" s="247" customFormat="1"/>
    <row r="283" spans="2:17" s="247" customFormat="1">
      <c r="B283" s="298" t="s">
        <v>557</v>
      </c>
      <c r="C283" s="298"/>
      <c r="D283" s="298"/>
      <c r="E283" s="298"/>
      <c r="F283" s="298"/>
      <c r="G283" s="298"/>
      <c r="H283" s="298"/>
      <c r="I283" s="312"/>
      <c r="J283" s="298"/>
      <c r="K283" s="298"/>
      <c r="L283" s="298"/>
      <c r="M283" s="298"/>
      <c r="N283" s="298"/>
      <c r="O283" s="298"/>
      <c r="P283" s="298"/>
      <c r="Q283" s="298"/>
    </row>
    <row r="284" spans="2:17" s="247" customFormat="1">
      <c r="B284" s="220" t="s">
        <v>558</v>
      </c>
      <c r="E284" s="247">
        <f>E288</f>
        <v>0</v>
      </c>
      <c r="F284" s="247">
        <f t="shared" ref="F284:P284" si="146">F288</f>
        <v>0</v>
      </c>
      <c r="G284" s="247">
        <f t="shared" si="146"/>
        <v>0</v>
      </c>
      <c r="H284" s="247">
        <f t="shared" si="146"/>
        <v>0</v>
      </c>
      <c r="I284" s="313">
        <f t="shared" si="146"/>
        <v>9927.1938973379856</v>
      </c>
      <c r="J284" s="247">
        <f t="shared" si="146"/>
        <v>3974.2989545731066</v>
      </c>
      <c r="K284" s="247">
        <f t="shared" si="146"/>
        <v>13901.492851911093</v>
      </c>
      <c r="L284" s="247">
        <f t="shared" si="146"/>
        <v>25505.345463195576</v>
      </c>
      <c r="M284" s="247">
        <f t="shared" si="146"/>
        <v>29907.061488641972</v>
      </c>
      <c r="N284" s="247">
        <f t="shared" si="146"/>
        <v>32876.010436300887</v>
      </c>
      <c r="O284" s="247">
        <f t="shared" si="146"/>
        <v>34640.285488525202</v>
      </c>
      <c r="P284" s="247">
        <f t="shared" si="146"/>
        <v>35839.850642344609</v>
      </c>
    </row>
    <row r="285" spans="2:17" s="247" customFormat="1">
      <c r="B285" s="331" t="s">
        <v>83</v>
      </c>
      <c r="C285" s="249"/>
      <c r="D285" s="249"/>
      <c r="E285" s="249">
        <f>E292</f>
        <v>0</v>
      </c>
      <c r="F285" s="249">
        <f t="shared" ref="F285:P285" si="147">F292</f>
        <v>0</v>
      </c>
      <c r="G285" s="249">
        <f t="shared" si="147"/>
        <v>400</v>
      </c>
      <c r="H285" s="249">
        <f t="shared" si="147"/>
        <v>2886.2267400000001</v>
      </c>
      <c r="I285" s="311">
        <f t="shared" si="147"/>
        <v>2275.0682278049999</v>
      </c>
      <c r="J285" s="249">
        <f t="shared" si="147"/>
        <v>758.35607593499992</v>
      </c>
      <c r="K285" s="249">
        <f t="shared" si="147"/>
        <v>3033.4243037399997</v>
      </c>
      <c r="L285" s="249">
        <f t="shared" si="147"/>
        <v>3097.1262141185393</v>
      </c>
      <c r="M285" s="249">
        <f t="shared" si="147"/>
        <v>3115.7089714032504</v>
      </c>
      <c r="N285" s="249">
        <f t="shared" si="147"/>
        <v>3146.8660611172832</v>
      </c>
      <c r="O285" s="249">
        <f t="shared" si="147"/>
        <v>3184.6284538506907</v>
      </c>
      <c r="P285" s="249">
        <f t="shared" si="147"/>
        <v>3226.0286237507494</v>
      </c>
      <c r="Q285" s="249"/>
    </row>
    <row r="286" spans="2:17" s="247" customFormat="1"/>
    <row r="287" spans="2:17" s="294" customFormat="1">
      <c r="K287" s="294">
        <v>23791.999999999996</v>
      </c>
      <c r="L287" s="294">
        <v>46435.7931992964</v>
      </c>
      <c r="M287" s="294">
        <v>59456.068561653963</v>
      </c>
      <c r="N287" s="294">
        <v>69054.020767070426</v>
      </c>
      <c r="O287" s="294">
        <v>75283.738251579038</v>
      </c>
      <c r="P287" s="294">
        <v>0</v>
      </c>
    </row>
    <row r="288" spans="2:17" s="247" customFormat="1">
      <c r="B288" s="247" t="s">
        <v>559</v>
      </c>
      <c r="E288" s="233"/>
      <c r="F288" s="233">
        <v>0</v>
      </c>
      <c r="G288" s="233">
        <v>0</v>
      </c>
      <c r="H288" s="233">
        <v>0</v>
      </c>
      <c r="I288" s="233">
        <f>K288-J288</f>
        <v>9927.1938973379856</v>
      </c>
      <c r="J288" s="332">
        <f>J290*$D$289</f>
        <v>3974.2989545731066</v>
      </c>
      <c r="K288" s="332">
        <f>K290*$D$289</f>
        <v>13901.492851911093</v>
      </c>
      <c r="L288" s="332">
        <f t="shared" ref="L288:P288" si="148">L290*$D$289</f>
        <v>25505.345463195576</v>
      </c>
      <c r="M288" s="332">
        <f t="shared" si="148"/>
        <v>29907.061488641972</v>
      </c>
      <c r="N288" s="332">
        <f t="shared" si="148"/>
        <v>32876.010436300887</v>
      </c>
      <c r="O288" s="332">
        <f t="shared" si="148"/>
        <v>34640.285488525202</v>
      </c>
      <c r="P288" s="332">
        <f t="shared" si="148"/>
        <v>35839.850642344609</v>
      </c>
    </row>
    <row r="289" spans="2:17" s="247" customFormat="1">
      <c r="C289" s="247" t="s">
        <v>456</v>
      </c>
      <c r="D289" s="303">
        <v>0.75822675894459823</v>
      </c>
      <c r="I289" s="247">
        <v>0</v>
      </c>
      <c r="J289" s="333">
        <f>D289</f>
        <v>0.75822675894459823</v>
      </c>
      <c r="K289" s="333">
        <f>J289</f>
        <v>0.75822675894459823</v>
      </c>
      <c r="L289" s="333">
        <f t="shared" ref="L289:P289" si="149">K289</f>
        <v>0.75822675894459823</v>
      </c>
      <c r="M289" s="333">
        <f t="shared" si="149"/>
        <v>0.75822675894459823</v>
      </c>
      <c r="N289" s="333">
        <f t="shared" si="149"/>
        <v>0.75822675894459823</v>
      </c>
      <c r="O289" s="333">
        <f t="shared" si="149"/>
        <v>0.75822675894459823</v>
      </c>
      <c r="P289" s="333">
        <f t="shared" si="149"/>
        <v>0.75822675894459823</v>
      </c>
    </row>
    <row r="290" spans="2:17" s="247" customFormat="1">
      <c r="J290" s="247">
        <f t="shared" ref="J290:P290" si="150">J124</f>
        <v>5241.5704242686834</v>
      </c>
      <c r="K290" s="247">
        <f t="shared" si="150"/>
        <v>18334.215573268684</v>
      </c>
      <c r="L290" s="247">
        <f t="shared" si="150"/>
        <v>33638.150015567029</v>
      </c>
      <c r="M290" s="247">
        <f t="shared" si="150"/>
        <v>39443.426568419498</v>
      </c>
      <c r="N290" s="247">
        <f t="shared" si="150"/>
        <v>43359.074377778663</v>
      </c>
      <c r="O290" s="247">
        <f t="shared" si="150"/>
        <v>45685.917939301165</v>
      </c>
      <c r="P290" s="247">
        <f t="shared" si="150"/>
        <v>47267.984438100451</v>
      </c>
    </row>
    <row r="291" spans="2:17" s="247" customFormat="1"/>
    <row r="292" spans="2:17" s="247" customFormat="1">
      <c r="B292" s="247" t="s">
        <v>83</v>
      </c>
      <c r="E292" s="233"/>
      <c r="F292" s="233">
        <v>0</v>
      </c>
      <c r="G292" s="233">
        <v>400</v>
      </c>
      <c r="H292" s="233">
        <v>2886.2267400000001</v>
      </c>
      <c r="I292" s="233">
        <f>K292-J292</f>
        <v>2275.0682278049999</v>
      </c>
      <c r="J292" s="233">
        <f>K292/4</f>
        <v>758.35607593499992</v>
      </c>
      <c r="K292" s="233">
        <f>H292*(1+K293)</f>
        <v>3033.4243037399997</v>
      </c>
      <c r="L292" s="233">
        <f>K292*(1+L293)</f>
        <v>3097.1262141185393</v>
      </c>
      <c r="M292" s="233">
        <f t="shared" ref="M292:P292" si="151">L292*(1+M293)</f>
        <v>3115.7089714032504</v>
      </c>
      <c r="N292" s="233">
        <f t="shared" si="151"/>
        <v>3146.8660611172832</v>
      </c>
      <c r="O292" s="233">
        <f t="shared" si="151"/>
        <v>3184.6284538506907</v>
      </c>
      <c r="P292" s="233">
        <f t="shared" si="151"/>
        <v>3226.0286237507494</v>
      </c>
    </row>
    <row r="293" spans="2:17" s="247" customFormat="1">
      <c r="C293" s="247" t="s">
        <v>364</v>
      </c>
      <c r="I293" s="247">
        <v>0</v>
      </c>
      <c r="K293" s="303">
        <v>5.0999999999999997E-2</v>
      </c>
      <c r="L293" s="303">
        <v>2.1000000000000001E-2</v>
      </c>
      <c r="M293" s="303">
        <v>6.0000000000000001E-3</v>
      </c>
      <c r="N293" s="303">
        <v>0.01</v>
      </c>
      <c r="O293" s="303">
        <v>1.2E-2</v>
      </c>
      <c r="P293" s="303">
        <v>1.3000000000000001E-2</v>
      </c>
    </row>
    <row r="294" spans="2:17" s="247" customFormat="1"/>
    <row r="295" spans="2:17" s="247" customFormat="1">
      <c r="B295" s="247" t="s">
        <v>560</v>
      </c>
    </row>
    <row r="296" spans="2:17" s="247" customFormat="1"/>
    <row r="297" spans="2:17" s="247" customFormat="1">
      <c r="B297" s="247" t="s">
        <v>513</v>
      </c>
      <c r="G297" s="247">
        <f>G12</f>
        <v>170.45483500000958</v>
      </c>
      <c r="H297" s="247">
        <f>H12</f>
        <v>4034.5532449999996</v>
      </c>
      <c r="I297" s="247">
        <f>I12</f>
        <v>13092.645149000002</v>
      </c>
      <c r="J297" s="247">
        <f t="shared" ref="J297:P297" si="152">J124</f>
        <v>5241.5704242686834</v>
      </c>
      <c r="K297" s="247">
        <f t="shared" si="152"/>
        <v>18334.215573268684</v>
      </c>
      <c r="L297" s="247">
        <f t="shared" si="152"/>
        <v>33638.150015567029</v>
      </c>
      <c r="M297" s="247">
        <f t="shared" si="152"/>
        <v>39443.426568419498</v>
      </c>
      <c r="N297" s="247">
        <f t="shared" si="152"/>
        <v>43359.074377778663</v>
      </c>
      <c r="O297" s="247">
        <f t="shared" si="152"/>
        <v>45685.917939301165</v>
      </c>
      <c r="P297" s="247">
        <f t="shared" si="152"/>
        <v>47267.984438100451</v>
      </c>
    </row>
    <row r="298" spans="2:17" s="247" customFormat="1" ht="13.8" thickBot="1">
      <c r="B298" s="250" t="s">
        <v>561</v>
      </c>
      <c r="C298" s="250"/>
      <c r="D298" s="250"/>
      <c r="E298" s="250"/>
      <c r="F298" s="250"/>
      <c r="G298" s="250">
        <f>G241</f>
        <v>400</v>
      </c>
      <c r="H298" s="250">
        <f>H241</f>
        <v>2886.2267400000001</v>
      </c>
      <c r="I298" s="250">
        <f>I297*I299</f>
        <v>9366.1776736261891</v>
      </c>
      <c r="J298" s="250">
        <f>J297*J299</f>
        <v>3749.699111510281</v>
      </c>
      <c r="K298" s="250">
        <f t="shared" ref="K298:P298" si="153">K297*K299</f>
        <v>13115.87678513647</v>
      </c>
      <c r="L298" s="250">
        <f t="shared" si="153"/>
        <v>24063.960038049016</v>
      </c>
      <c r="M298" s="250">
        <f t="shared" si="153"/>
        <v>28216.921568722239</v>
      </c>
      <c r="N298" s="250">
        <f t="shared" si="153"/>
        <v>31018.086090667926</v>
      </c>
      <c r="O298" s="250">
        <f t="shared" si="153"/>
        <v>32682.656539796571</v>
      </c>
      <c r="P298" s="250">
        <f t="shared" si="153"/>
        <v>33814.43058168127</v>
      </c>
    </row>
    <row r="299" spans="2:17" s="247" customFormat="1">
      <c r="G299" s="296">
        <f>G298/G297</f>
        <v>2.3466626804688615</v>
      </c>
      <c r="H299" s="296">
        <f>H298/H297</f>
        <v>0.71537703550619525</v>
      </c>
      <c r="I299" s="296">
        <f>H299</f>
        <v>0.71537703550619525</v>
      </c>
      <c r="J299" s="296">
        <f t="shared" ref="J299:P299" si="154">$I$299</f>
        <v>0.71537703550619525</v>
      </c>
      <c r="K299" s="296">
        <f t="shared" si="154"/>
        <v>0.71537703550619525</v>
      </c>
      <c r="L299" s="296">
        <f t="shared" si="154"/>
        <v>0.71537703550619525</v>
      </c>
      <c r="M299" s="296">
        <f t="shared" si="154"/>
        <v>0.71537703550619525</v>
      </c>
      <c r="N299" s="296">
        <f t="shared" si="154"/>
        <v>0.71537703550619525</v>
      </c>
      <c r="O299" s="296">
        <f t="shared" si="154"/>
        <v>0.71537703550619525</v>
      </c>
      <c r="P299" s="296">
        <f t="shared" si="154"/>
        <v>0.71537703550619525</v>
      </c>
    </row>
    <row r="300" spans="2:17" s="247" customFormat="1"/>
    <row r="301" spans="2:17" s="247" customFormat="1"/>
    <row r="302" spans="2:17">
      <c r="B302" s="171" t="s">
        <v>562</v>
      </c>
    </row>
    <row r="304" spans="2:17">
      <c r="B304" s="196" t="s">
        <v>563</v>
      </c>
      <c r="C304" s="196"/>
      <c r="D304" s="196"/>
      <c r="E304" s="196"/>
      <c r="F304" s="196"/>
      <c r="G304" s="196"/>
      <c r="H304" s="196"/>
      <c r="I304" s="197"/>
      <c r="J304" s="196"/>
      <c r="K304" s="196"/>
      <c r="L304" s="196"/>
      <c r="M304" s="196"/>
      <c r="N304" s="196"/>
      <c r="O304" s="196"/>
      <c r="P304" s="196"/>
      <c r="Q304" s="196"/>
    </row>
    <row r="305" spans="2:17">
      <c r="B305" s="168" t="s">
        <v>86</v>
      </c>
      <c r="E305" s="154">
        <f>E321</f>
        <v>0</v>
      </c>
      <c r="F305" s="154">
        <f t="shared" ref="F305:P305" si="155">F321</f>
        <v>0</v>
      </c>
      <c r="G305" s="154">
        <f t="shared" si="155"/>
        <v>0</v>
      </c>
      <c r="H305" s="154">
        <f t="shared" si="155"/>
        <v>3774.9822119999999</v>
      </c>
      <c r="I305" s="221">
        <f t="shared" si="155"/>
        <v>5181.9627289999999</v>
      </c>
      <c r="J305" s="154">
        <f t="shared" si="155"/>
        <v>1727.3209096666669</v>
      </c>
      <c r="K305" s="154">
        <f>SUM(I305:J305)</f>
        <v>6909.2836386666668</v>
      </c>
      <c r="L305" s="154">
        <f t="shared" si="155"/>
        <v>8666.3366021256425</v>
      </c>
      <c r="M305" s="154">
        <f t="shared" si="155"/>
        <v>10746.533914697655</v>
      </c>
      <c r="N305" s="154">
        <f t="shared" si="155"/>
        <v>12450.116542782944</v>
      </c>
      <c r="O305" s="154">
        <f t="shared" si="155"/>
        <v>12542.254317249839</v>
      </c>
      <c r="P305" s="154">
        <f t="shared" si="155"/>
        <v>12298.068771152866</v>
      </c>
    </row>
    <row r="306" spans="2:17">
      <c r="B306" s="168" t="s">
        <v>92</v>
      </c>
      <c r="F306" s="154">
        <f>F325</f>
        <v>9863.1637960000007</v>
      </c>
      <c r="G306" s="154">
        <f t="shared" ref="G306:P306" si="156">G325</f>
        <v>14480.264762000003</v>
      </c>
      <c r="H306" s="154">
        <f t="shared" si="156"/>
        <v>6509.4696599999997</v>
      </c>
      <c r="I306" s="221">
        <f t="shared" si="156"/>
        <v>8500.6453280000005</v>
      </c>
      <c r="J306" s="154">
        <f t="shared" si="156"/>
        <v>4750.4780307125639</v>
      </c>
      <c r="K306" s="154">
        <f t="shared" ref="K306:K309" si="157">SUM(I306:J306)</f>
        <v>13251.123358712564</v>
      </c>
      <c r="L306" s="154">
        <f t="shared" si="156"/>
        <v>9505.5230343638123</v>
      </c>
      <c r="M306" s="154">
        <f t="shared" si="156"/>
        <v>9676.5288179704021</v>
      </c>
      <c r="N306" s="154">
        <f t="shared" si="156"/>
        <v>9910.815019725509</v>
      </c>
      <c r="O306" s="154">
        <f t="shared" si="156"/>
        <v>10172.812757107595</v>
      </c>
      <c r="P306" s="154">
        <f t="shared" si="156"/>
        <v>10459.366065222044</v>
      </c>
    </row>
    <row r="307" spans="2:17">
      <c r="B307" s="168" t="s">
        <v>91</v>
      </c>
      <c r="E307" s="154">
        <f>E331</f>
        <v>0</v>
      </c>
      <c r="F307" s="154">
        <f t="shared" ref="F307:P307" si="158">F331</f>
        <v>2273.9959800000001</v>
      </c>
      <c r="G307" s="154">
        <f t="shared" si="158"/>
        <v>12023.420204999995</v>
      </c>
      <c r="H307" s="154">
        <f t="shared" si="158"/>
        <v>7341.2511540000005</v>
      </c>
      <c r="I307" s="221">
        <f t="shared" si="158"/>
        <v>10315.851863</v>
      </c>
      <c r="J307" s="154">
        <f t="shared" si="158"/>
        <v>3438.617287666666</v>
      </c>
      <c r="K307" s="154">
        <f t="shared" si="157"/>
        <v>13754.469150666666</v>
      </c>
      <c r="L307" s="154">
        <f t="shared" si="158"/>
        <v>23304.614752973648</v>
      </c>
      <c r="M307" s="154">
        <f t="shared" si="158"/>
        <v>28898.465904309185</v>
      </c>
      <c r="N307" s="154">
        <f t="shared" si="158"/>
        <v>33479.563854929787</v>
      </c>
      <c r="O307" s="154">
        <f t="shared" si="158"/>
        <v>33727.331214626</v>
      </c>
      <c r="P307" s="154">
        <f t="shared" si="158"/>
        <v>33070.692736189951</v>
      </c>
    </row>
    <row r="308" spans="2:17">
      <c r="B308" s="168" t="s">
        <v>564</v>
      </c>
      <c r="E308" s="154">
        <f>E336</f>
        <v>0</v>
      </c>
      <c r="F308" s="154">
        <f t="shared" ref="F308:P308" si="159">F336</f>
        <v>566.81623100000002</v>
      </c>
      <c r="G308" s="154">
        <f t="shared" si="159"/>
        <v>1237.2267380000001</v>
      </c>
      <c r="H308" s="154">
        <f t="shared" si="159"/>
        <v>1019.043761</v>
      </c>
      <c r="I308" s="221">
        <f t="shared" si="159"/>
        <v>1055.8036641421888</v>
      </c>
      <c r="J308" s="154">
        <f t="shared" si="159"/>
        <v>351.93455471406293</v>
      </c>
      <c r="K308" s="154">
        <f t="shared" si="157"/>
        <v>1407.7382188562517</v>
      </c>
      <c r="L308" s="154">
        <f t="shared" si="159"/>
        <v>1490.7746701544995</v>
      </c>
      <c r="M308" s="154">
        <f t="shared" si="159"/>
        <v>1606.7769879338784</v>
      </c>
      <c r="N308" s="154">
        <f t="shared" si="159"/>
        <v>1552.4819657382177</v>
      </c>
      <c r="O308" s="154">
        <f t="shared" si="159"/>
        <v>1603.9330476563534</v>
      </c>
      <c r="P308" s="154">
        <f t="shared" si="159"/>
        <v>1590.8813955485289</v>
      </c>
    </row>
    <row r="309" spans="2:17">
      <c r="B309" s="168" t="s">
        <v>83</v>
      </c>
      <c r="E309" s="154">
        <f>E345</f>
        <v>622.09916399999997</v>
      </c>
      <c r="F309" s="154">
        <f t="shared" ref="F309:P309" si="160">F345</f>
        <v>0</v>
      </c>
      <c r="G309" s="154">
        <f t="shared" si="160"/>
        <v>0</v>
      </c>
      <c r="H309" s="154">
        <f t="shared" si="160"/>
        <v>4903.9417800000019</v>
      </c>
      <c r="I309" s="221">
        <f t="shared" si="160"/>
        <v>3865.5321080850013</v>
      </c>
      <c r="J309" s="154">
        <f t="shared" si="160"/>
        <v>1288.5107026950004</v>
      </c>
      <c r="K309" s="154">
        <f t="shared" si="157"/>
        <v>5154.0428107800017</v>
      </c>
      <c r="L309" s="154">
        <f t="shared" si="160"/>
        <v>5262.2777098063816</v>
      </c>
      <c r="M309" s="154">
        <f t="shared" si="160"/>
        <v>5293.8513760652195</v>
      </c>
      <c r="N309" s="154">
        <f t="shared" si="160"/>
        <v>5346.7898898258718</v>
      </c>
      <c r="O309" s="154">
        <f t="shared" si="160"/>
        <v>5410.9513685037828</v>
      </c>
      <c r="P309" s="154">
        <f t="shared" si="160"/>
        <v>5481.2937362943312</v>
      </c>
    </row>
    <row r="310" spans="2:17">
      <c r="B310" s="248" t="s">
        <v>565</v>
      </c>
      <c r="C310" s="177"/>
      <c r="D310" s="177"/>
      <c r="E310" s="177"/>
      <c r="F310" s="177"/>
      <c r="G310" s="177"/>
      <c r="H310" s="177"/>
      <c r="I310" s="225"/>
      <c r="J310" s="177">
        <f>J348</f>
        <v>40.881040999999641</v>
      </c>
      <c r="K310" s="177">
        <f>J310+I310</f>
        <v>40.881040999999641</v>
      </c>
      <c r="L310" s="177">
        <f>L348</f>
        <v>3327.9214756435258</v>
      </c>
      <c r="M310" s="177">
        <f>M348</f>
        <v>10507.952170101536</v>
      </c>
      <c r="N310" s="177">
        <f>N348</f>
        <v>14463.345086980447</v>
      </c>
      <c r="O310" s="177">
        <f>O348</f>
        <v>15308.801261377352</v>
      </c>
      <c r="P310" s="177">
        <f>P348</f>
        <v>15204.661924475338</v>
      </c>
      <c r="Q310" s="177"/>
    </row>
    <row r="312" spans="2:17">
      <c r="B312" s="184" t="s">
        <v>86</v>
      </c>
      <c r="C312" s="184"/>
      <c r="D312" s="184"/>
      <c r="E312" s="184"/>
      <c r="F312" s="334">
        <f t="shared" ref="F312:P317" si="161">F305/F$15</f>
        <v>0</v>
      </c>
      <c r="G312" s="334">
        <f t="shared" si="161"/>
        <v>0</v>
      </c>
      <c r="H312" s="334">
        <f t="shared" si="161"/>
        <v>0.11237844835521789</v>
      </c>
      <c r="I312" s="334">
        <f t="shared" si="161"/>
        <v>0.13880571800077696</v>
      </c>
      <c r="J312" s="334">
        <f t="shared" si="161"/>
        <v>0.13880571800077701</v>
      </c>
      <c r="K312" s="334">
        <f t="shared" si="161"/>
        <v>0.13880571800077698</v>
      </c>
      <c r="L312" s="334">
        <f t="shared" si="161"/>
        <v>0.13492449260167902</v>
      </c>
      <c r="M312" s="334">
        <f t="shared" si="161"/>
        <v>0.13949857430683038</v>
      </c>
      <c r="N312" s="334">
        <f t="shared" si="161"/>
        <v>0.14194999086796456</v>
      </c>
      <c r="O312" s="334">
        <f t="shared" si="161"/>
        <v>0.14124926801623106</v>
      </c>
      <c r="P312" s="334">
        <f t="shared" si="161"/>
        <v>0.13987361994392442</v>
      </c>
    </row>
    <row r="313" spans="2:17">
      <c r="B313" s="184" t="s">
        <v>92</v>
      </c>
      <c r="C313" s="184"/>
      <c r="D313" s="184"/>
      <c r="E313" s="184"/>
      <c r="F313" s="334">
        <f t="shared" si="161"/>
        <v>0.6217256405476812</v>
      </c>
      <c r="G313" s="334">
        <f t="shared" si="161"/>
        <v>0.4793239637344735</v>
      </c>
      <c r="H313" s="334">
        <f t="shared" si="161"/>
        <v>0.19378213165635116</v>
      </c>
      <c r="I313" s="334">
        <f t="shared" si="161"/>
        <v>0.22770101599142364</v>
      </c>
      <c r="J313" s="334">
        <f t="shared" si="161"/>
        <v>0.38174349086483433</v>
      </c>
      <c r="K313" s="334">
        <f t="shared" si="161"/>
        <v>0.26621163470977632</v>
      </c>
      <c r="L313" s="334">
        <f t="shared" si="161"/>
        <v>0.1479896213597954</v>
      </c>
      <c r="M313" s="334">
        <f t="shared" si="161"/>
        <v>0.12560905544620959</v>
      </c>
      <c r="N313" s="334">
        <f t="shared" si="161"/>
        <v>0.11299814718277766</v>
      </c>
      <c r="O313" s="334">
        <f t="shared" si="161"/>
        <v>0.1145649194524304</v>
      </c>
      <c r="P313" s="334">
        <f t="shared" si="161"/>
        <v>0.11896090525147569</v>
      </c>
    </row>
    <row r="314" spans="2:17">
      <c r="B314" s="184" t="s">
        <v>91</v>
      </c>
      <c r="C314" s="184"/>
      <c r="D314" s="184"/>
      <c r="E314" s="184"/>
      <c r="F314" s="334">
        <f t="shared" si="161"/>
        <v>0.1433415926684416</v>
      </c>
      <c r="G314" s="334">
        <f t="shared" si="161"/>
        <v>0.39799779389598378</v>
      </c>
      <c r="H314" s="334">
        <f t="shared" si="161"/>
        <v>0.2185436559276886</v>
      </c>
      <c r="I314" s="334">
        <f t="shared" si="161"/>
        <v>0.27632372124561605</v>
      </c>
      <c r="J314" s="334">
        <f t="shared" si="161"/>
        <v>0.27632372124561599</v>
      </c>
      <c r="K314" s="334">
        <f t="shared" si="161"/>
        <v>0.27632372124561605</v>
      </c>
      <c r="L314" s="334">
        <f t="shared" si="161"/>
        <v>0.36282497036306394</v>
      </c>
      <c r="M314" s="334">
        <f t="shared" si="161"/>
        <v>0.37512511711261803</v>
      </c>
      <c r="N314" s="334">
        <f t="shared" si="161"/>
        <v>0.38171721261722602</v>
      </c>
      <c r="O314" s="334">
        <f t="shared" si="161"/>
        <v>0.37983290130346403</v>
      </c>
      <c r="P314" s="334">
        <f t="shared" si="161"/>
        <v>0.37613365099360252</v>
      </c>
    </row>
    <row r="315" spans="2:17">
      <c r="B315" s="184" t="s">
        <v>564</v>
      </c>
      <c r="C315" s="184"/>
      <c r="D315" s="184"/>
      <c r="E315" s="184"/>
      <c r="F315" s="334">
        <f t="shared" si="161"/>
        <v>3.5729324948878448E-2</v>
      </c>
      <c r="G315" s="334">
        <f t="shared" si="161"/>
        <v>4.0954529067224313E-2</v>
      </c>
      <c r="H315" s="334">
        <f t="shared" si="161"/>
        <v>3.0336184446965418E-2</v>
      </c>
      <c r="I315" s="334">
        <f t="shared" si="161"/>
        <v>2.8281096050528483E-2</v>
      </c>
      <c r="J315" s="334">
        <f t="shared" si="161"/>
        <v>2.8281096050528486E-2</v>
      </c>
      <c r="K315" s="334">
        <f t="shared" si="161"/>
        <v>2.8281096050528486E-2</v>
      </c>
      <c r="L315" s="334">
        <f t="shared" si="161"/>
        <v>2.3209578070703597E-2</v>
      </c>
      <c r="M315" s="334">
        <f t="shared" si="161"/>
        <v>2.0857245771052437E-2</v>
      </c>
      <c r="N315" s="334">
        <f t="shared" si="161"/>
        <v>1.7700621524460031E-2</v>
      </c>
      <c r="O315" s="334">
        <f t="shared" si="161"/>
        <v>1.8063289357553032E-2</v>
      </c>
      <c r="P315" s="334">
        <f t="shared" si="161"/>
        <v>1.8094088091195063E-2</v>
      </c>
    </row>
    <row r="316" spans="2:17">
      <c r="B316" s="184" t="s">
        <v>83</v>
      </c>
      <c r="C316" s="184"/>
      <c r="D316" s="184"/>
      <c r="E316" s="184"/>
      <c r="F316" s="334">
        <f t="shared" si="161"/>
        <v>0</v>
      </c>
      <c r="G316" s="334">
        <f t="shared" si="161"/>
        <v>0</v>
      </c>
      <c r="H316" s="334">
        <f t="shared" si="161"/>
        <v>0.14598674566171055</v>
      </c>
      <c r="I316" s="334">
        <f t="shared" si="161"/>
        <v>0.10354338457801664</v>
      </c>
      <c r="J316" s="334">
        <f t="shared" si="161"/>
        <v>0.10354338457801665</v>
      </c>
      <c r="K316" s="334">
        <f t="shared" si="161"/>
        <v>0.10354338457801665</v>
      </c>
      <c r="L316" s="334">
        <f t="shared" si="161"/>
        <v>8.1927368220454669E-2</v>
      </c>
      <c r="M316" s="334">
        <f t="shared" si="161"/>
        <v>6.8718409620738344E-2</v>
      </c>
      <c r="N316" s="334">
        <f t="shared" si="161"/>
        <v>6.0961419391183914E-2</v>
      </c>
      <c r="O316" s="334">
        <f t="shared" si="161"/>
        <v>6.0937443998518033E-2</v>
      </c>
      <c r="P316" s="334">
        <f t="shared" si="161"/>
        <v>6.2342178364609556E-2</v>
      </c>
    </row>
    <row r="317" spans="2:17">
      <c r="B317" s="184" t="s">
        <v>93</v>
      </c>
      <c r="C317" s="184"/>
      <c r="D317" s="184"/>
      <c r="E317" s="184"/>
      <c r="F317" s="334">
        <f t="shared" si="161"/>
        <v>0</v>
      </c>
      <c r="G317" s="334">
        <f t="shared" si="161"/>
        <v>0</v>
      </c>
      <c r="H317" s="334">
        <f t="shared" si="161"/>
        <v>0</v>
      </c>
      <c r="I317" s="334">
        <f t="shared" si="161"/>
        <v>0</v>
      </c>
      <c r="J317" s="334">
        <f t="shared" si="161"/>
        <v>3.2851580831723994E-3</v>
      </c>
      <c r="K317" s="334">
        <f t="shared" si="161"/>
        <v>8.2128952079309984E-4</v>
      </c>
      <c r="L317" s="334">
        <f t="shared" si="161"/>
        <v>5.1811755893407176E-2</v>
      </c>
      <c r="M317" s="334">
        <f t="shared" si="161"/>
        <v>0.13640159313215819</v>
      </c>
      <c r="N317" s="334">
        <f t="shared" si="161"/>
        <v>0.1649038140295333</v>
      </c>
      <c r="O317" s="334">
        <f t="shared" si="161"/>
        <v>0.17240576675291411</v>
      </c>
      <c r="P317" s="334">
        <f t="shared" si="161"/>
        <v>0.17293211991044624</v>
      </c>
    </row>
    <row r="318" spans="2:17">
      <c r="F318" s="334">
        <f>SUM(F312:F317)</f>
        <v>0.80079655816500128</v>
      </c>
      <c r="G318" s="334">
        <f t="shared" ref="G318:P318" si="162">SUM(G312:G317)</f>
        <v>0.91827628669768158</v>
      </c>
      <c r="H318" s="334">
        <f t="shared" si="162"/>
        <v>0.70102716604793358</v>
      </c>
      <c r="I318" s="334">
        <f t="shared" si="162"/>
        <v>0.77465493586636169</v>
      </c>
      <c r="J318" s="334">
        <f t="shared" si="162"/>
        <v>0.93198256882294495</v>
      </c>
      <c r="K318" s="334">
        <f t="shared" si="162"/>
        <v>0.81398684410550759</v>
      </c>
      <c r="L318" s="334">
        <f t="shared" si="162"/>
        <v>0.80268778650910366</v>
      </c>
      <c r="M318" s="334">
        <f t="shared" si="162"/>
        <v>0.86620999538960697</v>
      </c>
      <c r="N318" s="334">
        <f t="shared" si="162"/>
        <v>0.88023120561314561</v>
      </c>
      <c r="O318" s="334">
        <f t="shared" si="162"/>
        <v>0.88705358888111074</v>
      </c>
      <c r="P318" s="334">
        <f t="shared" si="162"/>
        <v>0.88833656255525351</v>
      </c>
    </row>
    <row r="319" spans="2:17">
      <c r="J319" s="334"/>
      <c r="K319" s="334"/>
      <c r="L319" s="334"/>
      <c r="M319" s="334"/>
      <c r="N319" s="334"/>
      <c r="O319" s="334"/>
      <c r="P319" s="334"/>
    </row>
    <row r="320" spans="2:17">
      <c r="F320" s="171"/>
      <c r="G320" s="154">
        <f t="shared" ref="G320:P320" si="163">G168</f>
        <v>12700.44478</v>
      </c>
      <c r="H320" s="154">
        <f t="shared" si="163"/>
        <v>24875.830383</v>
      </c>
      <c r="I320" s="154">
        <f t="shared" si="163"/>
        <v>28327.277816999998</v>
      </c>
      <c r="J320" s="154">
        <f t="shared" si="163"/>
        <v>9442.4259389999988</v>
      </c>
      <c r="K320" s="154">
        <f t="shared" si="163"/>
        <v>37769.703755999995</v>
      </c>
      <c r="L320" s="154">
        <f t="shared" si="163"/>
        <v>51788.032784385883</v>
      </c>
      <c r="M320" s="154">
        <f t="shared" si="163"/>
        <v>64218.813120687075</v>
      </c>
      <c r="N320" s="154">
        <f t="shared" si="163"/>
        <v>74399.030788732853</v>
      </c>
      <c r="O320" s="154">
        <f t="shared" si="163"/>
        <v>74949.624921391107</v>
      </c>
      <c r="P320" s="154">
        <f t="shared" si="163"/>
        <v>73490.42830264433</v>
      </c>
    </row>
    <row r="321" spans="2:22">
      <c r="B321" s="154" t="s">
        <v>566</v>
      </c>
      <c r="E321" s="171">
        <v>0</v>
      </c>
      <c r="F321" s="171">
        <v>0</v>
      </c>
      <c r="G321" s="171">
        <v>0</v>
      </c>
      <c r="H321" s="171">
        <v>3774.9822119999999</v>
      </c>
      <c r="I321" s="171">
        <v>5181.9627289999999</v>
      </c>
      <c r="J321" s="171">
        <f>K321-I321</f>
        <v>1727.3209096666669</v>
      </c>
      <c r="K321" s="171">
        <f>K320*K322</f>
        <v>6909.2836386666668</v>
      </c>
      <c r="L321" s="171">
        <f t="shared" ref="L321:P321" si="164">L320*L322</f>
        <v>8666.3366021256425</v>
      </c>
      <c r="M321" s="171">
        <f t="shared" si="164"/>
        <v>10746.533914697655</v>
      </c>
      <c r="N321" s="171">
        <f t="shared" si="164"/>
        <v>12450.116542782944</v>
      </c>
      <c r="O321" s="171">
        <f t="shared" si="164"/>
        <v>12542.254317249839</v>
      </c>
      <c r="P321" s="171">
        <f t="shared" si="164"/>
        <v>12298.068771152866</v>
      </c>
    </row>
    <row r="322" spans="2:22">
      <c r="C322" s="154" t="s">
        <v>456</v>
      </c>
      <c r="D322" s="228">
        <f>AVERAGE(H322:I322)</f>
        <v>0.16734245608839862</v>
      </c>
      <c r="F322" s="291"/>
      <c r="G322" s="291">
        <f>G321/G320</f>
        <v>0</v>
      </c>
      <c r="H322" s="291">
        <f t="shared" ref="H322:I322" si="165">H321/H320</f>
        <v>0.15175301302021263</v>
      </c>
      <c r="I322" s="291">
        <f t="shared" si="165"/>
        <v>0.18293189915658462</v>
      </c>
      <c r="J322" s="171"/>
      <c r="K322" s="291">
        <f>I322</f>
        <v>0.18293189915658462</v>
      </c>
      <c r="L322" s="291">
        <f>D322</f>
        <v>0.16734245608839862</v>
      </c>
      <c r="M322" s="291">
        <f>L322</f>
        <v>0.16734245608839862</v>
      </c>
      <c r="N322" s="291">
        <f t="shared" ref="N322:P322" si="166">M322</f>
        <v>0.16734245608839862</v>
      </c>
      <c r="O322" s="291">
        <f t="shared" si="166"/>
        <v>0.16734245608839862</v>
      </c>
      <c r="P322" s="291">
        <f t="shared" si="166"/>
        <v>0.16734245608839862</v>
      </c>
    </row>
    <row r="323" spans="2:22">
      <c r="C323" s="168" t="s">
        <v>567</v>
      </c>
      <c r="K323" s="292"/>
      <c r="L323" s="292"/>
      <c r="M323" s="292"/>
      <c r="N323" s="292"/>
      <c r="O323" s="292"/>
      <c r="P323" s="291"/>
    </row>
    <row r="324" spans="2:22">
      <c r="H324" s="409"/>
      <c r="I324" s="409"/>
      <c r="J324" s="409"/>
      <c r="K324" s="409"/>
      <c r="L324" s="409"/>
      <c r="M324" s="409"/>
      <c r="N324" s="409"/>
      <c r="O324" s="409"/>
      <c r="P324" s="409"/>
      <c r="Q324" s="409"/>
      <c r="R324" s="409"/>
      <c r="S324" s="409"/>
      <c r="T324" s="409"/>
      <c r="U324" s="409"/>
      <c r="V324" s="409"/>
    </row>
    <row r="325" spans="2:22">
      <c r="B325" s="154" t="s">
        <v>491</v>
      </c>
      <c r="F325" s="171">
        <v>9863.1637960000007</v>
      </c>
      <c r="G325" s="171">
        <v>14480.264762000003</v>
      </c>
      <c r="H325" s="430">
        <v>6509.4696599999997</v>
      </c>
      <c r="I325" s="430">
        <v>8500.6453280000005</v>
      </c>
      <c r="J325" s="430">
        <f>K325-I325</f>
        <v>4750.4780307125639</v>
      </c>
      <c r="K325" s="430">
        <f t="shared" ref="K325:P325" si="167">K328*K326</f>
        <v>13251.123358712564</v>
      </c>
      <c r="L325" s="430">
        <f t="shared" si="167"/>
        <v>9505.5230343638123</v>
      </c>
      <c r="M325" s="430">
        <f t="shared" si="167"/>
        <v>9676.5288179704021</v>
      </c>
      <c r="N325" s="430">
        <f t="shared" si="167"/>
        <v>9910.815019725509</v>
      </c>
      <c r="O325" s="430">
        <f t="shared" si="167"/>
        <v>10172.812757107595</v>
      </c>
      <c r="P325" s="430">
        <f t="shared" si="167"/>
        <v>10459.366065222044</v>
      </c>
      <c r="Q325" s="409"/>
      <c r="R325" s="409"/>
      <c r="S325" s="409"/>
      <c r="T325" s="409"/>
      <c r="U325" s="409"/>
      <c r="V325" s="409"/>
    </row>
    <row r="326" spans="2:22">
      <c r="C326" s="154" t="s">
        <v>568</v>
      </c>
      <c r="D326" s="209">
        <f>AVERAGE(G326:I326)</f>
        <v>0.37937355724356925</v>
      </c>
      <c r="F326" s="209">
        <f>F325/F328</f>
        <v>0.6217256405476812</v>
      </c>
      <c r="G326" s="209">
        <f t="shared" ref="G326:I326" si="168">G325/G328</f>
        <v>0.4793239637344735</v>
      </c>
      <c r="H326" s="431">
        <f t="shared" si="168"/>
        <v>0.19378213165635116</v>
      </c>
      <c r="I326" s="431">
        <f t="shared" si="168"/>
        <v>0.46501457633988313</v>
      </c>
      <c r="J326" s="409">
        <f>I325/3</f>
        <v>2833.5484426666667</v>
      </c>
      <c r="K326" s="420">
        <f>I326</f>
        <v>0.46501457633988313</v>
      </c>
      <c r="L326" s="420">
        <f>D326</f>
        <v>0.37937355724356925</v>
      </c>
      <c r="M326" s="420">
        <f t="shared" ref="M326:P326" si="169">L326</f>
        <v>0.37937355724356925</v>
      </c>
      <c r="N326" s="420">
        <f t="shared" si="169"/>
        <v>0.37937355724356925</v>
      </c>
      <c r="O326" s="420">
        <f t="shared" si="169"/>
        <v>0.37937355724356925</v>
      </c>
      <c r="P326" s="420">
        <f t="shared" si="169"/>
        <v>0.37937355724356925</v>
      </c>
      <c r="Q326" s="409"/>
      <c r="R326" s="409"/>
      <c r="S326" s="409"/>
      <c r="T326" s="409"/>
      <c r="U326" s="409"/>
      <c r="V326" s="409"/>
    </row>
    <row r="327" spans="2:22">
      <c r="C327" s="154" t="s">
        <v>569</v>
      </c>
      <c r="F327" s="209"/>
      <c r="G327" s="209"/>
      <c r="H327" s="431"/>
      <c r="I327" s="431"/>
      <c r="J327" s="409"/>
      <c r="K327" s="420">
        <v>0.18603084639009712</v>
      </c>
      <c r="L327" s="420">
        <v>0.21393547334861168</v>
      </c>
      <c r="M327" s="420">
        <v>0.23532902068347286</v>
      </c>
      <c r="N327" s="420">
        <v>0.25886192275182018</v>
      </c>
      <c r="O327" s="420">
        <v>0.2847481150270022</v>
      </c>
      <c r="P327" s="420">
        <f>O327</f>
        <v>0.2847481150270022</v>
      </c>
      <c r="Q327" s="409"/>
      <c r="R327" s="409"/>
      <c r="S327" s="409"/>
      <c r="T327" s="409"/>
      <c r="U327" s="409"/>
      <c r="V327" s="409"/>
    </row>
    <row r="328" spans="2:22">
      <c r="F328" s="154">
        <f>(F204+F190*F173*12)</f>
        <v>15864.174086999999</v>
      </c>
      <c r="G328" s="154">
        <f>(G204+G190*G173*12)</f>
        <v>30209.765957000003</v>
      </c>
      <c r="H328" s="409">
        <f>(H204+H190*H173*12)</f>
        <v>33591.691888000001</v>
      </c>
      <c r="I328" s="409">
        <f>(I204+I190*I173*9)</f>
        <v>18280.384660000003</v>
      </c>
      <c r="J328" s="409">
        <f>(J204+J190*J173*3)</f>
        <v>4032.3115533333339</v>
      </c>
      <c r="K328" s="409">
        <f t="shared" ref="K328:P328" si="170">(K204+K190*K173*12)</f>
        <v>28496.146213333333</v>
      </c>
      <c r="L328" s="409">
        <f t="shared" si="170"/>
        <v>25055.839693806018</v>
      </c>
      <c r="M328" s="409">
        <f t="shared" si="170"/>
        <v>25506.598004029518</v>
      </c>
      <c r="N328" s="409">
        <f t="shared" si="170"/>
        <v>26124.158709781841</v>
      </c>
      <c r="O328" s="409">
        <f t="shared" si="170"/>
        <v>26814.764927267566</v>
      </c>
      <c r="P328" s="409">
        <f t="shared" si="170"/>
        <v>27570.097771750647</v>
      </c>
      <c r="Q328" s="409"/>
      <c r="R328" s="409"/>
      <c r="S328" s="409"/>
      <c r="T328" s="409"/>
      <c r="U328" s="409"/>
      <c r="V328" s="409"/>
    </row>
    <row r="329" spans="2:22">
      <c r="H329" s="409"/>
      <c r="I329" s="409"/>
      <c r="J329" s="409"/>
      <c r="K329" s="409"/>
      <c r="L329" s="409"/>
      <c r="M329" s="409"/>
      <c r="N329" s="409"/>
      <c r="O329" s="409"/>
      <c r="P329" s="409"/>
      <c r="Q329" s="409"/>
      <c r="R329" s="409"/>
      <c r="S329" s="409"/>
      <c r="T329" s="409"/>
      <c r="U329" s="409"/>
      <c r="V329" s="409"/>
    </row>
    <row r="330" spans="2:22">
      <c r="H330" s="409"/>
      <c r="I330" s="291"/>
      <c r="J330" s="291"/>
      <c r="K330" s="291"/>
      <c r="L330" s="291"/>
      <c r="M330" s="291"/>
      <c r="N330" s="291"/>
      <c r="O330" s="291"/>
      <c r="P330" s="291"/>
      <c r="Q330" s="409"/>
      <c r="R330" s="409"/>
      <c r="S330" s="409"/>
      <c r="T330" s="409"/>
      <c r="U330" s="409"/>
      <c r="V330" s="409"/>
    </row>
    <row r="331" spans="2:22">
      <c r="B331" s="154" t="s">
        <v>570</v>
      </c>
      <c r="E331" s="171">
        <v>0</v>
      </c>
      <c r="F331" s="171">
        <v>2273.9959800000001</v>
      </c>
      <c r="G331" s="171">
        <v>12023.420204999995</v>
      </c>
      <c r="H331" s="171">
        <v>7341.2511540000005</v>
      </c>
      <c r="I331" s="171">
        <v>10315.851863</v>
      </c>
      <c r="J331" s="171">
        <f>K331-I331</f>
        <v>3438.617287666666</v>
      </c>
      <c r="K331" s="171">
        <f>K320*K332</f>
        <v>13754.469150666666</v>
      </c>
      <c r="L331" s="171">
        <f t="shared" ref="L331:P331" si="171">L320*L332</f>
        <v>23304.614752973648</v>
      </c>
      <c r="M331" s="171">
        <f t="shared" si="171"/>
        <v>28898.465904309185</v>
      </c>
      <c r="N331" s="171">
        <f t="shared" si="171"/>
        <v>33479.563854929787</v>
      </c>
      <c r="O331" s="171">
        <f t="shared" si="171"/>
        <v>33727.331214626</v>
      </c>
      <c r="P331" s="171">
        <f t="shared" si="171"/>
        <v>33070.692736189951</v>
      </c>
    </row>
    <row r="332" spans="2:22">
      <c r="C332" s="154" t="s">
        <v>571</v>
      </c>
      <c r="D332" s="209">
        <f>AVERAGE(G332:I332)</f>
        <v>0.53532512955642486</v>
      </c>
      <c r="F332" s="291">
        <f>F331/F168</f>
        <v>0.74340495707970045</v>
      </c>
      <c r="G332" s="291">
        <f>G331/G168</f>
        <v>0.94669284527214759</v>
      </c>
      <c r="H332" s="291">
        <f>H331/H168</f>
        <v>0.29511582290804528</v>
      </c>
      <c r="I332" s="291">
        <f>I331/I168</f>
        <v>0.36416672048908161</v>
      </c>
      <c r="J332" s="291">
        <f>J331/J168</f>
        <v>0.36416672048908155</v>
      </c>
      <c r="K332" s="291">
        <f>I332</f>
        <v>0.36416672048908161</v>
      </c>
      <c r="L332" s="291">
        <v>0.45</v>
      </c>
      <c r="M332" s="291">
        <f t="shared" ref="M332:P332" si="172">L332</f>
        <v>0.45</v>
      </c>
      <c r="N332" s="291">
        <f t="shared" si="172"/>
        <v>0.45</v>
      </c>
      <c r="O332" s="291">
        <f t="shared" si="172"/>
        <v>0.45</v>
      </c>
      <c r="P332" s="291">
        <f t="shared" si="172"/>
        <v>0.45</v>
      </c>
    </row>
    <row r="335" spans="2:22">
      <c r="I335" s="430">
        <v>0</v>
      </c>
      <c r="J335" s="171"/>
      <c r="K335" s="171"/>
      <c r="L335" s="171"/>
    </row>
    <row r="336" spans="2:22">
      <c r="B336" s="154" t="s">
        <v>572</v>
      </c>
      <c r="E336" s="171">
        <v>0</v>
      </c>
      <c r="F336" s="171">
        <v>566.81623100000002</v>
      </c>
      <c r="G336" s="171">
        <v>1237.2267380000001</v>
      </c>
      <c r="H336" s="171">
        <v>1019.043761</v>
      </c>
      <c r="I336" s="430">
        <f>K336-J336</f>
        <v>1055.8036641421888</v>
      </c>
      <c r="J336" s="171">
        <f>K336/4</f>
        <v>351.93455471406293</v>
      </c>
      <c r="K336" s="171">
        <f t="shared" ref="K336:P336" si="173">K337*K341</f>
        <v>1407.7382188562517</v>
      </c>
      <c r="L336" s="171">
        <f t="shared" si="173"/>
        <v>1490.7746701544995</v>
      </c>
      <c r="M336" s="171">
        <f t="shared" si="173"/>
        <v>1606.7769879338784</v>
      </c>
      <c r="N336" s="171">
        <f t="shared" si="173"/>
        <v>1552.4819657382177</v>
      </c>
      <c r="O336" s="171">
        <f t="shared" si="173"/>
        <v>1603.9330476563534</v>
      </c>
      <c r="P336" s="171">
        <f t="shared" si="173"/>
        <v>1590.8813955485289</v>
      </c>
    </row>
    <row r="337" spans="2:17">
      <c r="C337" s="154" t="s">
        <v>573</v>
      </c>
      <c r="E337" s="335"/>
      <c r="F337" s="335">
        <v>7.916666666666667</v>
      </c>
      <c r="G337" s="335">
        <v>10.083333333333334</v>
      </c>
      <c r="H337" s="335">
        <v>10.083333333333334</v>
      </c>
      <c r="I337" s="430">
        <v>0</v>
      </c>
      <c r="J337" s="171"/>
      <c r="K337" s="336">
        <f>K338/K339</f>
        <v>13.079272361497988</v>
      </c>
      <c r="L337" s="336">
        <f t="shared" ref="L337:P337" si="174">L338/L339</f>
        <v>13.369462015908084</v>
      </c>
      <c r="M337" s="336">
        <f t="shared" si="174"/>
        <v>14.141104963481085</v>
      </c>
      <c r="N337" s="336">
        <f t="shared" si="174"/>
        <v>13.356069580163632</v>
      </c>
      <c r="O337" s="336">
        <f t="shared" si="174"/>
        <v>13.370838629797401</v>
      </c>
      <c r="P337" s="336">
        <f t="shared" si="174"/>
        <v>12.82595393976556</v>
      </c>
    </row>
    <row r="338" spans="2:17">
      <c r="C338" s="154" t="s">
        <v>574</v>
      </c>
      <c r="E338" s="335"/>
      <c r="F338" s="335">
        <f t="shared" ref="F338:P338" si="175">F176</f>
        <v>136</v>
      </c>
      <c r="G338" s="335">
        <f t="shared" si="175"/>
        <v>270</v>
      </c>
      <c r="H338" s="335">
        <f t="shared" si="175"/>
        <v>359</v>
      </c>
      <c r="I338" s="455">
        <f t="shared" si="175"/>
        <v>438</v>
      </c>
      <c r="J338" s="335">
        <f t="shared" si="175"/>
        <v>465.66533333333331</v>
      </c>
      <c r="K338" s="335">
        <f t="shared" si="175"/>
        <v>465.66533333333331</v>
      </c>
      <c r="L338" s="335">
        <f t="shared" si="175"/>
        <v>483.137</v>
      </c>
      <c r="M338" s="335">
        <f t="shared" si="175"/>
        <v>523.28666666666663</v>
      </c>
      <c r="N338" s="335">
        <f t="shared" si="175"/>
        <v>508.07533333333328</v>
      </c>
      <c r="O338" s="335">
        <f t="shared" si="175"/>
        <v>522.87899999999991</v>
      </c>
      <c r="P338" s="335">
        <f t="shared" si="175"/>
        <v>516.11633333333327</v>
      </c>
    </row>
    <row r="339" spans="2:17">
      <c r="C339" s="154" t="s">
        <v>575</v>
      </c>
      <c r="E339" s="335"/>
      <c r="F339" s="335">
        <f>F338/F337</f>
        <v>17.178947368421053</v>
      </c>
      <c r="G339" s="335">
        <f t="shared" ref="G339:H339" si="176">G338/G337</f>
        <v>26.776859504132229</v>
      </c>
      <c r="H339" s="335">
        <f t="shared" si="176"/>
        <v>35.603305785123965</v>
      </c>
      <c r="I339" s="430"/>
      <c r="J339" s="171"/>
      <c r="K339" s="337">
        <f>H339</f>
        <v>35.603305785123965</v>
      </c>
      <c r="L339" s="337">
        <f>K339*(1+L340)</f>
        <v>36.137355371900824</v>
      </c>
      <c r="M339" s="337">
        <f t="shared" ref="M339:P339" si="177">L339*(1+M340)</f>
        <v>37.004651900826445</v>
      </c>
      <c r="N339" s="337">
        <f t="shared" si="177"/>
        <v>38.040782154049587</v>
      </c>
      <c r="O339" s="337">
        <f t="shared" si="177"/>
        <v>39.10592405436298</v>
      </c>
      <c r="P339" s="337">
        <f t="shared" si="177"/>
        <v>40.239995851939504</v>
      </c>
    </row>
    <row r="340" spans="2:17">
      <c r="C340" s="168"/>
      <c r="E340" s="335"/>
      <c r="F340" s="335"/>
      <c r="G340" s="335"/>
      <c r="H340" s="335"/>
      <c r="I340" s="430"/>
      <c r="J340" s="335"/>
      <c r="K340" s="338">
        <v>2.6000000000000002E-2</v>
      </c>
      <c r="L340" s="338">
        <v>1.4999999999999999E-2</v>
      </c>
      <c r="M340" s="338">
        <v>2.4E-2</v>
      </c>
      <c r="N340" s="338">
        <v>2.7999999999999997E-2</v>
      </c>
      <c r="O340" s="338">
        <v>2.7999999999999997E-2</v>
      </c>
      <c r="P340" s="338">
        <v>2.8999999999999998E-2</v>
      </c>
    </row>
    <row r="341" spans="2:17">
      <c r="C341" s="154" t="s">
        <v>576</v>
      </c>
      <c r="E341" s="335"/>
      <c r="F341" s="236">
        <f>F336/F337</f>
        <v>71.597839705263155</v>
      </c>
      <c r="G341" s="236">
        <f>G336/G337</f>
        <v>122.70017236363637</v>
      </c>
      <c r="H341" s="236">
        <f>H336/H337</f>
        <v>101.06219117355371</v>
      </c>
      <c r="I341" s="424"/>
      <c r="J341" s="236"/>
      <c r="K341" s="236">
        <f>H341*(1+K342)</f>
        <v>107.6312335998347</v>
      </c>
      <c r="L341" s="236">
        <f>K341*(1+L342)</f>
        <v>111.50595800942875</v>
      </c>
      <c r="M341" s="236">
        <f t="shared" ref="M341:P341" si="178">L341*(1+M342)</f>
        <v>113.62457121160789</v>
      </c>
      <c r="N341" s="236">
        <f t="shared" si="178"/>
        <v>116.23793634947485</v>
      </c>
      <c r="O341" s="236">
        <f t="shared" si="178"/>
        <v>119.95755031265804</v>
      </c>
      <c r="P341" s="236">
        <f t="shared" si="178"/>
        <v>124.03610702328842</v>
      </c>
    </row>
    <row r="342" spans="2:17">
      <c r="C342" s="168" t="s">
        <v>364</v>
      </c>
      <c r="E342" s="335"/>
      <c r="F342" s="335"/>
      <c r="G342" s="339">
        <f>G341/F341-1</f>
        <v>0.71374126466299903</v>
      </c>
      <c r="H342" s="339">
        <f>H341/G341-1</f>
        <v>-0.17634841722924366</v>
      </c>
      <c r="I342" s="430"/>
      <c r="J342" s="171"/>
      <c r="K342" s="339">
        <v>6.5000000000000002E-2</v>
      </c>
      <c r="L342" s="339">
        <v>3.6000000000000004E-2</v>
      </c>
      <c r="M342" s="339">
        <v>1.9E-2</v>
      </c>
      <c r="N342" s="339">
        <v>2.3E-2</v>
      </c>
      <c r="O342" s="339">
        <v>3.2000000000000001E-2</v>
      </c>
      <c r="P342" s="339">
        <v>3.4000000000000002E-2</v>
      </c>
      <c r="Q342" s="339"/>
    </row>
    <row r="343" spans="2:17">
      <c r="E343" s="335"/>
      <c r="F343" s="335"/>
      <c r="G343" s="335"/>
      <c r="H343" s="335"/>
      <c r="I343" s="430"/>
      <c r="J343" s="171"/>
      <c r="K343" s="339"/>
      <c r="L343" s="339"/>
      <c r="M343" s="339"/>
      <c r="N343" s="339"/>
      <c r="O343" s="339"/>
      <c r="P343" s="339"/>
      <c r="Q343" s="339"/>
    </row>
    <row r="344" spans="2:17">
      <c r="E344" s="335"/>
      <c r="F344" s="335"/>
      <c r="G344" s="335"/>
      <c r="H344" s="335"/>
      <c r="I344" s="430">
        <v>0</v>
      </c>
      <c r="J344" s="171"/>
      <c r="K344" s="171"/>
      <c r="L344" s="171"/>
    </row>
    <row r="345" spans="2:17">
      <c r="B345" s="154" t="s">
        <v>83</v>
      </c>
      <c r="E345" s="251">
        <v>622.09916399999997</v>
      </c>
      <c r="F345" s="251">
        <v>0</v>
      </c>
      <c r="G345" s="251">
        <v>0</v>
      </c>
      <c r="H345" s="251">
        <v>4903.9417800000019</v>
      </c>
      <c r="I345" s="433">
        <f>K345-J345</f>
        <v>3865.5321080850013</v>
      </c>
      <c r="J345" s="171">
        <f>K345/4</f>
        <v>1288.5107026950004</v>
      </c>
      <c r="K345" s="171">
        <f>H345*(1+K346)</f>
        <v>5154.0428107800017</v>
      </c>
      <c r="L345" s="171">
        <f>K345*(1+L346)</f>
        <v>5262.2777098063816</v>
      </c>
      <c r="M345" s="171">
        <f t="shared" ref="M345:P345" si="179">L345*(1+M346)</f>
        <v>5293.8513760652195</v>
      </c>
      <c r="N345" s="171">
        <f t="shared" si="179"/>
        <v>5346.7898898258718</v>
      </c>
      <c r="O345" s="171">
        <f t="shared" si="179"/>
        <v>5410.9513685037828</v>
      </c>
      <c r="P345" s="171">
        <f t="shared" si="179"/>
        <v>5481.2937362943312</v>
      </c>
    </row>
    <row r="346" spans="2:17">
      <c r="K346" s="291">
        <v>5.0999999999999997E-2</v>
      </c>
      <c r="L346" s="291">
        <v>2.1000000000000001E-2</v>
      </c>
      <c r="M346" s="291">
        <v>6.0000000000000001E-3</v>
      </c>
      <c r="N346" s="291">
        <v>0.01</v>
      </c>
      <c r="O346" s="291">
        <v>1.2E-2</v>
      </c>
      <c r="P346" s="291">
        <v>1.3000000000000001E-2</v>
      </c>
    </row>
    <row r="348" spans="2:17">
      <c r="B348" s="154" t="s">
        <v>492</v>
      </c>
      <c r="J348" s="171">
        <f>J571</f>
        <v>40.881040999999641</v>
      </c>
      <c r="K348" s="171">
        <f t="shared" ref="K348:P348" si="180">K571</f>
        <v>0</v>
      </c>
      <c r="L348" s="171">
        <f t="shared" si="180"/>
        <v>3327.9214756435258</v>
      </c>
      <c r="M348" s="171">
        <f t="shared" si="180"/>
        <v>10507.952170101536</v>
      </c>
      <c r="N348" s="171">
        <f t="shared" si="180"/>
        <v>14463.345086980447</v>
      </c>
      <c r="O348" s="171">
        <f t="shared" si="180"/>
        <v>15308.801261377352</v>
      </c>
      <c r="P348" s="171">
        <f t="shared" si="180"/>
        <v>15204.661924475338</v>
      </c>
    </row>
    <row r="349" spans="2:17">
      <c r="J349" s="228"/>
      <c r="K349" s="228"/>
      <c r="L349" s="228"/>
      <c r="M349" s="228"/>
      <c r="N349" s="228"/>
      <c r="O349" s="228"/>
      <c r="P349" s="228"/>
    </row>
    <row r="350" spans="2:17" s="247" customFormat="1">
      <c r="B350" s="233" t="s">
        <v>577</v>
      </c>
      <c r="K350" s="327"/>
      <c r="L350" s="327"/>
      <c r="M350" s="327"/>
      <c r="N350" s="327"/>
      <c r="O350" s="327"/>
      <c r="P350" s="327"/>
    </row>
    <row r="351" spans="2:17" s="247" customFormat="1"/>
    <row r="352" spans="2:17" s="247" customFormat="1">
      <c r="B352" s="298" t="s">
        <v>70</v>
      </c>
      <c r="C352" s="298"/>
      <c r="D352" s="298"/>
      <c r="E352" s="298"/>
      <c r="F352" s="298"/>
      <c r="G352" s="298"/>
      <c r="H352" s="298"/>
      <c r="I352" s="312"/>
      <c r="J352" s="298"/>
      <c r="K352" s="298"/>
      <c r="L352" s="298"/>
      <c r="M352" s="298"/>
      <c r="N352" s="298"/>
      <c r="O352" s="298"/>
      <c r="P352" s="298"/>
      <c r="Q352" s="298"/>
    </row>
    <row r="353" spans="1:17" s="247" customFormat="1">
      <c r="B353" s="220" t="s">
        <v>578</v>
      </c>
      <c r="E353" s="247">
        <f>E469</f>
        <v>0</v>
      </c>
      <c r="F353" s="247">
        <f>F356</f>
        <v>0</v>
      </c>
      <c r="G353" s="247">
        <f t="shared" ref="G353:P353" si="181">G356</f>
        <v>0</v>
      </c>
      <c r="H353" s="247">
        <f t="shared" si="181"/>
        <v>0</v>
      </c>
      <c r="I353" s="313">
        <f t="shared" si="181"/>
        <v>227.14952279148585</v>
      </c>
      <c r="J353" s="247">
        <f t="shared" si="181"/>
        <v>75.71650759716195</v>
      </c>
      <c r="K353" s="247">
        <f t="shared" si="181"/>
        <v>302.8660303886478</v>
      </c>
      <c r="L353" s="247">
        <f t="shared" si="181"/>
        <v>795.55284552940452</v>
      </c>
      <c r="M353" s="247">
        <f t="shared" si="181"/>
        <v>1772.7758307635252</v>
      </c>
      <c r="N353" s="247">
        <f t="shared" si="181"/>
        <v>3004.1087659027548</v>
      </c>
      <c r="O353" s="247">
        <f t="shared" si="181"/>
        <v>4584.3373108855503</v>
      </c>
      <c r="P353" s="247">
        <f t="shared" si="181"/>
        <v>6335.7737245082399</v>
      </c>
    </row>
    <row r="354" spans="1:17" s="247" customFormat="1">
      <c r="B354" s="331" t="s">
        <v>83</v>
      </c>
      <c r="C354" s="249"/>
      <c r="D354" s="249"/>
      <c r="E354" s="249"/>
      <c r="F354" s="249">
        <f>F359</f>
        <v>0</v>
      </c>
      <c r="G354" s="249">
        <f t="shared" ref="G354:P354" si="182">G359</f>
        <v>0</v>
      </c>
      <c r="H354" s="249">
        <f t="shared" si="182"/>
        <v>1647.0011571385407</v>
      </c>
      <c r="I354" s="311">
        <f t="shared" si="182"/>
        <v>1298.2486621144546</v>
      </c>
      <c r="J354" s="249">
        <f t="shared" si="182"/>
        <v>432.74955403815153</v>
      </c>
      <c r="K354" s="249">
        <f t="shared" si="182"/>
        <v>1730.9982161526061</v>
      </c>
      <c r="L354" s="249">
        <f t="shared" si="182"/>
        <v>1767.3491786918107</v>
      </c>
      <c r="M354" s="249">
        <f t="shared" si="182"/>
        <v>1777.9532737639615</v>
      </c>
      <c r="N354" s="249">
        <f t="shared" si="182"/>
        <v>1795.7328065016011</v>
      </c>
      <c r="O354" s="249">
        <f t="shared" si="182"/>
        <v>1817.2816001796202</v>
      </c>
      <c r="P354" s="249">
        <f t="shared" si="182"/>
        <v>1840.906260981955</v>
      </c>
      <c r="Q354" s="249"/>
    </row>
    <row r="355" spans="1:17" s="247" customFormat="1"/>
    <row r="356" spans="1:17" s="247" customFormat="1">
      <c r="B356" s="247" t="s">
        <v>578</v>
      </c>
      <c r="F356" s="247">
        <v>0</v>
      </c>
      <c r="G356" s="247">
        <v>0</v>
      </c>
      <c r="H356" s="247">
        <v>0</v>
      </c>
      <c r="I356" s="247">
        <f>K356-J356</f>
        <v>227.14952279148585</v>
      </c>
      <c r="J356" s="247">
        <f>K356/4</f>
        <v>75.71650759716195</v>
      </c>
      <c r="K356" s="247">
        <f t="shared" ref="K356:P356" si="183">K209*K357</f>
        <v>302.8660303886478</v>
      </c>
      <c r="L356" s="247">
        <f t="shared" si="183"/>
        <v>795.55284552940452</v>
      </c>
      <c r="M356" s="247">
        <f t="shared" si="183"/>
        <v>1772.7758307635252</v>
      </c>
      <c r="N356" s="247">
        <f t="shared" si="183"/>
        <v>3004.1087659027548</v>
      </c>
      <c r="O356" s="247">
        <f t="shared" si="183"/>
        <v>4584.3373108855503</v>
      </c>
      <c r="P356" s="247">
        <f t="shared" si="183"/>
        <v>6335.7737245082399</v>
      </c>
    </row>
    <row r="357" spans="1:17" s="247" customFormat="1">
      <c r="C357" s="247" t="s">
        <v>579</v>
      </c>
      <c r="I357" s="247">
        <v>0</v>
      </c>
      <c r="K357" s="303">
        <f>'Physical Security'!K217</f>
        <v>4.1839395458622357E-2</v>
      </c>
      <c r="L357" s="303">
        <f>'Physical Security'!L217</f>
        <v>4.2463584079188536E-2</v>
      </c>
      <c r="M357" s="303">
        <f>'Physical Security'!M217</f>
        <v>4.186582353677458E-2</v>
      </c>
      <c r="N357" s="303">
        <f>'Physical Security'!N217</f>
        <v>4.1303968383137532E-2</v>
      </c>
      <c r="O357" s="303">
        <f>'Physical Security'!O217</f>
        <v>4.11175537254099E-2</v>
      </c>
      <c r="P357" s="303">
        <f>'Physical Security'!P217</f>
        <v>4.095604775659703E-2</v>
      </c>
    </row>
    <row r="358" spans="1:17" s="247" customFormat="1"/>
    <row r="359" spans="1:17" s="247" customFormat="1">
      <c r="B359" s="247" t="s">
        <v>83</v>
      </c>
      <c r="F359" s="247">
        <v>0</v>
      </c>
      <c r="G359" s="247">
        <v>0</v>
      </c>
      <c r="H359" s="247">
        <v>1647.0011571385407</v>
      </c>
      <c r="I359" s="247">
        <f>K359-J359</f>
        <v>1298.2486621144546</v>
      </c>
      <c r="J359" s="247">
        <f>K359/4</f>
        <v>432.74955403815153</v>
      </c>
      <c r="K359" s="247">
        <f>H359*(1+K360)</f>
        <v>1730.9982161526061</v>
      </c>
      <c r="L359" s="247">
        <f>K359*(1+L360)</f>
        <v>1767.3491786918107</v>
      </c>
      <c r="M359" s="247">
        <f t="shared" ref="M359:P359" si="184">L359*(1+M360)</f>
        <v>1777.9532737639615</v>
      </c>
      <c r="N359" s="247">
        <f t="shared" si="184"/>
        <v>1795.7328065016011</v>
      </c>
      <c r="O359" s="247">
        <f t="shared" si="184"/>
        <v>1817.2816001796202</v>
      </c>
      <c r="P359" s="247">
        <f t="shared" si="184"/>
        <v>1840.906260981955</v>
      </c>
    </row>
    <row r="360" spans="1:17" s="247" customFormat="1">
      <c r="I360" s="247">
        <v>0</v>
      </c>
      <c r="K360" s="303">
        <v>5.0999999999999997E-2</v>
      </c>
      <c r="L360" s="303">
        <v>2.1000000000000001E-2</v>
      </c>
      <c r="M360" s="303">
        <v>6.0000000000000001E-3</v>
      </c>
      <c r="N360" s="303">
        <v>0.01</v>
      </c>
      <c r="O360" s="303">
        <v>1.2E-2</v>
      </c>
      <c r="P360" s="303">
        <v>1.3000000000000001E-2</v>
      </c>
      <c r="Q360" s="303"/>
    </row>
    <row r="361" spans="1:17" s="247" customFormat="1"/>
    <row r="362" spans="1:17">
      <c r="A362" s="154">
        <v>3</v>
      </c>
      <c r="B362" s="162" t="s">
        <v>99</v>
      </c>
      <c r="C362" s="162"/>
      <c r="D362" s="162"/>
      <c r="E362" s="162"/>
      <c r="F362" s="162"/>
      <c r="G362" s="162"/>
      <c r="H362" s="162"/>
      <c r="I362" s="162"/>
      <c r="J362" s="162"/>
      <c r="K362" s="162"/>
      <c r="L362" s="162"/>
      <c r="M362" s="162"/>
      <c r="N362" s="162"/>
      <c r="O362" s="162"/>
      <c r="P362" s="162"/>
      <c r="Q362" s="162"/>
    </row>
    <row r="364" spans="1:17">
      <c r="B364" s="196" t="s">
        <v>434</v>
      </c>
      <c r="C364" s="196"/>
      <c r="D364" s="196"/>
      <c r="E364" s="196"/>
      <c r="F364" s="196"/>
      <c r="G364" s="196"/>
      <c r="H364" s="196"/>
      <c r="I364" s="197"/>
      <c r="J364" s="196"/>
      <c r="K364" s="196"/>
      <c r="L364" s="196"/>
      <c r="M364" s="196"/>
      <c r="N364" s="196"/>
      <c r="O364" s="196"/>
      <c r="P364" s="196"/>
      <c r="Q364" s="196"/>
    </row>
    <row r="365" spans="1:17" s="171" customFormat="1">
      <c r="B365" s="202" t="s">
        <v>66</v>
      </c>
      <c r="E365" s="171">
        <f t="shared" ref="E365:G365" si="185">SUM(E366:E369)</f>
        <v>0</v>
      </c>
      <c r="F365" s="171">
        <f t="shared" si="185"/>
        <v>2048.3296679999999</v>
      </c>
      <c r="G365" s="171">
        <f t="shared" si="185"/>
        <v>3314.683141</v>
      </c>
      <c r="H365" s="171">
        <f t="shared" ref="H365:P365" si="186">SUM(H366:H369)</f>
        <v>4248.3675599999988</v>
      </c>
      <c r="I365" s="278">
        <f t="shared" si="186"/>
        <v>6532.7479418538751</v>
      </c>
      <c r="J365" s="171">
        <f t="shared" si="186"/>
        <v>2177.5826472846247</v>
      </c>
      <c r="K365" s="171">
        <f t="shared" si="186"/>
        <v>8710.3305891384989</v>
      </c>
      <c r="L365" s="171">
        <f t="shared" si="186"/>
        <v>7664.8200082305275</v>
      </c>
      <c r="M365" s="171">
        <f t="shared" si="186"/>
        <v>11405.34154728168</v>
      </c>
      <c r="N365" s="171">
        <f t="shared" si="186"/>
        <v>18352.881089581071</v>
      </c>
      <c r="O365" s="171">
        <f t="shared" si="186"/>
        <v>27816.467933164105</v>
      </c>
      <c r="P365" s="171">
        <f t="shared" si="186"/>
        <v>37291.76869912773</v>
      </c>
    </row>
    <row r="366" spans="1:17">
      <c r="B366" s="170" t="s">
        <v>79</v>
      </c>
      <c r="E366" s="154">
        <f>E389</f>
        <v>0</v>
      </c>
      <c r="F366" s="154">
        <f t="shared" ref="F366:F368" si="187">F389</f>
        <v>1728.3296679999999</v>
      </c>
      <c r="G366" s="154">
        <f>G389</f>
        <v>2314.683141</v>
      </c>
      <c r="H366" s="154">
        <f t="shared" ref="H366:P368" si="188">H389</f>
        <v>2348.3675599999992</v>
      </c>
      <c r="I366" s="221">
        <f t="shared" si="188"/>
        <v>1709.0635788538748</v>
      </c>
      <c r="J366" s="154">
        <f t="shared" si="188"/>
        <v>569.68785961795822</v>
      </c>
      <c r="K366" s="154">
        <f t="shared" si="188"/>
        <v>2278.7514384718329</v>
      </c>
      <c r="L366" s="154">
        <f t="shared" si="188"/>
        <v>2360.786490256819</v>
      </c>
      <c r="M366" s="154">
        <f t="shared" si="188"/>
        <v>2405.6414335716981</v>
      </c>
      <c r="N366" s="154">
        <f t="shared" si="188"/>
        <v>2460.9711865438471</v>
      </c>
      <c r="O366" s="154">
        <f t="shared" si="188"/>
        <v>2539.7222645132506</v>
      </c>
      <c r="P366" s="154">
        <f t="shared" si="188"/>
        <v>2626.0728215067011</v>
      </c>
    </row>
    <row r="367" spans="1:17">
      <c r="B367" s="170" t="s">
        <v>580</v>
      </c>
      <c r="F367" s="154">
        <f t="shared" si="187"/>
        <v>320</v>
      </c>
      <c r="G367" s="154">
        <f>G390</f>
        <v>1000</v>
      </c>
      <c r="H367" s="154">
        <f t="shared" si="188"/>
        <v>1900</v>
      </c>
      <c r="I367" s="221">
        <f t="shared" si="188"/>
        <v>4823.0093630000001</v>
      </c>
      <c r="J367" s="154">
        <f t="shared" si="188"/>
        <v>1607.6697876666667</v>
      </c>
      <c r="K367" s="154">
        <f t="shared" si="188"/>
        <v>6430.6791506666668</v>
      </c>
      <c r="L367" s="154">
        <f t="shared" si="188"/>
        <v>5303.1191179737089</v>
      </c>
      <c r="M367" s="154">
        <f t="shared" si="188"/>
        <v>8998.7820561099816</v>
      </c>
      <c r="N367" s="154">
        <f t="shared" si="188"/>
        <v>15890.977156515622</v>
      </c>
      <c r="O367" s="154">
        <f t="shared" si="188"/>
        <v>25275.795199945347</v>
      </c>
      <c r="P367" s="154">
        <f t="shared" si="188"/>
        <v>34664.723548135291</v>
      </c>
    </row>
    <row r="368" spans="1:17">
      <c r="B368" s="170" t="s">
        <v>101</v>
      </c>
      <c r="E368" s="154">
        <f>E391</f>
        <v>0</v>
      </c>
      <c r="F368" s="154">
        <f t="shared" si="187"/>
        <v>0</v>
      </c>
      <c r="G368" s="154">
        <f>G391</f>
        <v>0</v>
      </c>
      <c r="H368" s="154">
        <f t="shared" si="188"/>
        <v>0</v>
      </c>
      <c r="I368" s="221">
        <f t="shared" si="188"/>
        <v>0.67500000000000004</v>
      </c>
      <c r="J368" s="154">
        <f t="shared" si="188"/>
        <v>0.22500000000000001</v>
      </c>
      <c r="K368" s="154">
        <f t="shared" si="188"/>
        <v>0.9</v>
      </c>
      <c r="L368" s="154">
        <f t="shared" si="188"/>
        <v>0.91439999999999999</v>
      </c>
      <c r="M368" s="154">
        <f t="shared" si="188"/>
        <v>0.91805760000000003</v>
      </c>
      <c r="N368" s="154">
        <f t="shared" si="188"/>
        <v>0.93274652160000004</v>
      </c>
      <c r="O368" s="154">
        <f t="shared" si="188"/>
        <v>0.95046870551039997</v>
      </c>
      <c r="P368" s="154">
        <f t="shared" si="188"/>
        <v>0.97232948573713907</v>
      </c>
    </row>
    <row r="369" spans="2:17">
      <c r="B369" s="170" t="s">
        <v>16</v>
      </c>
      <c r="E369" s="154">
        <f t="shared" ref="E369:P369" si="189">E500</f>
        <v>0</v>
      </c>
      <c r="F369" s="154">
        <f t="shared" si="189"/>
        <v>0</v>
      </c>
      <c r="G369" s="154">
        <f t="shared" si="189"/>
        <v>0</v>
      </c>
      <c r="H369" s="154">
        <f t="shared" si="189"/>
        <v>0</v>
      </c>
      <c r="I369" s="221">
        <f t="shared" si="189"/>
        <v>0</v>
      </c>
      <c r="J369" s="154">
        <f t="shared" si="189"/>
        <v>0</v>
      </c>
      <c r="K369" s="154">
        <f t="shared" si="189"/>
        <v>0</v>
      </c>
      <c r="L369" s="154">
        <f t="shared" si="189"/>
        <v>0</v>
      </c>
      <c r="M369" s="154">
        <f t="shared" si="189"/>
        <v>0</v>
      </c>
      <c r="N369" s="154">
        <f t="shared" si="189"/>
        <v>0</v>
      </c>
      <c r="O369" s="154">
        <f t="shared" si="189"/>
        <v>0</v>
      </c>
      <c r="P369" s="154">
        <f t="shared" si="189"/>
        <v>0</v>
      </c>
    </row>
    <row r="370" spans="2:17" s="171" customFormat="1">
      <c r="B370" s="202" t="s">
        <v>557</v>
      </c>
      <c r="E370" s="171">
        <f>SUM(E371:E372)</f>
        <v>0</v>
      </c>
      <c r="F370" s="171">
        <f>SUM(F371:F372)</f>
        <v>0</v>
      </c>
      <c r="G370" s="171">
        <f>SUM(G371:G372)</f>
        <v>0</v>
      </c>
      <c r="H370" s="171">
        <f t="shared" ref="H370:P370" si="190">SUM(H371:H372)</f>
        <v>1501.6559949999998</v>
      </c>
      <c r="I370" s="278">
        <f t="shared" si="190"/>
        <v>1507.3803380587499</v>
      </c>
      <c r="J370" s="171">
        <f t="shared" si="190"/>
        <v>502.46011268624994</v>
      </c>
      <c r="K370" s="171">
        <f t="shared" si="190"/>
        <v>2009.8404507449998</v>
      </c>
      <c r="L370" s="171">
        <f t="shared" si="190"/>
        <v>2272.5210139813471</v>
      </c>
      <c r="M370" s="171">
        <f t="shared" si="190"/>
        <v>2398.2303246865627</v>
      </c>
      <c r="N370" s="171">
        <f t="shared" si="190"/>
        <v>2484.9089137782948</v>
      </c>
      <c r="O370" s="171">
        <f t="shared" si="190"/>
        <v>2548.1707954410563</v>
      </c>
      <c r="P370" s="171">
        <f t="shared" si="190"/>
        <v>2600.6124660822115</v>
      </c>
    </row>
    <row r="371" spans="2:17">
      <c r="B371" s="170" t="s">
        <v>79</v>
      </c>
      <c r="E371" s="154">
        <f t="shared" ref="E371:P372" si="191">E412</f>
        <v>0</v>
      </c>
      <c r="F371" s="154">
        <f t="shared" si="191"/>
        <v>0</v>
      </c>
      <c r="G371" s="154">
        <f t="shared" si="191"/>
        <v>0</v>
      </c>
      <c r="H371" s="154">
        <f t="shared" si="191"/>
        <v>400</v>
      </c>
      <c r="I371" s="221">
        <f t="shared" si="191"/>
        <v>639</v>
      </c>
      <c r="J371" s="154">
        <f t="shared" si="191"/>
        <v>213</v>
      </c>
      <c r="K371" s="154">
        <f t="shared" si="191"/>
        <v>852</v>
      </c>
      <c r="L371" s="154">
        <f t="shared" si="191"/>
        <v>1090.3659137707023</v>
      </c>
      <c r="M371" s="154">
        <f t="shared" si="191"/>
        <v>1208.9822938746543</v>
      </c>
      <c r="N371" s="154">
        <f t="shared" si="191"/>
        <v>1283.7684026582676</v>
      </c>
      <c r="O371" s="154">
        <f t="shared" si="191"/>
        <v>1332.6165981875886</v>
      </c>
      <c r="P371" s="154">
        <f t="shared" si="191"/>
        <v>1369.2560642644492</v>
      </c>
    </row>
    <row r="372" spans="2:17">
      <c r="B372" s="170" t="s">
        <v>101</v>
      </c>
      <c r="E372" s="154">
        <f t="shared" si="191"/>
        <v>0</v>
      </c>
      <c r="F372" s="154">
        <f t="shared" si="191"/>
        <v>0</v>
      </c>
      <c r="G372" s="154">
        <f t="shared" si="191"/>
        <v>0</v>
      </c>
      <c r="H372" s="154">
        <f t="shared" si="191"/>
        <v>1101.6559949999998</v>
      </c>
      <c r="I372" s="221">
        <f t="shared" si="191"/>
        <v>868.38033805874989</v>
      </c>
      <c r="J372" s="154">
        <f t="shared" si="191"/>
        <v>289.46011268624994</v>
      </c>
      <c r="K372" s="154">
        <f t="shared" si="191"/>
        <v>1157.8404507449998</v>
      </c>
      <c r="L372" s="154">
        <f t="shared" si="191"/>
        <v>1182.1551002106446</v>
      </c>
      <c r="M372" s="154">
        <f t="shared" si="191"/>
        <v>1189.2480308119084</v>
      </c>
      <c r="N372" s="154">
        <f t="shared" si="191"/>
        <v>1201.1405111200274</v>
      </c>
      <c r="O372" s="154">
        <f t="shared" si="191"/>
        <v>1215.5541972534677</v>
      </c>
      <c r="P372" s="154">
        <f t="shared" si="191"/>
        <v>1231.3564018177626</v>
      </c>
    </row>
    <row r="373" spans="2:17" s="171" customFormat="1">
      <c r="B373" s="202" t="s">
        <v>563</v>
      </c>
      <c r="E373" s="171">
        <f t="shared" ref="E373:P373" si="192">SUM(E374:E377)</f>
        <v>0</v>
      </c>
      <c r="F373" s="171">
        <f t="shared" si="192"/>
        <v>4544.7404029999998</v>
      </c>
      <c r="G373" s="171">
        <f t="shared" si="192"/>
        <v>5896.9124750000001</v>
      </c>
      <c r="H373" s="171">
        <f t="shared" si="192"/>
        <v>4658.9919863378764</v>
      </c>
      <c r="I373" s="278">
        <f t="shared" si="192"/>
        <v>3999.5332270753561</v>
      </c>
      <c r="J373" s="171">
        <f t="shared" si="192"/>
        <v>1333.177742358452</v>
      </c>
      <c r="K373" s="171">
        <f t="shared" si="192"/>
        <v>5332.7109694338078</v>
      </c>
      <c r="L373" s="171">
        <f t="shared" si="192"/>
        <v>5761.753256350923</v>
      </c>
      <c r="M373" s="171">
        <f t="shared" si="192"/>
        <v>6146.4260118998654</v>
      </c>
      <c r="N373" s="171">
        <f t="shared" si="192"/>
        <v>6300.1994595424412</v>
      </c>
      <c r="O373" s="171">
        <f t="shared" si="192"/>
        <v>6453.2324153179334</v>
      </c>
      <c r="P373" s="171">
        <f t="shared" si="192"/>
        <v>6502.9550574425821</v>
      </c>
    </row>
    <row r="374" spans="2:17">
      <c r="B374" s="170" t="s">
        <v>79</v>
      </c>
      <c r="E374" s="154">
        <f t="shared" ref="E374:P376" si="193">E433</f>
        <v>0</v>
      </c>
      <c r="F374" s="154">
        <f t="shared" si="193"/>
        <v>3384.4386809999996</v>
      </c>
      <c r="G374" s="154">
        <f t="shared" si="193"/>
        <v>3779.1003199999996</v>
      </c>
      <c r="H374" s="154">
        <f t="shared" si="193"/>
        <v>3156.7528459999999</v>
      </c>
      <c r="I374" s="221">
        <f t="shared" si="193"/>
        <v>2566.2545578407935</v>
      </c>
      <c r="J374" s="154">
        <f t="shared" si="193"/>
        <v>855.41818594693109</v>
      </c>
      <c r="K374" s="154">
        <f t="shared" si="193"/>
        <v>3421.6727437877244</v>
      </c>
      <c r="L374" s="154">
        <f t="shared" si="193"/>
        <v>3584.7142364562583</v>
      </c>
      <c r="M374" s="154">
        <f t="shared" si="193"/>
        <v>3760.8327767745786</v>
      </c>
      <c r="N374" s="154">
        <f t="shared" si="193"/>
        <v>3734.9210634753563</v>
      </c>
      <c r="O374" s="154">
        <f t="shared" si="193"/>
        <v>3856.6210227379279</v>
      </c>
      <c r="P374" s="154">
        <f t="shared" si="193"/>
        <v>3904.4885336638895</v>
      </c>
    </row>
    <row r="375" spans="2:17">
      <c r="B375" s="170" t="s">
        <v>90</v>
      </c>
      <c r="E375" s="154">
        <f t="shared" si="193"/>
        <v>0</v>
      </c>
      <c r="F375" s="154">
        <f t="shared" si="193"/>
        <v>326.239306</v>
      </c>
      <c r="G375" s="154">
        <f t="shared" si="193"/>
        <v>586.05103999999994</v>
      </c>
      <c r="H375" s="154">
        <f t="shared" si="193"/>
        <v>415.56780900000001</v>
      </c>
      <c r="I375" s="221">
        <f t="shared" si="193"/>
        <v>576.7099923074818</v>
      </c>
      <c r="J375" s="154">
        <f t="shared" si="193"/>
        <v>192.2366641024939</v>
      </c>
      <c r="K375" s="154">
        <f t="shared" si="193"/>
        <v>768.94665640997562</v>
      </c>
      <c r="L375" s="154">
        <f t="shared" si="193"/>
        <v>1010.9635277045983</v>
      </c>
      <c r="M375" s="154">
        <f t="shared" si="193"/>
        <v>1212.5212899820804</v>
      </c>
      <c r="N375" s="154">
        <f t="shared" si="193"/>
        <v>1380.4757314724468</v>
      </c>
      <c r="O375" s="154">
        <f t="shared" si="193"/>
        <v>1397.5910960102319</v>
      </c>
      <c r="P375" s="154">
        <f t="shared" si="193"/>
        <v>1383.8589633535114</v>
      </c>
    </row>
    <row r="376" spans="2:17">
      <c r="B376" s="170" t="s">
        <v>101</v>
      </c>
      <c r="E376" s="154">
        <f t="shared" si="193"/>
        <v>0</v>
      </c>
      <c r="F376" s="154">
        <f t="shared" si="193"/>
        <v>834.06241599999987</v>
      </c>
      <c r="G376" s="154">
        <f t="shared" si="193"/>
        <v>1531.761115</v>
      </c>
      <c r="H376" s="154">
        <f t="shared" si="193"/>
        <v>1086.6713313378759</v>
      </c>
      <c r="I376" s="221">
        <f t="shared" si="193"/>
        <v>856.56867692708056</v>
      </c>
      <c r="J376" s="154">
        <f t="shared" si="193"/>
        <v>285.52289230902687</v>
      </c>
      <c r="K376" s="154">
        <f t="shared" si="193"/>
        <v>1142.0915692361075</v>
      </c>
      <c r="L376" s="154">
        <f t="shared" si="193"/>
        <v>1166.0754921900657</v>
      </c>
      <c r="M376" s="154">
        <f t="shared" si="193"/>
        <v>1173.071945143206</v>
      </c>
      <c r="N376" s="154">
        <f t="shared" si="193"/>
        <v>1184.8026645946381</v>
      </c>
      <c r="O376" s="154">
        <f t="shared" si="193"/>
        <v>1199.0202965697738</v>
      </c>
      <c r="P376" s="154">
        <f t="shared" si="193"/>
        <v>1214.6075604251807</v>
      </c>
    </row>
    <row r="377" spans="2:17">
      <c r="B377" s="170" t="s">
        <v>16</v>
      </c>
      <c r="E377" s="154">
        <f>E506</f>
        <v>0</v>
      </c>
      <c r="F377" s="154">
        <f>F506</f>
        <v>0</v>
      </c>
      <c r="G377" s="154">
        <f>G506</f>
        <v>0</v>
      </c>
      <c r="H377" s="154">
        <f t="shared" ref="H377:P377" si="194">H506</f>
        <v>0</v>
      </c>
      <c r="I377" s="221">
        <f t="shared" si="194"/>
        <v>0</v>
      </c>
      <c r="J377" s="154">
        <f t="shared" si="194"/>
        <v>0</v>
      </c>
      <c r="K377" s="154">
        <f t="shared" si="194"/>
        <v>0</v>
      </c>
      <c r="L377" s="154">
        <f t="shared" si="194"/>
        <v>0</v>
      </c>
      <c r="M377" s="154">
        <f t="shared" si="194"/>
        <v>0</v>
      </c>
      <c r="N377" s="154">
        <f t="shared" si="194"/>
        <v>0</v>
      </c>
      <c r="O377" s="154">
        <f t="shared" si="194"/>
        <v>0</v>
      </c>
      <c r="P377" s="154">
        <f t="shared" si="194"/>
        <v>0</v>
      </c>
    </row>
    <row r="378" spans="2:17" s="171" customFormat="1">
      <c r="B378" s="202" t="s">
        <v>70</v>
      </c>
      <c r="E378" s="171">
        <f>SUM(E379:E381)</f>
        <v>0</v>
      </c>
      <c r="F378" s="171">
        <f t="shared" ref="F378:P378" si="195">SUM(F379:F381)</f>
        <v>0</v>
      </c>
      <c r="G378" s="171">
        <f t="shared" si="195"/>
        <v>0</v>
      </c>
      <c r="H378" s="171">
        <f t="shared" si="195"/>
        <v>0</v>
      </c>
      <c r="I378" s="278">
        <f t="shared" si="195"/>
        <v>362.19663235670333</v>
      </c>
      <c r="J378" s="171">
        <f t="shared" si="195"/>
        <v>120.73221078556777</v>
      </c>
      <c r="K378" s="171">
        <f t="shared" si="195"/>
        <v>482.92884314227109</v>
      </c>
      <c r="L378" s="171">
        <f t="shared" si="195"/>
        <v>1553.6663856751243</v>
      </c>
      <c r="M378" s="171">
        <f t="shared" si="195"/>
        <v>2835.5667633138182</v>
      </c>
      <c r="N378" s="171">
        <f t="shared" si="195"/>
        <v>4577.5178322563643</v>
      </c>
      <c r="O378" s="171">
        <f t="shared" si="195"/>
        <v>6676.0445863046007</v>
      </c>
      <c r="P378" s="171">
        <f t="shared" si="195"/>
        <v>8772.5913754732464</v>
      </c>
    </row>
    <row r="379" spans="2:17">
      <c r="B379" s="170" t="s">
        <v>90</v>
      </c>
      <c r="F379" s="154">
        <f>F466</f>
        <v>0</v>
      </c>
      <c r="G379" s="154">
        <f t="shared" ref="G379:P380" si="196">G466</f>
        <v>0</v>
      </c>
      <c r="H379" s="154">
        <f t="shared" si="196"/>
        <v>0</v>
      </c>
      <c r="I379" s="221">
        <f t="shared" si="196"/>
        <v>62.196632356703319</v>
      </c>
      <c r="J379" s="154">
        <f t="shared" si="196"/>
        <v>20.732210785567773</v>
      </c>
      <c r="K379" s="154">
        <f t="shared" si="196"/>
        <v>82.928843142271091</v>
      </c>
      <c r="L379" s="154">
        <f t="shared" si="196"/>
        <v>1145.2663856751242</v>
      </c>
      <c r="M379" s="154">
        <f t="shared" si="196"/>
        <v>2424.7163633138184</v>
      </c>
      <c r="N379" s="154">
        <f t="shared" si="196"/>
        <v>4162.5589282563642</v>
      </c>
      <c r="O379" s="154">
        <f t="shared" si="196"/>
        <v>6256.1061754566008</v>
      </c>
      <c r="P379" s="154">
        <f t="shared" si="196"/>
        <v>8347.1937652842225</v>
      </c>
    </row>
    <row r="380" spans="2:17">
      <c r="B380" s="170" t="s">
        <v>101</v>
      </c>
      <c r="E380" s="154">
        <f>E467</f>
        <v>0</v>
      </c>
      <c r="F380" s="154">
        <f>F467</f>
        <v>0</v>
      </c>
      <c r="G380" s="154">
        <f>G467</f>
        <v>0</v>
      </c>
      <c r="H380" s="154">
        <f t="shared" si="196"/>
        <v>0</v>
      </c>
      <c r="I380" s="221">
        <f t="shared" si="196"/>
        <v>300</v>
      </c>
      <c r="J380" s="154">
        <f t="shared" si="196"/>
        <v>100</v>
      </c>
      <c r="K380" s="154">
        <f t="shared" si="196"/>
        <v>400</v>
      </c>
      <c r="L380" s="154">
        <f t="shared" si="196"/>
        <v>408.4</v>
      </c>
      <c r="M380" s="154">
        <f t="shared" si="196"/>
        <v>410.85039999999998</v>
      </c>
      <c r="N380" s="154">
        <f t="shared" si="196"/>
        <v>414.95890399999996</v>
      </c>
      <c r="O380" s="154">
        <f t="shared" si="196"/>
        <v>419.93841084799999</v>
      </c>
      <c r="P380" s="154">
        <f t="shared" si="196"/>
        <v>425.39761018902396</v>
      </c>
    </row>
    <row r="381" spans="2:17">
      <c r="B381" s="170" t="s">
        <v>16</v>
      </c>
      <c r="E381" s="154">
        <f>E503</f>
        <v>0</v>
      </c>
      <c r="F381" s="154">
        <f>F503</f>
        <v>0</v>
      </c>
      <c r="G381" s="154">
        <f>G503</f>
        <v>0</v>
      </c>
      <c r="H381" s="154">
        <f t="shared" ref="H381:P381" si="197">H503</f>
        <v>0</v>
      </c>
      <c r="I381" s="221">
        <f t="shared" si="197"/>
        <v>0</v>
      </c>
      <c r="J381" s="154">
        <f t="shared" si="197"/>
        <v>0</v>
      </c>
      <c r="K381" s="154">
        <f t="shared" si="197"/>
        <v>0</v>
      </c>
      <c r="L381" s="154">
        <f t="shared" si="197"/>
        <v>0</v>
      </c>
      <c r="M381" s="154">
        <f t="shared" si="197"/>
        <v>0</v>
      </c>
      <c r="N381" s="154">
        <f t="shared" si="197"/>
        <v>0</v>
      </c>
      <c r="O381" s="154">
        <f t="shared" si="197"/>
        <v>0</v>
      </c>
      <c r="P381" s="154">
        <f t="shared" si="197"/>
        <v>0</v>
      </c>
    </row>
    <row r="382" spans="2:17" ht="13.8" thickBot="1">
      <c r="B382" s="175" t="s">
        <v>581</v>
      </c>
      <c r="C382" s="175"/>
      <c r="D382" s="175"/>
      <c r="E382" s="175">
        <f>SUM(E365,E370,E373,E378)</f>
        <v>0</v>
      </c>
      <c r="F382" s="175">
        <f>SUM(F365,F370,F373,F378)</f>
        <v>6593.0700710000001</v>
      </c>
      <c r="G382" s="175">
        <f>SUM(G365,G370,G373,G378)</f>
        <v>9211.5956160000005</v>
      </c>
      <c r="H382" s="175">
        <f t="shared" ref="H382:P382" si="198">SUM(H365,H370,H373,H378)</f>
        <v>10409.015541337874</v>
      </c>
      <c r="I382" s="200">
        <f t="shared" si="198"/>
        <v>12401.858139344684</v>
      </c>
      <c r="J382" s="175">
        <f t="shared" si="198"/>
        <v>4133.9527131148943</v>
      </c>
      <c r="K382" s="175">
        <f t="shared" si="198"/>
        <v>16535.810852459577</v>
      </c>
      <c r="L382" s="175">
        <f t="shared" si="198"/>
        <v>17252.760664237921</v>
      </c>
      <c r="M382" s="175">
        <f t="shared" si="198"/>
        <v>22785.564647181927</v>
      </c>
      <c r="N382" s="175">
        <f t="shared" si="198"/>
        <v>31715.507295158168</v>
      </c>
      <c r="O382" s="175">
        <f t="shared" si="198"/>
        <v>43493.915730227702</v>
      </c>
      <c r="P382" s="175">
        <f t="shared" si="198"/>
        <v>55167.927598125767</v>
      </c>
      <c r="Q382" s="175"/>
    </row>
    <row r="386" spans="2:17">
      <c r="B386" s="171" t="s">
        <v>582</v>
      </c>
    </row>
    <row r="388" spans="2:17">
      <c r="B388" s="196" t="s">
        <v>547</v>
      </c>
      <c r="C388" s="196"/>
      <c r="D388" s="196"/>
      <c r="E388" s="196"/>
      <c r="F388" s="196"/>
      <c r="G388" s="196"/>
      <c r="H388" s="196"/>
      <c r="I388" s="197"/>
      <c r="J388" s="196"/>
      <c r="K388" s="196"/>
      <c r="L388" s="196"/>
      <c r="M388" s="196"/>
      <c r="N388" s="196"/>
      <c r="O388" s="196"/>
      <c r="P388" s="196"/>
      <c r="Q388" s="196"/>
    </row>
    <row r="389" spans="2:17">
      <c r="B389" s="168" t="s">
        <v>79</v>
      </c>
      <c r="E389" s="154">
        <f t="shared" ref="E389:P389" si="199">E394</f>
        <v>0</v>
      </c>
      <c r="F389" s="154">
        <f t="shared" si="199"/>
        <v>1728.3296679999999</v>
      </c>
      <c r="G389" s="154">
        <f t="shared" si="199"/>
        <v>2314.683141</v>
      </c>
      <c r="H389" s="154">
        <f t="shared" si="199"/>
        <v>2348.3675599999992</v>
      </c>
      <c r="I389" s="221">
        <f t="shared" si="199"/>
        <v>1709.0635788538748</v>
      </c>
      <c r="J389" s="154">
        <f t="shared" si="199"/>
        <v>569.68785961795822</v>
      </c>
      <c r="K389" s="154">
        <f t="shared" si="199"/>
        <v>2278.7514384718329</v>
      </c>
      <c r="L389" s="154">
        <f t="shared" si="199"/>
        <v>2360.786490256819</v>
      </c>
      <c r="M389" s="154">
        <f t="shared" si="199"/>
        <v>2405.6414335716981</v>
      </c>
      <c r="N389" s="154">
        <f t="shared" si="199"/>
        <v>2460.9711865438471</v>
      </c>
      <c r="O389" s="154">
        <f t="shared" si="199"/>
        <v>2539.7222645132506</v>
      </c>
      <c r="P389" s="154">
        <f t="shared" si="199"/>
        <v>2626.0728215067011</v>
      </c>
    </row>
    <row r="390" spans="2:17">
      <c r="B390" s="168" t="s">
        <v>583</v>
      </c>
      <c r="F390" s="154">
        <f>F401</f>
        <v>320</v>
      </c>
      <c r="G390" s="154">
        <f t="shared" ref="G390:P390" si="200">G401</f>
        <v>1000</v>
      </c>
      <c r="H390" s="154">
        <f t="shared" si="200"/>
        <v>1900</v>
      </c>
      <c r="I390" s="221">
        <f t="shared" si="200"/>
        <v>4823.0093630000001</v>
      </c>
      <c r="J390" s="154">
        <f t="shared" si="200"/>
        <v>1607.6697876666667</v>
      </c>
      <c r="K390" s="154">
        <f t="shared" si="200"/>
        <v>6430.6791506666668</v>
      </c>
      <c r="L390" s="154">
        <f t="shared" si="200"/>
        <v>5303.1191179737089</v>
      </c>
      <c r="M390" s="154">
        <f t="shared" si="200"/>
        <v>8998.7820561099816</v>
      </c>
      <c r="N390" s="154">
        <f t="shared" si="200"/>
        <v>15890.977156515622</v>
      </c>
      <c r="O390" s="154">
        <f t="shared" si="200"/>
        <v>25275.795199945347</v>
      </c>
      <c r="P390" s="154">
        <f t="shared" si="200"/>
        <v>34664.723548135291</v>
      </c>
    </row>
    <row r="391" spans="2:17">
      <c r="B391" s="248" t="s">
        <v>101</v>
      </c>
      <c r="C391" s="177"/>
      <c r="D391" s="177"/>
      <c r="E391" s="177">
        <f>E405</f>
        <v>0</v>
      </c>
      <c r="F391" s="177">
        <f t="shared" ref="F391:P391" si="201">F405</f>
        <v>0</v>
      </c>
      <c r="G391" s="177">
        <f t="shared" si="201"/>
        <v>0</v>
      </c>
      <c r="H391" s="177">
        <f t="shared" si="201"/>
        <v>0</v>
      </c>
      <c r="I391" s="225">
        <f t="shared" si="201"/>
        <v>0.67500000000000004</v>
      </c>
      <c r="J391" s="340">
        <f t="shared" si="201"/>
        <v>0.22500000000000001</v>
      </c>
      <c r="K391" s="177">
        <f t="shared" si="201"/>
        <v>0.9</v>
      </c>
      <c r="L391" s="177">
        <f t="shared" si="201"/>
        <v>0.91439999999999999</v>
      </c>
      <c r="M391" s="177">
        <f t="shared" si="201"/>
        <v>0.91805760000000003</v>
      </c>
      <c r="N391" s="177">
        <f t="shared" si="201"/>
        <v>0.93274652160000004</v>
      </c>
      <c r="O391" s="177">
        <f t="shared" si="201"/>
        <v>0.95046870551039997</v>
      </c>
      <c r="P391" s="177">
        <f t="shared" si="201"/>
        <v>0.97232948573713907</v>
      </c>
      <c r="Q391" s="177"/>
    </row>
    <row r="392" spans="2:17">
      <c r="F392" s="291"/>
      <c r="G392" s="291"/>
      <c r="H392" s="291"/>
      <c r="I392" s="291"/>
      <c r="J392" s="291"/>
      <c r="K392" s="291"/>
      <c r="L392" s="291"/>
      <c r="M392" s="291"/>
      <c r="N392" s="291"/>
      <c r="O392" s="291"/>
      <c r="P392" s="291"/>
    </row>
    <row r="393" spans="2:17">
      <c r="I393" s="409"/>
    </row>
    <row r="394" spans="2:17">
      <c r="B394" s="154" t="s">
        <v>106</v>
      </c>
      <c r="E394" s="171">
        <v>0</v>
      </c>
      <c r="F394" s="251">
        <f>F395*F397</f>
        <v>1728.3296679999999</v>
      </c>
      <c r="G394" s="251">
        <f t="shared" ref="G394:P394" si="202">G395*G397</f>
        <v>2314.683141</v>
      </c>
      <c r="H394" s="251">
        <f t="shared" si="202"/>
        <v>2348.3675599999992</v>
      </c>
      <c r="I394" s="433">
        <f>K394-J394</f>
        <v>1709.0635788538748</v>
      </c>
      <c r="J394" s="251">
        <f>K394/4</f>
        <v>569.68785961795822</v>
      </c>
      <c r="K394" s="251">
        <f t="shared" si="202"/>
        <v>2278.7514384718329</v>
      </c>
      <c r="L394" s="251">
        <f t="shared" si="202"/>
        <v>2360.786490256819</v>
      </c>
      <c r="M394" s="251">
        <f t="shared" si="202"/>
        <v>2405.6414335716981</v>
      </c>
      <c r="N394" s="251">
        <f t="shared" si="202"/>
        <v>2460.9711865438471</v>
      </c>
      <c r="O394" s="251">
        <f t="shared" si="202"/>
        <v>2539.7222645132506</v>
      </c>
      <c r="P394" s="251">
        <f t="shared" si="202"/>
        <v>2626.0728215067011</v>
      </c>
    </row>
    <row r="395" spans="2:17">
      <c r="C395" s="154" t="s">
        <v>584</v>
      </c>
      <c r="F395" s="154">
        <v>9</v>
      </c>
      <c r="G395" s="154">
        <v>14</v>
      </c>
      <c r="H395" s="154">
        <v>13.666666666666666</v>
      </c>
      <c r="I395" s="409">
        <v>0</v>
      </c>
      <c r="K395" s="154">
        <v>13</v>
      </c>
      <c r="L395" s="154">
        <v>13</v>
      </c>
      <c r="M395" s="154">
        <v>13</v>
      </c>
      <c r="N395" s="154">
        <v>13</v>
      </c>
      <c r="O395" s="154">
        <v>13</v>
      </c>
      <c r="P395" s="154">
        <f>O395</f>
        <v>13</v>
      </c>
    </row>
    <row r="396" spans="2:17">
      <c r="C396" s="170" t="s">
        <v>178</v>
      </c>
      <c r="G396" s="291"/>
      <c r="H396" s="291"/>
      <c r="I396" s="409"/>
    </row>
    <row r="397" spans="2:17">
      <c r="C397" s="154" t="s">
        <v>242</v>
      </c>
      <c r="F397" s="234">
        <v>192.03662977777776</v>
      </c>
      <c r="G397" s="234">
        <v>165.33451007142858</v>
      </c>
      <c r="H397" s="234">
        <v>171.83177268292678</v>
      </c>
      <c r="I397" s="423">
        <v>175.288572190141</v>
      </c>
      <c r="J397" s="234"/>
      <c r="K397" s="234">
        <f>I397</f>
        <v>175.288572190141</v>
      </c>
      <c r="L397" s="234">
        <f>K397*(1+L398)</f>
        <v>181.59896078898609</v>
      </c>
      <c r="M397" s="234">
        <f t="shared" ref="M397:P397" si="203">L397*(1+M398)</f>
        <v>185.0493410439768</v>
      </c>
      <c r="N397" s="234">
        <f t="shared" si="203"/>
        <v>189.30547588798825</v>
      </c>
      <c r="O397" s="234">
        <f t="shared" si="203"/>
        <v>195.36325111640389</v>
      </c>
      <c r="P397" s="234">
        <f t="shared" si="203"/>
        <v>202.00560165436161</v>
      </c>
    </row>
    <row r="398" spans="2:17">
      <c r="C398" s="168" t="s">
        <v>178</v>
      </c>
      <c r="G398" s="291">
        <f>G397/F397-1</f>
        <v>-0.13904701273527098</v>
      </c>
      <c r="H398" s="291"/>
      <c r="I398" s="409"/>
      <c r="K398" s="291">
        <v>6.5000000000000002E-2</v>
      </c>
      <c r="L398" s="291">
        <v>3.6000000000000004E-2</v>
      </c>
      <c r="M398" s="291">
        <v>1.9E-2</v>
      </c>
      <c r="N398" s="291">
        <v>2.3E-2</v>
      </c>
      <c r="O398" s="291">
        <v>3.2000000000000001E-2</v>
      </c>
      <c r="P398" s="291">
        <v>3.4000000000000002E-2</v>
      </c>
    </row>
    <row r="399" spans="2:17">
      <c r="C399" s="168"/>
      <c r="G399" s="291"/>
      <c r="H399" s="291"/>
      <c r="I399" s="409"/>
      <c r="K399" s="291"/>
      <c r="L399" s="291"/>
      <c r="M399" s="291"/>
      <c r="N399" s="291"/>
      <c r="O399" s="291"/>
      <c r="P399" s="291"/>
    </row>
    <row r="400" spans="2:17">
      <c r="F400" s="154">
        <f t="shared" ref="F400:P400" si="204">F57</f>
        <v>2778.1461530000001</v>
      </c>
      <c r="G400" s="154">
        <f t="shared" si="204"/>
        <v>7406.8122089999997</v>
      </c>
      <c r="H400" s="154">
        <f t="shared" si="204"/>
        <v>15206.89199</v>
      </c>
      <c r="I400" s="409">
        <f t="shared" si="204"/>
        <v>16194.512715999999</v>
      </c>
      <c r="J400" s="154">
        <f t="shared" si="204"/>
        <v>7160.2498380000015</v>
      </c>
      <c r="K400" s="154">
        <f t="shared" si="204"/>
        <v>23354.762554000001</v>
      </c>
      <c r="L400" s="154">
        <f t="shared" si="204"/>
        <v>37084.749076739223</v>
      </c>
      <c r="M400" s="154">
        <f t="shared" si="204"/>
        <v>62928.545846922949</v>
      </c>
      <c r="N400" s="154">
        <f t="shared" si="204"/>
        <v>111125.71438122814</v>
      </c>
      <c r="O400" s="154">
        <f t="shared" si="204"/>
        <v>176753.81258703041</v>
      </c>
      <c r="P400" s="154">
        <f t="shared" si="204"/>
        <v>242410.65418276429</v>
      </c>
    </row>
    <row r="401" spans="2:17">
      <c r="B401" s="154" t="s">
        <v>585</v>
      </c>
      <c r="F401" s="171">
        <v>320</v>
      </c>
      <c r="G401" s="171">
        <v>1000</v>
      </c>
      <c r="H401" s="171">
        <v>1900</v>
      </c>
      <c r="I401" s="430">
        <v>4823.0093630000001</v>
      </c>
      <c r="J401" s="171">
        <f>I401/3</f>
        <v>1607.6697876666667</v>
      </c>
      <c r="K401" s="171">
        <f>SUM(I401:J401)</f>
        <v>6430.6791506666668</v>
      </c>
      <c r="L401" s="171">
        <f>L57*L402</f>
        <v>5303.1191179737089</v>
      </c>
      <c r="M401" s="171">
        <f>M57*M402</f>
        <v>8998.7820561099816</v>
      </c>
      <c r="N401" s="171">
        <f>N57*N402</f>
        <v>15890.977156515622</v>
      </c>
      <c r="O401" s="171">
        <f>O57*O402</f>
        <v>25275.795199945347</v>
      </c>
      <c r="P401" s="171">
        <f>P57*P402</f>
        <v>34664.723548135291</v>
      </c>
    </row>
    <row r="402" spans="2:17">
      <c r="F402" s="209">
        <f>F401/F400</f>
        <v>0.11518472476851004</v>
      </c>
      <c r="G402" s="209">
        <f t="shared" ref="G402:K402" si="205">G401/G400</f>
        <v>0.13501084836266031</v>
      </c>
      <c r="H402" s="209">
        <f t="shared" si="205"/>
        <v>0.12494334813776763</v>
      </c>
      <c r="I402" s="431">
        <f t="shared" si="205"/>
        <v>0.29781750445846511</v>
      </c>
      <c r="J402" s="209">
        <f t="shared" si="205"/>
        <v>0.22452705199400144</v>
      </c>
      <c r="K402" s="209">
        <f t="shared" si="205"/>
        <v>0.27534765706985431</v>
      </c>
      <c r="L402" s="291">
        <v>0.14299999999999999</v>
      </c>
      <c r="M402" s="291">
        <v>0.14299999999999999</v>
      </c>
      <c r="N402" s="291">
        <v>0.14299999999999999</v>
      </c>
      <c r="O402" s="291">
        <v>0.14299999999999999</v>
      </c>
      <c r="P402" s="291">
        <f>O402</f>
        <v>0.14299999999999999</v>
      </c>
    </row>
    <row r="403" spans="2:17">
      <c r="I403" s="409"/>
    </row>
    <row r="404" spans="2:17">
      <c r="I404" s="409"/>
    </row>
    <row r="405" spans="2:17">
      <c r="B405" s="154" t="s">
        <v>101</v>
      </c>
      <c r="E405" s="171"/>
      <c r="F405" s="171">
        <v>0</v>
      </c>
      <c r="G405" s="171">
        <v>0</v>
      </c>
      <c r="H405" s="171">
        <v>0</v>
      </c>
      <c r="I405" s="430">
        <f>K405-J405</f>
        <v>0.67500000000000004</v>
      </c>
      <c r="J405" s="171">
        <f>K405/4</f>
        <v>0.22500000000000001</v>
      </c>
      <c r="K405" s="171">
        <v>0.9</v>
      </c>
      <c r="L405" s="171">
        <f>K405*(1+L406)</f>
        <v>0.91439999999999999</v>
      </c>
      <c r="M405" s="171">
        <f t="shared" ref="M405:P405" si="206">L405*(1+M406)</f>
        <v>0.91805760000000003</v>
      </c>
      <c r="N405" s="171">
        <f t="shared" si="206"/>
        <v>0.93274652160000004</v>
      </c>
      <c r="O405" s="171">
        <f t="shared" si="206"/>
        <v>0.95046870551039997</v>
      </c>
      <c r="P405" s="171">
        <f t="shared" si="206"/>
        <v>0.97232948573713907</v>
      </c>
    </row>
    <row r="406" spans="2:17">
      <c r="C406" s="154" t="s">
        <v>178</v>
      </c>
      <c r="I406" s="154">
        <v>0</v>
      </c>
      <c r="L406" s="209">
        <v>1.6E-2</v>
      </c>
      <c r="M406" s="209">
        <v>4.0000000000000001E-3</v>
      </c>
      <c r="N406" s="209">
        <v>1.6E-2</v>
      </c>
      <c r="O406" s="209">
        <v>1.9E-2</v>
      </c>
      <c r="P406" s="209">
        <v>2.3E-2</v>
      </c>
    </row>
    <row r="409" spans="2:17" s="247" customFormat="1">
      <c r="B409" s="233" t="s">
        <v>586</v>
      </c>
    </row>
    <row r="410" spans="2:17" s="247" customFormat="1"/>
    <row r="411" spans="2:17" s="247" customFormat="1">
      <c r="B411" s="298" t="s">
        <v>67</v>
      </c>
      <c r="C411" s="298"/>
      <c r="D411" s="298"/>
      <c r="E411" s="298"/>
      <c r="F411" s="298"/>
      <c r="G411" s="298"/>
      <c r="H411" s="298"/>
      <c r="I411" s="312"/>
      <c r="J411" s="298"/>
      <c r="K411" s="298"/>
      <c r="L411" s="298"/>
      <c r="M411" s="298"/>
      <c r="N411" s="298"/>
      <c r="O411" s="298"/>
      <c r="P411" s="298"/>
      <c r="Q411" s="298"/>
    </row>
    <row r="412" spans="2:17" s="247" customFormat="1">
      <c r="B412" s="220" t="s">
        <v>79</v>
      </c>
      <c r="E412" s="247">
        <f>E416</f>
        <v>0</v>
      </c>
      <c r="F412" s="247">
        <f t="shared" ref="F412:P412" si="207">F416</f>
        <v>0</v>
      </c>
      <c r="G412" s="247">
        <f t="shared" si="207"/>
        <v>0</v>
      </c>
      <c r="H412" s="247">
        <f t="shared" si="207"/>
        <v>400</v>
      </c>
      <c r="I412" s="313">
        <f t="shared" si="207"/>
        <v>639</v>
      </c>
      <c r="J412" s="247">
        <f t="shared" si="207"/>
        <v>213</v>
      </c>
      <c r="K412" s="247">
        <f t="shared" si="207"/>
        <v>852</v>
      </c>
      <c r="L412" s="247">
        <f t="shared" si="207"/>
        <v>1090.3659137707023</v>
      </c>
      <c r="M412" s="247">
        <f t="shared" si="207"/>
        <v>1208.9822938746543</v>
      </c>
      <c r="N412" s="247">
        <f t="shared" si="207"/>
        <v>1283.7684026582676</v>
      </c>
      <c r="O412" s="247">
        <f t="shared" si="207"/>
        <v>1332.6165981875886</v>
      </c>
      <c r="P412" s="247">
        <f t="shared" si="207"/>
        <v>1369.2560642644492</v>
      </c>
    </row>
    <row r="413" spans="2:17" s="247" customFormat="1">
      <c r="B413" s="331" t="s">
        <v>101</v>
      </c>
      <c r="C413" s="249"/>
      <c r="D413" s="249"/>
      <c r="E413" s="249">
        <f>E425</f>
        <v>0</v>
      </c>
      <c r="F413" s="249">
        <f t="shared" ref="F413:P413" si="208">F425</f>
        <v>0</v>
      </c>
      <c r="G413" s="249">
        <f t="shared" si="208"/>
        <v>0</v>
      </c>
      <c r="H413" s="249">
        <f t="shared" si="208"/>
        <v>1101.6559949999998</v>
      </c>
      <c r="I413" s="311">
        <f t="shared" si="208"/>
        <v>868.38033805874989</v>
      </c>
      <c r="J413" s="249">
        <f t="shared" si="208"/>
        <v>289.46011268624994</v>
      </c>
      <c r="K413" s="249">
        <f t="shared" si="208"/>
        <v>1157.8404507449998</v>
      </c>
      <c r="L413" s="249">
        <f t="shared" si="208"/>
        <v>1182.1551002106446</v>
      </c>
      <c r="M413" s="249">
        <f t="shared" si="208"/>
        <v>1189.2480308119084</v>
      </c>
      <c r="N413" s="249">
        <f t="shared" si="208"/>
        <v>1201.1405111200274</v>
      </c>
      <c r="O413" s="249">
        <f t="shared" si="208"/>
        <v>1215.5541972534677</v>
      </c>
      <c r="P413" s="249">
        <f t="shared" si="208"/>
        <v>1231.3564018177626</v>
      </c>
      <c r="Q413" s="249"/>
    </row>
    <row r="414" spans="2:17" s="247" customFormat="1"/>
    <row r="415" spans="2:17" s="247" customFormat="1">
      <c r="I415" s="247">
        <v>0</v>
      </c>
    </row>
    <row r="416" spans="2:17" s="247" customFormat="1">
      <c r="B416" s="247" t="s">
        <v>79</v>
      </c>
      <c r="E416" s="233"/>
      <c r="F416" s="233">
        <v>0</v>
      </c>
      <c r="G416" s="233">
        <v>0</v>
      </c>
      <c r="H416" s="233">
        <v>400</v>
      </c>
      <c r="I416" s="233">
        <f>K416-J416</f>
        <v>639</v>
      </c>
      <c r="J416" s="233">
        <f>K416/4</f>
        <v>213</v>
      </c>
      <c r="K416" s="233">
        <f>K417*K421</f>
        <v>852</v>
      </c>
      <c r="L416" s="233">
        <f>L417*L421</f>
        <v>1090.3659137707023</v>
      </c>
      <c r="M416" s="233">
        <f t="shared" ref="M416:P416" si="209">M417*M421</f>
        <v>1208.9822938746543</v>
      </c>
      <c r="N416" s="233">
        <f t="shared" si="209"/>
        <v>1283.7684026582676</v>
      </c>
      <c r="O416" s="233">
        <f t="shared" si="209"/>
        <v>1332.6165981875886</v>
      </c>
      <c r="P416" s="233">
        <f t="shared" si="209"/>
        <v>1369.2560642644492</v>
      </c>
    </row>
    <row r="417" spans="2:17" s="247" customFormat="1">
      <c r="C417" s="247" t="s">
        <v>587</v>
      </c>
      <c r="H417" s="247">
        <v>6</v>
      </c>
      <c r="I417" s="247">
        <v>12</v>
      </c>
      <c r="J417" s="247">
        <f>I417</f>
        <v>12</v>
      </c>
      <c r="K417" s="247">
        <f>J417</f>
        <v>12</v>
      </c>
      <c r="L417" s="247">
        <f>L137/L419</f>
        <v>14.823616207660862</v>
      </c>
      <c r="M417" s="247">
        <f>M137/M419</f>
        <v>16.129750599646663</v>
      </c>
      <c r="N417" s="247">
        <f>N137/N419</f>
        <v>16.742440352082657</v>
      </c>
      <c r="O417" s="247">
        <f>O137/O419</f>
        <v>16.84060149478648</v>
      </c>
      <c r="P417" s="247">
        <f>P137/P419</f>
        <v>16.734645433477681</v>
      </c>
    </row>
    <row r="418" spans="2:17" s="247" customFormat="1">
      <c r="C418" s="330" t="s">
        <v>588</v>
      </c>
      <c r="H418" s="247">
        <f>H137</f>
        <v>4643</v>
      </c>
      <c r="I418" s="247">
        <f>I137</f>
        <v>8504</v>
      </c>
      <c r="K418" s="247">
        <f t="shared" ref="K418:P418" si="210">K137</f>
        <v>9791.0000000000018</v>
      </c>
      <c r="L418" s="247">
        <f t="shared" si="210"/>
        <v>11643.073467158654</v>
      </c>
      <c r="M418" s="247">
        <f t="shared" si="210"/>
        <v>12973.019906503996</v>
      </c>
      <c r="N418" s="247">
        <f t="shared" si="210"/>
        <v>13842.843441801508</v>
      </c>
      <c r="O418" s="247">
        <f t="shared" si="210"/>
        <v>14313.876328495537</v>
      </c>
      <c r="P418" s="247">
        <f t="shared" si="210"/>
        <v>14636.308383716187</v>
      </c>
    </row>
    <row r="419" spans="2:17" s="247" customFormat="1">
      <c r="C419" s="220" t="s">
        <v>405</v>
      </c>
      <c r="H419" s="247">
        <f>H418/H417</f>
        <v>773.83333333333337</v>
      </c>
      <c r="I419" s="247">
        <f t="shared" ref="I419" si="211">I418/I417</f>
        <v>708.66666666666663</v>
      </c>
      <c r="K419" s="247">
        <f>H419</f>
        <v>773.83333333333337</v>
      </c>
      <c r="L419" s="247">
        <f>K419*(1+L420)</f>
        <v>785.44083333333333</v>
      </c>
      <c r="M419" s="247">
        <f t="shared" ref="M419:P419" si="212">L419*(1+M420)</f>
        <v>804.29141333333337</v>
      </c>
      <c r="N419" s="247">
        <f t="shared" si="212"/>
        <v>826.8115729066667</v>
      </c>
      <c r="O419" s="247">
        <f t="shared" si="212"/>
        <v>849.96229694805334</v>
      </c>
      <c r="P419" s="247">
        <f t="shared" si="212"/>
        <v>874.61120355954677</v>
      </c>
    </row>
    <row r="420" spans="2:17" s="247" customFormat="1">
      <c r="C420" s="222" t="s">
        <v>178</v>
      </c>
      <c r="K420" s="303">
        <v>2.6000000000000002E-2</v>
      </c>
      <c r="L420" s="303">
        <v>1.4999999999999999E-2</v>
      </c>
      <c r="M420" s="303">
        <v>2.4E-2</v>
      </c>
      <c r="N420" s="303">
        <v>2.7999999999999997E-2</v>
      </c>
      <c r="O420" s="303">
        <v>2.7999999999999997E-2</v>
      </c>
      <c r="P420" s="303">
        <v>2.8999999999999998E-2</v>
      </c>
    </row>
    <row r="421" spans="2:17" s="247" customFormat="1">
      <c r="C421" s="247" t="s">
        <v>242</v>
      </c>
      <c r="H421" s="247">
        <f>H416/H417</f>
        <v>66.666666666666671</v>
      </c>
      <c r="I421" s="247">
        <v>0</v>
      </c>
      <c r="K421" s="247">
        <f>H421*(1+K422)</f>
        <v>71</v>
      </c>
      <c r="L421" s="302">
        <f>K421*(1+L422)</f>
        <v>73.555999999999997</v>
      </c>
      <c r="M421" s="302">
        <f t="shared" ref="M421:P421" si="213">L421*(1+M422)</f>
        <v>74.953563999999986</v>
      </c>
      <c r="N421" s="302">
        <f t="shared" si="213"/>
        <v>76.677495971999974</v>
      </c>
      <c r="O421" s="302">
        <f t="shared" si="213"/>
        <v>79.131175843103975</v>
      </c>
      <c r="P421" s="302">
        <f t="shared" si="213"/>
        <v>81.821635821769519</v>
      </c>
    </row>
    <row r="422" spans="2:17" s="247" customFormat="1">
      <c r="C422" s="220" t="s">
        <v>178</v>
      </c>
      <c r="K422" s="297">
        <v>6.5000000000000002E-2</v>
      </c>
      <c r="L422" s="297">
        <v>3.6000000000000004E-2</v>
      </c>
      <c r="M422" s="297">
        <v>1.9E-2</v>
      </c>
      <c r="N422" s="297">
        <v>2.3E-2</v>
      </c>
      <c r="O422" s="297">
        <v>3.2000000000000001E-2</v>
      </c>
      <c r="P422" s="297">
        <v>3.4000000000000002E-2</v>
      </c>
    </row>
    <row r="423" spans="2:17" s="247" customFormat="1"/>
    <row r="424" spans="2:17" s="247" customFormat="1"/>
    <row r="425" spans="2:17" s="247" customFormat="1">
      <c r="B425" s="247" t="s">
        <v>101</v>
      </c>
      <c r="E425" s="233"/>
      <c r="F425" s="233">
        <v>0</v>
      </c>
      <c r="G425" s="233">
        <v>0</v>
      </c>
      <c r="H425" s="233">
        <v>1101.6559949999998</v>
      </c>
      <c r="I425" s="233">
        <f>K425-J425</f>
        <v>868.38033805874989</v>
      </c>
      <c r="J425" s="233">
        <f>K425/4</f>
        <v>289.46011268624994</v>
      </c>
      <c r="K425" s="341">
        <f>H425*(1+K426)</f>
        <v>1157.8404507449998</v>
      </c>
      <c r="L425" s="233">
        <f t="shared" ref="L425:P425" si="214">K425*(1+L426)</f>
        <v>1182.1551002106446</v>
      </c>
      <c r="M425" s="233">
        <f t="shared" si="214"/>
        <v>1189.2480308119084</v>
      </c>
      <c r="N425" s="233">
        <f t="shared" si="214"/>
        <v>1201.1405111200274</v>
      </c>
      <c r="O425" s="233">
        <f t="shared" si="214"/>
        <v>1215.5541972534677</v>
      </c>
      <c r="P425" s="233">
        <f t="shared" si="214"/>
        <v>1231.3564018177626</v>
      </c>
    </row>
    <row r="426" spans="2:17" s="247" customFormat="1">
      <c r="C426" s="247" t="s">
        <v>178</v>
      </c>
      <c r="I426" s="247">
        <v>0</v>
      </c>
      <c r="K426" s="297">
        <v>5.0999999999999997E-2</v>
      </c>
      <c r="L426" s="297">
        <v>2.1000000000000001E-2</v>
      </c>
      <c r="M426" s="297">
        <v>6.0000000000000001E-3</v>
      </c>
      <c r="N426" s="297">
        <v>0.01</v>
      </c>
      <c r="O426" s="297">
        <v>1.2E-2</v>
      </c>
      <c r="P426" s="297">
        <v>1.3000000000000001E-2</v>
      </c>
    </row>
    <row r="427" spans="2:17" s="247" customFormat="1"/>
    <row r="430" spans="2:17">
      <c r="B430" s="171" t="s">
        <v>589</v>
      </c>
    </row>
    <row r="432" spans="2:17">
      <c r="B432" s="196" t="s">
        <v>563</v>
      </c>
      <c r="C432" s="196"/>
      <c r="D432" s="196"/>
      <c r="E432" s="196"/>
      <c r="F432" s="196"/>
      <c r="G432" s="196"/>
      <c r="H432" s="196"/>
      <c r="I432" s="312"/>
      <c r="J432" s="298"/>
      <c r="K432" s="298"/>
      <c r="L432" s="196"/>
      <c r="M432" s="196"/>
      <c r="N432" s="196"/>
      <c r="O432" s="196"/>
      <c r="P432" s="196"/>
      <c r="Q432" s="196"/>
    </row>
    <row r="433" spans="2:17">
      <c r="B433" s="168" t="s">
        <v>79</v>
      </c>
      <c r="E433" s="154">
        <f>SUM(E440,E446)</f>
        <v>0</v>
      </c>
      <c r="F433" s="154">
        <f t="shared" ref="F433:P433" si="215">SUM(F440,F446)</f>
        <v>3384.4386809999996</v>
      </c>
      <c r="G433" s="154">
        <f t="shared" si="215"/>
        <v>3779.1003199999996</v>
      </c>
      <c r="H433" s="154">
        <f t="shared" si="215"/>
        <v>3156.7528459999999</v>
      </c>
      <c r="I433" s="313">
        <f t="shared" si="215"/>
        <v>2566.2545578407935</v>
      </c>
      <c r="J433" s="247">
        <f t="shared" si="215"/>
        <v>855.41818594693109</v>
      </c>
      <c r="K433" s="247">
        <f t="shared" si="215"/>
        <v>3421.6727437877244</v>
      </c>
      <c r="L433" s="154">
        <f t="shared" si="215"/>
        <v>3584.7142364562583</v>
      </c>
      <c r="M433" s="154">
        <f t="shared" si="215"/>
        <v>3760.8327767745786</v>
      </c>
      <c r="N433" s="154">
        <f t="shared" si="215"/>
        <v>3734.9210634753563</v>
      </c>
      <c r="O433" s="154">
        <f t="shared" si="215"/>
        <v>3856.6210227379279</v>
      </c>
      <c r="P433" s="154">
        <f t="shared" si="215"/>
        <v>3904.4885336638895</v>
      </c>
    </row>
    <row r="434" spans="2:17">
      <c r="B434" s="168" t="s">
        <v>90</v>
      </c>
      <c r="E434" s="154">
        <f>E454</f>
        <v>0</v>
      </c>
      <c r="F434" s="154">
        <f t="shared" ref="F434:P434" si="216">F454</f>
        <v>326.239306</v>
      </c>
      <c r="G434" s="154">
        <f t="shared" si="216"/>
        <v>586.05103999999994</v>
      </c>
      <c r="H434" s="154">
        <f t="shared" si="216"/>
        <v>415.56780900000001</v>
      </c>
      <c r="I434" s="313">
        <f t="shared" si="216"/>
        <v>576.7099923074818</v>
      </c>
      <c r="J434" s="247">
        <f t="shared" si="216"/>
        <v>192.2366641024939</v>
      </c>
      <c r="K434" s="247">
        <f t="shared" si="216"/>
        <v>768.94665640997562</v>
      </c>
      <c r="L434" s="154">
        <f t="shared" si="216"/>
        <v>1010.9635277045983</v>
      </c>
      <c r="M434" s="154">
        <f t="shared" si="216"/>
        <v>1212.5212899820804</v>
      </c>
      <c r="N434" s="154">
        <f t="shared" si="216"/>
        <v>1380.4757314724468</v>
      </c>
      <c r="O434" s="154">
        <f t="shared" si="216"/>
        <v>1397.5910960102319</v>
      </c>
      <c r="P434" s="154">
        <f t="shared" si="216"/>
        <v>1383.8589633535114</v>
      </c>
    </row>
    <row r="435" spans="2:17">
      <c r="B435" s="248" t="s">
        <v>101</v>
      </c>
      <c r="C435" s="177"/>
      <c r="D435" s="177"/>
      <c r="E435" s="177">
        <f>E458</f>
        <v>0</v>
      </c>
      <c r="F435" s="177">
        <f t="shared" ref="F435:P435" si="217">F458</f>
        <v>834.06241599999987</v>
      </c>
      <c r="G435" s="177">
        <f t="shared" si="217"/>
        <v>1531.761115</v>
      </c>
      <c r="H435" s="177">
        <f t="shared" si="217"/>
        <v>1086.6713313378759</v>
      </c>
      <c r="I435" s="311">
        <f t="shared" si="217"/>
        <v>856.56867692708056</v>
      </c>
      <c r="J435" s="249">
        <f t="shared" si="217"/>
        <v>285.52289230902687</v>
      </c>
      <c r="K435" s="249">
        <f t="shared" si="217"/>
        <v>1142.0915692361075</v>
      </c>
      <c r="L435" s="177">
        <f t="shared" si="217"/>
        <v>1166.0754921900657</v>
      </c>
      <c r="M435" s="177">
        <f t="shared" si="217"/>
        <v>1173.071945143206</v>
      </c>
      <c r="N435" s="177">
        <f t="shared" si="217"/>
        <v>1184.8026645946381</v>
      </c>
      <c r="O435" s="177">
        <f t="shared" si="217"/>
        <v>1199.0202965697738</v>
      </c>
      <c r="P435" s="177">
        <f t="shared" si="217"/>
        <v>1214.6075604251807</v>
      </c>
      <c r="Q435" s="177"/>
    </row>
    <row r="436" spans="2:17">
      <c r="F436" s="154">
        <f>SUM(F433:F435)</f>
        <v>4544.7404029999998</v>
      </c>
      <c r="G436" s="154">
        <f t="shared" ref="G436:P436" si="218">SUM(G433:G435)</f>
        <v>5896.9124750000001</v>
      </c>
      <c r="H436" s="154">
        <f t="shared" si="218"/>
        <v>4658.9919863378764</v>
      </c>
      <c r="I436" s="154">
        <f t="shared" si="218"/>
        <v>3999.5332270753561</v>
      </c>
      <c r="J436" s="154">
        <f t="shared" si="218"/>
        <v>1333.177742358452</v>
      </c>
      <c r="K436" s="154">
        <f t="shared" si="218"/>
        <v>5332.7109694338078</v>
      </c>
      <c r="L436" s="154">
        <f t="shared" si="218"/>
        <v>5761.753256350923</v>
      </c>
      <c r="M436" s="154">
        <f t="shared" si="218"/>
        <v>6146.4260118998654</v>
      </c>
      <c r="N436" s="154">
        <f t="shared" si="218"/>
        <v>6300.1994595424412</v>
      </c>
      <c r="O436" s="154">
        <f t="shared" si="218"/>
        <v>6453.2324153179334</v>
      </c>
      <c r="P436" s="154">
        <f t="shared" si="218"/>
        <v>6502.9550574425821</v>
      </c>
    </row>
    <row r="437" spans="2:17">
      <c r="F437" s="291">
        <f>F436/F15</f>
        <v>0.28647822307523824</v>
      </c>
      <c r="G437" s="291">
        <f>G436/G15</f>
        <v>0.19519887983884254</v>
      </c>
      <c r="H437" s="291"/>
      <c r="I437" s="291">
        <f t="shared" ref="I437:P437" si="219">I436/I15</f>
        <v>0.10713278158974565</v>
      </c>
      <c r="J437" s="291">
        <f t="shared" si="219"/>
        <v>0.10713278158974567</v>
      </c>
      <c r="K437" s="291">
        <f t="shared" si="219"/>
        <v>0.10713278158974567</v>
      </c>
      <c r="L437" s="291">
        <f t="shared" si="219"/>
        <v>8.9703604914046636E-2</v>
      </c>
      <c r="M437" s="291">
        <f t="shared" si="219"/>
        <v>7.9785507824973095E-2</v>
      </c>
      <c r="N437" s="291">
        <f t="shared" si="219"/>
        <v>7.1831717612861889E-2</v>
      </c>
      <c r="O437" s="291">
        <f t="shared" si="219"/>
        <v>7.2675480176528764E-2</v>
      </c>
      <c r="P437" s="291">
        <f t="shared" si="219"/>
        <v>7.3962170902047764E-2</v>
      </c>
    </row>
    <row r="439" spans="2:17">
      <c r="B439" s="154" t="s">
        <v>79</v>
      </c>
      <c r="G439" s="409"/>
      <c r="H439" s="409"/>
      <c r="I439" s="409">
        <v>0</v>
      </c>
      <c r="J439" s="409"/>
      <c r="K439" s="409"/>
      <c r="L439" s="409"/>
      <c r="M439" s="409"/>
      <c r="N439" s="409"/>
      <c r="O439" s="409"/>
      <c r="P439" s="409"/>
      <c r="Q439" s="409"/>
    </row>
    <row r="440" spans="2:17">
      <c r="B440" s="168" t="s">
        <v>590</v>
      </c>
      <c r="E440" s="171"/>
      <c r="F440" s="251">
        <v>2476.0132412553189</v>
      </c>
      <c r="G440" s="433">
        <v>1836.2876722684559</v>
      </c>
      <c r="H440" s="433">
        <v>1901.4052084059913</v>
      </c>
      <c r="I440" s="433">
        <f>K440-J440</f>
        <v>1265.6228418452379</v>
      </c>
      <c r="J440" s="430">
        <f>K440/4</f>
        <v>421.87428061507933</v>
      </c>
      <c r="K440" s="430">
        <f>K441*K443</f>
        <v>1687.4971224603173</v>
      </c>
      <c r="L440" s="430">
        <f t="shared" ref="L440:P440" si="220">L441*L443</f>
        <v>1748.2470188688885</v>
      </c>
      <c r="M440" s="430">
        <f t="shared" si="220"/>
        <v>1781.4637122273971</v>
      </c>
      <c r="N440" s="430">
        <f t="shared" si="220"/>
        <v>1822.437377608627</v>
      </c>
      <c r="O440" s="430">
        <f t="shared" si="220"/>
        <v>1880.7553736921034</v>
      </c>
      <c r="P440" s="430">
        <f t="shared" si="220"/>
        <v>1944.7010563976348</v>
      </c>
      <c r="Q440" s="409"/>
    </row>
    <row r="441" spans="2:17">
      <c r="C441" s="154" t="s">
        <v>358</v>
      </c>
      <c r="E441" s="154">
        <v>10.5</v>
      </c>
      <c r="F441" s="335">
        <v>37.25</v>
      </c>
      <c r="G441" s="455">
        <v>30</v>
      </c>
      <c r="H441" s="455">
        <v>30</v>
      </c>
      <c r="I441" s="455">
        <v>0</v>
      </c>
      <c r="J441" s="455"/>
      <c r="K441" s="409">
        <v>25</v>
      </c>
      <c r="L441" s="409">
        <v>25</v>
      </c>
      <c r="M441" s="409">
        <v>25</v>
      </c>
      <c r="N441" s="409">
        <v>25</v>
      </c>
      <c r="O441" s="409">
        <v>25</v>
      </c>
      <c r="P441" s="409">
        <f>O441</f>
        <v>25</v>
      </c>
      <c r="Q441" s="409"/>
    </row>
    <row r="442" spans="2:17">
      <c r="F442" s="335"/>
      <c r="G442" s="455"/>
      <c r="H442" s="455"/>
      <c r="I442" s="409"/>
      <c r="J442" s="409"/>
      <c r="K442" s="416"/>
      <c r="L442" s="416"/>
      <c r="M442" s="416"/>
      <c r="N442" s="416"/>
      <c r="O442" s="416"/>
      <c r="P442" s="409"/>
      <c r="Q442" s="409"/>
    </row>
    <row r="443" spans="2:17">
      <c r="C443" s="154" t="s">
        <v>591</v>
      </c>
      <c r="E443" s="234">
        <f>E440/E441</f>
        <v>0</v>
      </c>
      <c r="F443" s="236">
        <f>F440/F441</f>
        <v>66.470154127659569</v>
      </c>
      <c r="G443" s="424">
        <f>G440/G441</f>
        <v>61.209589075615199</v>
      </c>
      <c r="H443" s="424">
        <f>H440/H441</f>
        <v>63.380173613533046</v>
      </c>
      <c r="I443" s="424">
        <f>J443</f>
        <v>67.499884898412688</v>
      </c>
      <c r="J443" s="424">
        <f>K443</f>
        <v>67.499884898412688</v>
      </c>
      <c r="K443" s="423">
        <f>H443*(1+K444)</f>
        <v>67.499884898412688</v>
      </c>
      <c r="L443" s="423">
        <f>K443*(1+L444)</f>
        <v>69.929880754755544</v>
      </c>
      <c r="M443" s="423">
        <f t="shared" ref="M443:P443" si="221">L443*(1+M444)</f>
        <v>71.258548489095887</v>
      </c>
      <c r="N443" s="423">
        <f t="shared" si="221"/>
        <v>72.897495104345083</v>
      </c>
      <c r="O443" s="423">
        <f t="shared" si="221"/>
        <v>75.230214947684132</v>
      </c>
      <c r="P443" s="423">
        <f t="shared" si="221"/>
        <v>77.788042255905395</v>
      </c>
      <c r="Q443" s="409"/>
    </row>
    <row r="444" spans="2:17">
      <c r="C444" s="168" t="s">
        <v>364</v>
      </c>
      <c r="F444" s="335"/>
      <c r="G444" s="339">
        <f>G443/F443-1</f>
        <v>-7.9141761006619071E-2</v>
      </c>
      <c r="H444" s="339"/>
      <c r="I444" s="409"/>
      <c r="J444" s="409"/>
      <c r="K444" s="291">
        <v>6.5000000000000002E-2</v>
      </c>
      <c r="L444" s="291">
        <v>3.6000000000000004E-2</v>
      </c>
      <c r="M444" s="291">
        <v>1.9E-2</v>
      </c>
      <c r="N444" s="291">
        <v>2.3E-2</v>
      </c>
      <c r="O444" s="291">
        <v>3.2000000000000001E-2</v>
      </c>
      <c r="P444" s="291">
        <v>3.4000000000000002E-2</v>
      </c>
      <c r="Q444" s="409"/>
    </row>
    <row r="445" spans="2:17">
      <c r="F445" s="335"/>
      <c r="G445" s="455"/>
      <c r="H445" s="455"/>
      <c r="I445" s="409">
        <v>0</v>
      </c>
      <c r="J445" s="409"/>
      <c r="K445" s="409"/>
      <c r="L445" s="409"/>
      <c r="M445" s="409"/>
      <c r="N445" s="409"/>
      <c r="O445" s="409"/>
      <c r="P445" s="409"/>
      <c r="Q445" s="409"/>
    </row>
    <row r="446" spans="2:17">
      <c r="B446" s="168" t="s">
        <v>592</v>
      </c>
      <c r="E446" s="171"/>
      <c r="F446" s="251">
        <v>908.4254397446806</v>
      </c>
      <c r="G446" s="433">
        <v>1942.8126477315434</v>
      </c>
      <c r="H446" s="433">
        <v>1255.3476375940086</v>
      </c>
      <c r="I446" s="433">
        <f>K446-J446</f>
        <v>1300.6317159955554</v>
      </c>
      <c r="J446" s="430">
        <f>K446/4</f>
        <v>433.54390533185182</v>
      </c>
      <c r="K446" s="430">
        <f>K447*K450</f>
        <v>1734.1756213274073</v>
      </c>
      <c r="L446" s="430">
        <f>L447*L450</f>
        <v>1836.4672175873698</v>
      </c>
      <c r="M446" s="430">
        <f t="shared" ref="M446:P446" si="222">M447*M450</f>
        <v>1979.3690645471816</v>
      </c>
      <c r="N446" s="430">
        <f t="shared" si="222"/>
        <v>1912.4836858667295</v>
      </c>
      <c r="O446" s="430">
        <f t="shared" si="222"/>
        <v>1975.8656490458243</v>
      </c>
      <c r="P446" s="430">
        <f t="shared" si="222"/>
        <v>1959.7874772662547</v>
      </c>
      <c r="Q446" s="409"/>
    </row>
    <row r="447" spans="2:17">
      <c r="C447" s="154" t="s">
        <v>593</v>
      </c>
      <c r="F447" s="154">
        <v>13.666666666666664</v>
      </c>
      <c r="G447" s="409">
        <v>31.916666666666668</v>
      </c>
      <c r="H447" s="409">
        <v>19.916666666666632</v>
      </c>
      <c r="I447" s="409"/>
      <c r="J447" s="409"/>
      <c r="K447" s="409">
        <f t="shared" ref="K447:P447" si="223">K176/K448</f>
        <v>25.834265242958789</v>
      </c>
      <c r="L447" s="409">
        <f t="shared" si="223"/>
        <v>26.407449766958898</v>
      </c>
      <c r="M447" s="409">
        <f t="shared" si="223"/>
        <v>27.931604018776646</v>
      </c>
      <c r="N447" s="409">
        <f t="shared" si="223"/>
        <v>26.380996939331428</v>
      </c>
      <c r="O447" s="409">
        <f t="shared" si="223"/>
        <v>26.410168863814661</v>
      </c>
      <c r="P447" s="409">
        <f t="shared" si="223"/>
        <v>25.333909021520366</v>
      </c>
      <c r="Q447" s="409"/>
    </row>
    <row r="448" spans="2:17">
      <c r="C448" s="168" t="s">
        <v>405</v>
      </c>
      <c r="D448" s="154">
        <f>AVERAGE(F448:H448)</f>
        <v>12.145284713605093</v>
      </c>
      <c r="F448" s="234">
        <f>F176/F447</f>
        <v>9.9512195121951237</v>
      </c>
      <c r="G448" s="423">
        <f>G176/G447</f>
        <v>8.4595300261096611</v>
      </c>
      <c r="H448" s="423">
        <f>H176/H447</f>
        <v>18.025104602510492</v>
      </c>
      <c r="I448" s="409"/>
      <c r="J448" s="409"/>
      <c r="K448" s="456">
        <f>H448</f>
        <v>18.025104602510492</v>
      </c>
      <c r="L448" s="423">
        <f>K448*(1+L449)</f>
        <v>18.295481171548147</v>
      </c>
      <c r="M448" s="423">
        <f t="shared" ref="M448:P448" si="224">L448*(1+M449)</f>
        <v>18.734572719665302</v>
      </c>
      <c r="N448" s="423">
        <f t="shared" si="224"/>
        <v>19.259140755815931</v>
      </c>
      <c r="O448" s="423">
        <f t="shared" si="224"/>
        <v>19.798396696978777</v>
      </c>
      <c r="P448" s="423">
        <f t="shared" si="224"/>
        <v>20.37255020119116</v>
      </c>
      <c r="Q448" s="409"/>
    </row>
    <row r="449" spans="2:17">
      <c r="C449" s="168"/>
      <c r="F449" s="234"/>
      <c r="G449" s="423"/>
      <c r="H449" s="423"/>
      <c r="I449" s="409"/>
      <c r="J449" s="409"/>
      <c r="K449" s="431">
        <v>2.6000000000000002E-2</v>
      </c>
      <c r="L449" s="431">
        <v>1.4999999999999999E-2</v>
      </c>
      <c r="M449" s="431">
        <v>2.4E-2</v>
      </c>
      <c r="N449" s="431">
        <v>2.7999999999999997E-2</v>
      </c>
      <c r="O449" s="431">
        <v>2.7999999999999997E-2</v>
      </c>
      <c r="P449" s="431">
        <v>2.8999999999999998E-2</v>
      </c>
      <c r="Q449" s="409"/>
    </row>
    <row r="450" spans="2:17">
      <c r="C450" s="154" t="s">
        <v>242</v>
      </c>
      <c r="F450" s="234">
        <f>F446/F447</f>
        <v>66.470154127659569</v>
      </c>
      <c r="G450" s="423">
        <f>G446/G447</f>
        <v>60.871414550335558</v>
      </c>
      <c r="H450" s="423">
        <f>H446/H447</f>
        <v>63.030006908485895</v>
      </c>
      <c r="I450" s="424">
        <f>K450</f>
        <v>67.126957357537478</v>
      </c>
      <c r="J450" s="424">
        <f>K450</f>
        <v>67.126957357537478</v>
      </c>
      <c r="K450" s="423">
        <f>H450*(1+K451)</f>
        <v>67.126957357537478</v>
      </c>
      <c r="L450" s="423">
        <f>K450*(1+L451)</f>
        <v>69.543527822408834</v>
      </c>
      <c r="M450" s="423">
        <f t="shared" ref="M450:P450" si="225">L450*(1+M451)</f>
        <v>70.864854851034593</v>
      </c>
      <c r="N450" s="423">
        <f t="shared" si="225"/>
        <v>72.494746512608387</v>
      </c>
      <c r="O450" s="423">
        <f t="shared" si="225"/>
        <v>74.814578401011858</v>
      </c>
      <c r="P450" s="423">
        <f t="shared" si="225"/>
        <v>77.35827406664626</v>
      </c>
      <c r="Q450" s="409"/>
    </row>
    <row r="451" spans="2:17">
      <c r="C451" s="168" t="s">
        <v>364</v>
      </c>
      <c r="G451" s="409"/>
      <c r="H451" s="409"/>
      <c r="I451" s="409"/>
      <c r="J451" s="409"/>
      <c r="K451" s="291">
        <v>6.5000000000000002E-2</v>
      </c>
      <c r="L451" s="291">
        <v>3.6000000000000004E-2</v>
      </c>
      <c r="M451" s="291">
        <v>1.9E-2</v>
      </c>
      <c r="N451" s="291">
        <v>2.3E-2</v>
      </c>
      <c r="O451" s="291">
        <v>3.2000000000000001E-2</v>
      </c>
      <c r="P451" s="291">
        <v>3.4000000000000002E-2</v>
      </c>
      <c r="Q451" s="409"/>
    </row>
    <row r="452" spans="2:17">
      <c r="G452" s="409"/>
      <c r="H452" s="409"/>
      <c r="I452" s="409"/>
      <c r="J452" s="409"/>
      <c r="K452" s="409"/>
      <c r="L452" s="409"/>
      <c r="M452" s="409"/>
      <c r="N452" s="409"/>
      <c r="O452" s="409"/>
      <c r="P452" s="409"/>
      <c r="Q452" s="409"/>
    </row>
    <row r="453" spans="2:17">
      <c r="G453" s="409"/>
      <c r="H453" s="409"/>
      <c r="I453" s="409"/>
      <c r="J453" s="409"/>
      <c r="K453" s="409"/>
      <c r="L453" s="409"/>
      <c r="M453" s="409"/>
      <c r="N453" s="409"/>
      <c r="O453" s="409"/>
      <c r="P453" s="409"/>
      <c r="Q453" s="409"/>
    </row>
    <row r="454" spans="2:17">
      <c r="B454" s="154" t="s">
        <v>90</v>
      </c>
      <c r="E454" s="171"/>
      <c r="F454" s="171">
        <v>326.239306</v>
      </c>
      <c r="G454" s="430">
        <v>586.05103999999994</v>
      </c>
      <c r="H454" s="430">
        <v>415.56780900000001</v>
      </c>
      <c r="I454" s="430">
        <v>576.7099923074818</v>
      </c>
      <c r="J454" s="430">
        <f t="shared" ref="J454:P454" si="226">(J168+J204)*J455</f>
        <v>192.2366641024939</v>
      </c>
      <c r="K454" s="430">
        <f t="shared" si="226"/>
        <v>768.94665640997562</v>
      </c>
      <c r="L454" s="430">
        <f t="shared" si="226"/>
        <v>1010.9635277045983</v>
      </c>
      <c r="M454" s="430">
        <f t="shared" si="226"/>
        <v>1212.5212899820804</v>
      </c>
      <c r="N454" s="430">
        <f t="shared" si="226"/>
        <v>1380.4757314724468</v>
      </c>
      <c r="O454" s="430">
        <f t="shared" si="226"/>
        <v>1397.5910960102319</v>
      </c>
      <c r="P454" s="430">
        <f t="shared" si="226"/>
        <v>1383.8589633535114</v>
      </c>
      <c r="Q454" s="409"/>
    </row>
    <row r="455" spans="2:17">
      <c r="C455" s="154" t="s">
        <v>212</v>
      </c>
      <c r="D455" s="291">
        <f>AVERAGE(G455:I455)</f>
        <v>1.5739492622625556E-2</v>
      </c>
      <c r="F455" s="291">
        <f>F454/(F168+F204)</f>
        <v>2.0564531390722628E-2</v>
      </c>
      <c r="G455" s="291">
        <f>G454/(G168+G204)</f>
        <v>1.9399390277772217E-2</v>
      </c>
      <c r="H455" s="291">
        <f>H454/(H168+H204)</f>
        <v>1.2371148508552907E-2</v>
      </c>
      <c r="I455" s="291">
        <f>I454/(I168+I204)</f>
        <v>1.5447939081551541E-2</v>
      </c>
      <c r="J455" s="291">
        <f>K455</f>
        <v>1.5447939081551541E-2</v>
      </c>
      <c r="K455" s="291">
        <f>I455</f>
        <v>1.5447939081551541E-2</v>
      </c>
      <c r="L455" s="291">
        <f>D455</f>
        <v>1.5739492622625556E-2</v>
      </c>
      <c r="M455" s="291">
        <f t="shared" ref="M455:P455" si="227">L455</f>
        <v>1.5739492622625556E-2</v>
      </c>
      <c r="N455" s="291">
        <f t="shared" si="227"/>
        <v>1.5739492622625556E-2</v>
      </c>
      <c r="O455" s="291">
        <f t="shared" si="227"/>
        <v>1.5739492622625556E-2</v>
      </c>
      <c r="P455" s="291">
        <f t="shared" si="227"/>
        <v>1.5739492622625556E-2</v>
      </c>
      <c r="Q455" s="409"/>
    </row>
    <row r="456" spans="2:17">
      <c r="G456" s="409"/>
      <c r="H456" s="409"/>
      <c r="I456" s="409"/>
      <c r="J456" s="409"/>
      <c r="K456" s="409"/>
      <c r="L456" s="409"/>
      <c r="M456" s="409"/>
      <c r="N456" s="409"/>
      <c r="O456" s="409"/>
      <c r="P456" s="409"/>
      <c r="Q456" s="409"/>
    </row>
    <row r="457" spans="2:17">
      <c r="G457" s="409"/>
      <c r="H457" s="409"/>
      <c r="I457" s="409">
        <v>0</v>
      </c>
      <c r="J457" s="409"/>
      <c r="K457" s="409"/>
      <c r="L457" s="409"/>
      <c r="M457" s="409"/>
      <c r="N457" s="409"/>
      <c r="O457" s="409"/>
      <c r="P457" s="409"/>
      <c r="Q457" s="409"/>
    </row>
    <row r="458" spans="2:17">
      <c r="B458" s="154" t="s">
        <v>101</v>
      </c>
      <c r="E458" s="171"/>
      <c r="F458" s="171">
        <v>834.06241599999987</v>
      </c>
      <c r="G458" s="430">
        <v>1531.761115</v>
      </c>
      <c r="H458" s="430">
        <v>1086.6713313378759</v>
      </c>
      <c r="I458" s="430">
        <f>K458-J458</f>
        <v>856.56867692708056</v>
      </c>
      <c r="J458" s="430">
        <f>K458/4</f>
        <v>285.52289230902687</v>
      </c>
      <c r="K458" s="430">
        <f>H458*(1+K459)</f>
        <v>1142.0915692361075</v>
      </c>
      <c r="L458" s="430">
        <f t="shared" ref="L458:P458" si="228">K458*(1+L459)</f>
        <v>1166.0754921900657</v>
      </c>
      <c r="M458" s="430">
        <f t="shared" si="228"/>
        <v>1173.071945143206</v>
      </c>
      <c r="N458" s="430">
        <f t="shared" si="228"/>
        <v>1184.8026645946381</v>
      </c>
      <c r="O458" s="430">
        <f t="shared" si="228"/>
        <v>1199.0202965697738</v>
      </c>
      <c r="P458" s="430">
        <f t="shared" si="228"/>
        <v>1214.6075604251807</v>
      </c>
      <c r="Q458" s="409"/>
    </row>
    <row r="459" spans="2:17">
      <c r="G459" s="409"/>
      <c r="H459" s="409"/>
      <c r="I459" s="409"/>
      <c r="J459" s="409"/>
      <c r="K459" s="291">
        <v>5.0999999999999997E-2</v>
      </c>
      <c r="L459" s="291">
        <v>2.1000000000000001E-2</v>
      </c>
      <c r="M459" s="291">
        <v>6.0000000000000001E-3</v>
      </c>
      <c r="N459" s="291">
        <v>0.01</v>
      </c>
      <c r="O459" s="291">
        <v>1.2E-2</v>
      </c>
      <c r="P459" s="291">
        <v>1.3000000000000001E-2</v>
      </c>
      <c r="Q459" s="409"/>
    </row>
    <row r="460" spans="2:17">
      <c r="G460" s="409"/>
      <c r="H460" s="409"/>
      <c r="I460" s="409"/>
      <c r="J460" s="409"/>
      <c r="K460" s="409"/>
      <c r="L460" s="409"/>
      <c r="M460" s="409"/>
      <c r="N460" s="409"/>
      <c r="O460" s="409"/>
      <c r="P460" s="409"/>
      <c r="Q460" s="409"/>
    </row>
    <row r="463" spans="2:17" s="247" customFormat="1">
      <c r="B463" s="233" t="s">
        <v>594</v>
      </c>
    </row>
    <row r="464" spans="2:17" s="247" customFormat="1"/>
    <row r="465" spans="2:17" s="247" customFormat="1">
      <c r="B465" s="298" t="s">
        <v>70</v>
      </c>
      <c r="C465" s="298"/>
      <c r="D465" s="298"/>
      <c r="E465" s="298"/>
      <c r="F465" s="298"/>
      <c r="G465" s="298"/>
      <c r="H465" s="298"/>
      <c r="I465" s="312"/>
      <c r="J465" s="298"/>
      <c r="K465" s="298"/>
      <c r="L465" s="298"/>
      <c r="M465" s="298"/>
      <c r="N465" s="298"/>
      <c r="O465" s="298"/>
      <c r="P465" s="298"/>
      <c r="Q465" s="298"/>
    </row>
    <row r="466" spans="2:17" s="247" customFormat="1">
      <c r="B466" s="220" t="s">
        <v>437</v>
      </c>
      <c r="I466" s="313">
        <f>K466-J466</f>
        <v>62.196632356703319</v>
      </c>
      <c r="J466" s="247">
        <f>J469</f>
        <v>20.732210785567773</v>
      </c>
      <c r="K466" s="247">
        <f>K469</f>
        <v>82.928843142271091</v>
      </c>
      <c r="L466" s="247">
        <f t="shared" ref="L466:P466" si="229">L469</f>
        <v>1145.2663856751242</v>
      </c>
      <c r="M466" s="247">
        <f t="shared" si="229"/>
        <v>2424.7163633138184</v>
      </c>
      <c r="N466" s="247">
        <f t="shared" si="229"/>
        <v>4162.5589282563642</v>
      </c>
      <c r="O466" s="247">
        <f t="shared" si="229"/>
        <v>6256.1061754566008</v>
      </c>
      <c r="P466" s="247">
        <f t="shared" si="229"/>
        <v>8347.1937652842225</v>
      </c>
    </row>
    <row r="467" spans="2:17" s="247" customFormat="1">
      <c r="B467" s="331" t="s">
        <v>101</v>
      </c>
      <c r="C467" s="249"/>
      <c r="D467" s="249"/>
      <c r="E467" s="249">
        <f>E484</f>
        <v>0</v>
      </c>
      <c r="F467" s="249">
        <f>F484</f>
        <v>0</v>
      </c>
      <c r="G467" s="249">
        <f>G484</f>
        <v>0</v>
      </c>
      <c r="H467" s="249">
        <f>H484</f>
        <v>0</v>
      </c>
      <c r="I467" s="311">
        <f>K467-J467</f>
        <v>300</v>
      </c>
      <c r="J467" s="249">
        <f t="shared" ref="J467:P467" si="230">J484</f>
        <v>100</v>
      </c>
      <c r="K467" s="249">
        <f t="shared" si="230"/>
        <v>400</v>
      </c>
      <c r="L467" s="249">
        <f t="shared" si="230"/>
        <v>408.4</v>
      </c>
      <c r="M467" s="249">
        <f t="shared" si="230"/>
        <v>410.85039999999998</v>
      </c>
      <c r="N467" s="249">
        <f t="shared" si="230"/>
        <v>414.95890399999996</v>
      </c>
      <c r="O467" s="249">
        <f t="shared" si="230"/>
        <v>419.93841084799999</v>
      </c>
      <c r="P467" s="249">
        <f t="shared" si="230"/>
        <v>425.39761018902396</v>
      </c>
      <c r="Q467" s="249"/>
    </row>
    <row r="468" spans="2:17" s="247" customFormat="1">
      <c r="L468" s="297">
        <f>L466/L209</f>
        <v>6.1129962307936346E-2</v>
      </c>
      <c r="M468" s="297">
        <f>M466/M209</f>
        <v>5.7262032588466141E-2</v>
      </c>
      <c r="N468" s="297">
        <f>N466/N209</f>
        <v>5.7231683591849429E-2</v>
      </c>
      <c r="O468" s="297">
        <f>O466/O209</f>
        <v>5.6111879283052918E-2</v>
      </c>
      <c r="P468" s="297">
        <f>P466/P209</f>
        <v>5.3958376884913797E-2</v>
      </c>
    </row>
    <row r="469" spans="2:17" s="247" customFormat="1">
      <c r="B469" s="247" t="s">
        <v>595</v>
      </c>
      <c r="E469" s="233"/>
      <c r="F469" s="233"/>
      <c r="G469" s="233"/>
      <c r="H469" s="233"/>
      <c r="I469" s="233"/>
      <c r="J469" s="233">
        <f>K469/4</f>
        <v>20.732210785567773</v>
      </c>
      <c r="K469" s="233">
        <f>K481*K471</f>
        <v>82.928843142271091</v>
      </c>
      <c r="L469" s="233">
        <f t="shared" ref="L469:P469" si="231">L481*L471</f>
        <v>1145.2663856751242</v>
      </c>
      <c r="M469" s="233">
        <f t="shared" si="231"/>
        <v>2424.7163633138184</v>
      </c>
      <c r="N469" s="233">
        <f t="shared" si="231"/>
        <v>4162.5589282563642</v>
      </c>
      <c r="O469" s="233">
        <f t="shared" si="231"/>
        <v>6256.1061754566008</v>
      </c>
      <c r="P469" s="233">
        <f t="shared" si="231"/>
        <v>8347.1937652842225</v>
      </c>
    </row>
    <row r="470" spans="2:17" s="247" customFormat="1">
      <c r="C470" s="247" t="s">
        <v>178</v>
      </c>
      <c r="L470" s="296">
        <f>L469/K469-1</f>
        <v>12.810229858269308</v>
      </c>
      <c r="M470" s="296">
        <f t="shared" ref="M470:P470" si="232">M469/L469-1</f>
        <v>1.1171636517424459</v>
      </c>
      <c r="N470" s="296">
        <f t="shared" si="232"/>
        <v>0.71671993938600975</v>
      </c>
      <c r="O470" s="296">
        <f t="shared" si="232"/>
        <v>0.50294717342949258</v>
      </c>
      <c r="P470" s="296">
        <f t="shared" si="232"/>
        <v>0.33424745859192595</v>
      </c>
    </row>
    <row r="471" spans="2:17" s="247" customFormat="1">
      <c r="C471" s="247" t="s">
        <v>596</v>
      </c>
      <c r="K471" s="287">
        <v>0.05</v>
      </c>
      <c r="L471" s="296">
        <f t="shared" ref="L471:P471" si="233">K471</f>
        <v>0.05</v>
      </c>
      <c r="M471" s="296">
        <f t="shared" si="233"/>
        <v>0.05</v>
      </c>
      <c r="N471" s="296">
        <f t="shared" si="233"/>
        <v>0.05</v>
      </c>
      <c r="O471" s="296">
        <f t="shared" si="233"/>
        <v>0.05</v>
      </c>
      <c r="P471" s="296">
        <f t="shared" si="233"/>
        <v>0.05</v>
      </c>
    </row>
    <row r="472" spans="2:17" s="247" customFormat="1"/>
    <row r="473" spans="2:17" s="247" customFormat="1">
      <c r="C473" s="247" t="s">
        <v>597</v>
      </c>
    </row>
    <row r="474" spans="2:17" s="247" customFormat="1">
      <c r="F474" s="247" t="s">
        <v>598</v>
      </c>
      <c r="G474" s="247" t="s">
        <v>442</v>
      </c>
      <c r="K474" s="297">
        <f t="shared" ref="K474:P474" si="234">K224</f>
        <v>0.11334926596107886</v>
      </c>
      <c r="L474" s="297">
        <f t="shared" si="234"/>
        <v>0.10834926596107886</v>
      </c>
      <c r="M474" s="297">
        <f t="shared" si="234"/>
        <v>0.10334926596107885</v>
      </c>
      <c r="N474" s="297">
        <f t="shared" si="234"/>
        <v>9.8349265961078847E-2</v>
      </c>
      <c r="O474" s="297">
        <f t="shared" si="234"/>
        <v>9.3349265961078842E-2</v>
      </c>
      <c r="P474" s="297">
        <f t="shared" si="234"/>
        <v>9.3349265961078842E-2</v>
      </c>
    </row>
    <row r="475" spans="2:17" s="247" customFormat="1">
      <c r="D475" s="247" t="s">
        <v>599</v>
      </c>
      <c r="F475" s="247">
        <f t="array" ref="F475:F480">TRANSPOSE(K214:P214)</f>
        <v>6425.2506142736984</v>
      </c>
      <c r="G475" s="305">
        <f t="array" ref="G475:G480">TRANSPOSE(K227:P227)</f>
        <v>2.4261168094666757E-2</v>
      </c>
      <c r="K475" s="247">
        <f>$F475*(1-K$224)</f>
        <v>5696.9531735298033</v>
      </c>
      <c r="L475" s="247">
        <f>K475*(1-L$224)</f>
        <v>5079.6924789632103</v>
      </c>
      <c r="M475" s="247">
        <f>L475*(1-M$224)</f>
        <v>4554.7099899543491</v>
      </c>
      <c r="N475" s="247">
        <f>M475*(1-N$224)</f>
        <v>4106.7576057767465</v>
      </c>
      <c r="O475" s="247">
        <f>N475*(1-O$224)</f>
        <v>3723.3947977974094</v>
      </c>
      <c r="P475" s="247">
        <f>O475*(1-P$224)</f>
        <v>3375.8186265397217</v>
      </c>
    </row>
    <row r="476" spans="2:17" s="247" customFormat="1">
      <c r="D476" s="247" t="s">
        <v>600</v>
      </c>
      <c r="F476" s="247">
        <v>46520.260462791688</v>
      </c>
      <c r="G476" s="305">
        <v>4.3045940108090222E-2</v>
      </c>
      <c r="L476" s="247">
        <f>$F476*(1-L$224)</f>
        <v>41479.82438933001</v>
      </c>
      <c r="M476" s="247">
        <f>L476*(1-M$224)</f>
        <v>37192.914986498297</v>
      </c>
      <c r="N476" s="247">
        <f>M476*(1-N$224)</f>
        <v>33535.019098623379</v>
      </c>
      <c r="O476" s="247">
        <f>N476*(1-O$224)</f>
        <v>30404.549681776127</v>
      </c>
      <c r="P476" s="247">
        <f>O476*(1-P$224)</f>
        <v>27566.307287105174</v>
      </c>
    </row>
    <row r="477" spans="2:17" s="247" customFormat="1">
      <c r="D477" s="247" t="s">
        <v>601</v>
      </c>
      <c r="F477" s="247">
        <v>49873.488778876868</v>
      </c>
      <c r="G477" s="305">
        <v>5.2096024884314016E-2</v>
      </c>
      <c r="M477" s="247">
        <f>$F477*(1-M$224)</f>
        <v>44719.100322661841</v>
      </c>
      <c r="N477" s="247">
        <f>M477*(1-N$224)</f>
        <v>40321.009631488203</v>
      </c>
      <c r="O477" s="247">
        <f>N477*(1-O$224)</f>
        <v>36557.072979579192</v>
      </c>
      <c r="P477" s="247">
        <f>O477*(1-P$224)</f>
        <v>33144.497051249884</v>
      </c>
    </row>
    <row r="478" spans="2:17" s="247" customFormat="1">
      <c r="D478" s="247" t="s">
        <v>602</v>
      </c>
      <c r="F478" s="247">
        <v>53061.599432220668</v>
      </c>
      <c r="G478" s="305">
        <v>6.8847076095983659E-2</v>
      </c>
      <c r="N478" s="247">
        <f>$F478*(1-N$224)</f>
        <v>47843.030077340969</v>
      </c>
      <c r="O478" s="247">
        <f>N478*(1-O$224)</f>
        <v>43376.918338267373</v>
      </c>
      <c r="P478" s="247">
        <f>O478*(1-P$224)</f>
        <v>39327.714851736455</v>
      </c>
    </row>
    <row r="479" spans="2:17" s="247" customFormat="1">
      <c r="D479" s="247" t="s">
        <v>603</v>
      </c>
      <c r="F479" s="247">
        <v>56120.462750198989</v>
      </c>
      <c r="G479" s="305">
        <v>8.130366058527734E-2</v>
      </c>
      <c r="O479" s="247">
        <f>$F479*(1-O$224)</f>
        <v>50881.658747071844</v>
      </c>
      <c r="P479" s="247">
        <f>O479*(1-P$224)</f>
        <v>46131.893252150578</v>
      </c>
    </row>
    <row r="480" spans="2:17" s="247" customFormat="1">
      <c r="D480" s="247" t="s">
        <v>452</v>
      </c>
      <c r="F480" s="247">
        <v>60483.52765327174</v>
      </c>
      <c r="G480" s="305">
        <v>8.130366058527734E-2</v>
      </c>
      <c r="P480" s="247">
        <f>$F480*(1-P$224)</f>
        <v>54837.434744102211</v>
      </c>
    </row>
    <row r="481" spans="1:17" s="247" customFormat="1">
      <c r="D481" s="342" t="s">
        <v>597</v>
      </c>
      <c r="E481" s="342"/>
      <c r="F481" s="342"/>
      <c r="G481" s="342"/>
      <c r="H481" s="342"/>
      <c r="I481" s="342"/>
      <c r="J481" s="342"/>
      <c r="K481" s="342">
        <f t="shared" ref="K481:P481" si="235">SUMPRODUCT($G$475:$G$480,K$475:K$480)*12</f>
        <v>1658.5768628454216</v>
      </c>
      <c r="L481" s="342">
        <f t="shared" si="235"/>
        <v>22905.327713502484</v>
      </c>
      <c r="M481" s="342">
        <f t="shared" si="235"/>
        <v>48494.327266276363</v>
      </c>
      <c r="N481" s="342">
        <f t="shared" si="235"/>
        <v>83251.17856512728</v>
      </c>
      <c r="O481" s="342">
        <f t="shared" si="235"/>
        <v>125122.12350913201</v>
      </c>
      <c r="P481" s="342">
        <f t="shared" si="235"/>
        <v>166943.87530568446</v>
      </c>
    </row>
    <row r="482" spans="1:17" s="247" customFormat="1"/>
    <row r="483" spans="1:17" s="247" customFormat="1"/>
    <row r="484" spans="1:17" s="247" customFormat="1">
      <c r="B484" s="247" t="s">
        <v>101</v>
      </c>
      <c r="E484" s="233"/>
      <c r="F484" s="233"/>
      <c r="G484" s="233"/>
      <c r="H484" s="233"/>
      <c r="I484" s="233"/>
      <c r="J484" s="233">
        <f>K484/4</f>
        <v>100</v>
      </c>
      <c r="K484" s="233">
        <v>400</v>
      </c>
      <c r="L484" s="233">
        <f>K484*(1+L485)</f>
        <v>408.4</v>
      </c>
      <c r="M484" s="233">
        <f t="shared" ref="M484:P484" si="236">L484*(1+M485)</f>
        <v>410.85039999999998</v>
      </c>
      <c r="N484" s="233">
        <f t="shared" si="236"/>
        <v>414.95890399999996</v>
      </c>
      <c r="O484" s="233">
        <f t="shared" si="236"/>
        <v>419.93841084799999</v>
      </c>
      <c r="P484" s="233">
        <f t="shared" si="236"/>
        <v>425.39761018902396</v>
      </c>
    </row>
    <row r="485" spans="1:17">
      <c r="K485" s="209">
        <v>5.0999999999999997E-2</v>
      </c>
      <c r="L485" s="209">
        <v>2.1000000000000001E-2</v>
      </c>
      <c r="M485" s="209">
        <v>6.0000000000000001E-3</v>
      </c>
      <c r="N485" s="209">
        <v>0.01</v>
      </c>
      <c r="O485" s="209">
        <v>1.2E-2</v>
      </c>
      <c r="P485" s="209">
        <v>1.3000000000000001E-2</v>
      </c>
    </row>
    <row r="487" spans="1:17">
      <c r="A487" s="154">
        <v>4</v>
      </c>
      <c r="B487" s="162" t="s">
        <v>126</v>
      </c>
      <c r="C487" s="162"/>
      <c r="D487" s="162"/>
      <c r="E487" s="162"/>
      <c r="F487" s="162"/>
      <c r="G487" s="162"/>
      <c r="H487" s="162"/>
      <c r="I487" s="162"/>
      <c r="J487" s="162"/>
      <c r="K487" s="162"/>
      <c r="L487" s="162"/>
      <c r="M487" s="162"/>
      <c r="N487" s="162"/>
      <c r="O487" s="162"/>
      <c r="P487" s="162"/>
      <c r="Q487" s="162"/>
    </row>
    <row r="489" spans="1:17">
      <c r="B489" s="196" t="s">
        <v>126</v>
      </c>
      <c r="C489" s="196"/>
      <c r="D489" s="196"/>
      <c r="E489" s="196"/>
      <c r="F489" s="196"/>
      <c r="G489" s="196"/>
      <c r="H489" s="196"/>
      <c r="I489" s="197"/>
      <c r="J489" s="196"/>
      <c r="K489" s="196"/>
      <c r="L489" s="196"/>
      <c r="M489" s="196"/>
      <c r="N489" s="196"/>
      <c r="O489" s="196"/>
      <c r="P489" s="196"/>
      <c r="Q489" s="196"/>
    </row>
    <row r="490" spans="1:17">
      <c r="B490" s="168" t="s">
        <v>547</v>
      </c>
      <c r="E490" s="154">
        <f>E513</f>
        <v>1639.5458136363638</v>
      </c>
      <c r="F490" s="154">
        <f t="shared" ref="F490:P490" si="237">F513</f>
        <v>5369.330802999998</v>
      </c>
      <c r="G490" s="154">
        <f t="shared" si="237"/>
        <v>9763.402630999999</v>
      </c>
      <c r="H490" s="154">
        <f t="shared" si="237"/>
        <v>13790.201549999996</v>
      </c>
      <c r="I490" s="221">
        <f>I513</f>
        <v>10816.044244999997</v>
      </c>
      <c r="J490" s="154">
        <f>K490-I490</f>
        <v>3712.335632063483</v>
      </c>
      <c r="K490" s="154">
        <f t="shared" si="237"/>
        <v>14528.37987706348</v>
      </c>
      <c r="L490" s="154">
        <f t="shared" si="237"/>
        <v>32827.362404843669</v>
      </c>
      <c r="M490" s="154">
        <f t="shared" si="237"/>
        <v>53440.027442761733</v>
      </c>
      <c r="N490" s="154">
        <f t="shared" si="237"/>
        <v>102810.81575764148</v>
      </c>
      <c r="O490" s="154">
        <f t="shared" si="237"/>
        <v>127150.72760331523</v>
      </c>
      <c r="P490" s="154">
        <f t="shared" si="237"/>
        <v>152518.2643276267</v>
      </c>
    </row>
    <row r="491" spans="1:17">
      <c r="B491" s="170" t="s">
        <v>456</v>
      </c>
      <c r="E491" s="286">
        <f t="shared" ref="E491:P491" si="238">IFERROR(E490/E57,"")</f>
        <v>1.9247207352407183</v>
      </c>
      <c r="F491" s="286">
        <f t="shared" si="238"/>
        <v>1.9327027835457431</v>
      </c>
      <c r="G491" s="286">
        <f t="shared" si="238"/>
        <v>1.3181652721175396</v>
      </c>
      <c r="H491" s="286">
        <f t="shared" si="238"/>
        <v>0.90683892271138544</v>
      </c>
      <c r="I491" s="343">
        <f t="shared" si="238"/>
        <v>0.66788327840910366</v>
      </c>
      <c r="J491" s="286">
        <f t="shared" si="238"/>
        <v>0.51846453909496704</v>
      </c>
      <c r="K491" s="286">
        <f t="shared" si="238"/>
        <v>0.62207354253641023</v>
      </c>
      <c r="L491" s="286">
        <f t="shared" si="238"/>
        <v>0.88519845009370912</v>
      </c>
      <c r="M491" s="286">
        <f t="shared" si="238"/>
        <v>0.8492175804086981</v>
      </c>
      <c r="N491" s="286">
        <f t="shared" si="238"/>
        <v>0.92517574649678691</v>
      </c>
      <c r="O491" s="286">
        <f t="shared" si="238"/>
        <v>0.71936625152404277</v>
      </c>
      <c r="P491" s="286">
        <f t="shared" si="238"/>
        <v>0.6291731064453806</v>
      </c>
    </row>
    <row r="492" spans="1:17">
      <c r="B492" s="168" t="s">
        <v>70</v>
      </c>
      <c r="E492" s="154">
        <f>E516</f>
        <v>0</v>
      </c>
      <c r="F492" s="154">
        <f t="shared" ref="F492:P492" si="239">F516</f>
        <v>0</v>
      </c>
      <c r="G492" s="154">
        <f t="shared" si="239"/>
        <v>0</v>
      </c>
      <c r="H492" s="154">
        <f t="shared" si="239"/>
        <v>0</v>
      </c>
      <c r="I492" s="221">
        <f t="shared" si="239"/>
        <v>1496.4481072487333</v>
      </c>
      <c r="J492" s="154">
        <f t="shared" si="239"/>
        <v>498.81603574957774</v>
      </c>
      <c r="K492" s="154">
        <f t="shared" si="239"/>
        <v>1995.2641429983109</v>
      </c>
      <c r="L492" s="154">
        <f t="shared" si="239"/>
        <v>22419.307755145834</v>
      </c>
      <c r="M492" s="154">
        <f t="shared" si="239"/>
        <v>31066.617009475685</v>
      </c>
      <c r="N492" s="154">
        <f t="shared" si="239"/>
        <v>45127.402446824985</v>
      </c>
      <c r="O492" s="154">
        <f t="shared" si="239"/>
        <v>58629.356626140921</v>
      </c>
      <c r="P492" s="154">
        <f t="shared" si="239"/>
        <v>66975.064000970859</v>
      </c>
    </row>
    <row r="493" spans="1:17">
      <c r="B493" s="170" t="s">
        <v>456</v>
      </c>
      <c r="E493" s="286"/>
      <c r="F493" s="286"/>
      <c r="G493" s="286"/>
      <c r="H493" s="286"/>
      <c r="I493" s="344"/>
      <c r="J493" s="286">
        <f t="shared" ref="J493:P493" si="240">J492/J209</f>
        <v>0.27563555218190167</v>
      </c>
      <c r="K493" s="286">
        <f t="shared" si="240"/>
        <v>0.27563555218190167</v>
      </c>
      <c r="L493" s="286">
        <f t="shared" si="240"/>
        <v>1.1966573499266702</v>
      </c>
      <c r="M493" s="286">
        <f t="shared" si="240"/>
        <v>0.73366834262575342</v>
      </c>
      <c r="N493" s="286">
        <f t="shared" si="240"/>
        <v>0.62046382109492493</v>
      </c>
      <c r="O493" s="286">
        <f t="shared" si="240"/>
        <v>0.52585478717662149</v>
      </c>
      <c r="P493" s="286">
        <f t="shared" si="240"/>
        <v>0.43294379486979068</v>
      </c>
    </row>
    <row r="494" spans="1:17">
      <c r="B494" s="165" t="s">
        <v>604</v>
      </c>
      <c r="C494" s="165"/>
      <c r="D494" s="165"/>
      <c r="E494" s="165">
        <f t="shared" ref="E494:P494" si="241">SUM(E490,E492)</f>
        <v>1639.5458136363638</v>
      </c>
      <c r="F494" s="165">
        <f t="shared" si="241"/>
        <v>5369.330802999998</v>
      </c>
      <c r="G494" s="165">
        <f t="shared" si="241"/>
        <v>9763.402630999999</v>
      </c>
      <c r="H494" s="165">
        <f t="shared" si="241"/>
        <v>13790.201549999996</v>
      </c>
      <c r="I494" s="271">
        <f t="shared" si="241"/>
        <v>12312.49235224873</v>
      </c>
      <c r="J494" s="165">
        <f t="shared" si="241"/>
        <v>4211.1516678130611</v>
      </c>
      <c r="K494" s="165">
        <f t="shared" si="241"/>
        <v>16523.644020061791</v>
      </c>
      <c r="L494" s="165">
        <f t="shared" si="241"/>
        <v>55246.670159989502</v>
      </c>
      <c r="M494" s="165">
        <f t="shared" si="241"/>
        <v>84506.644452237422</v>
      </c>
      <c r="N494" s="165">
        <f t="shared" si="241"/>
        <v>147938.21820446645</v>
      </c>
      <c r="O494" s="165">
        <f t="shared" si="241"/>
        <v>185780.08422945614</v>
      </c>
      <c r="P494" s="165">
        <f t="shared" si="241"/>
        <v>219493.32832859756</v>
      </c>
      <c r="Q494" s="165"/>
    </row>
    <row r="495" spans="1:17" ht="13.8" thickBot="1">
      <c r="B495" s="272" t="s">
        <v>212</v>
      </c>
      <c r="C495" s="273"/>
      <c r="D495" s="273"/>
      <c r="E495" s="274">
        <f t="shared" ref="E495:P495" si="242">IFERROR(E494/E67,"")</f>
        <v>1.4448284696912108</v>
      </c>
      <c r="F495" s="274">
        <f t="shared" si="242"/>
        <v>0.28801837613964287</v>
      </c>
      <c r="G495" s="274">
        <f t="shared" si="242"/>
        <v>0.25837971006460381</v>
      </c>
      <c r="H495" s="274">
        <f t="shared" si="242"/>
        <v>0.24380872626882819</v>
      </c>
      <c r="I495" s="275">
        <f t="shared" si="242"/>
        <v>0.17089118363681011</v>
      </c>
      <c r="J495" s="274">
        <f t="shared" si="242"/>
        <v>0.15798329522601789</v>
      </c>
      <c r="K495" s="274">
        <f t="shared" si="242"/>
        <v>0.16740533612984193</v>
      </c>
      <c r="L495" s="274">
        <f t="shared" si="242"/>
        <v>0.35947089723423747</v>
      </c>
      <c r="M495" s="274">
        <f t="shared" si="242"/>
        <v>0.38108444039810979</v>
      </c>
      <c r="N495" s="274">
        <f t="shared" si="242"/>
        <v>0.46975806257987335</v>
      </c>
      <c r="O495" s="274">
        <f t="shared" si="242"/>
        <v>0.43947865262885472</v>
      </c>
      <c r="P495" s="274">
        <f t="shared" si="242"/>
        <v>0.41235026565897798</v>
      </c>
      <c r="Q495" s="277"/>
    </row>
    <row r="496" spans="1:17">
      <c r="B496" s="171"/>
      <c r="C496" s="171"/>
      <c r="D496" s="171"/>
      <c r="E496" s="171"/>
      <c r="F496" s="171"/>
      <c r="G496" s="171"/>
      <c r="H496" s="171"/>
      <c r="I496" s="278"/>
      <c r="J496" s="171"/>
      <c r="K496" s="171"/>
      <c r="L496" s="171"/>
      <c r="M496" s="171"/>
      <c r="N496" s="171"/>
      <c r="O496" s="171"/>
      <c r="P496" s="171"/>
      <c r="Q496" s="171"/>
    </row>
    <row r="497" spans="2:17">
      <c r="B497" s="154" t="s">
        <v>337</v>
      </c>
      <c r="I497" s="221"/>
    </row>
    <row r="498" spans="2:17">
      <c r="B498" s="168" t="s">
        <v>66</v>
      </c>
      <c r="I498" s="221"/>
      <c r="J498" s="154">
        <f>J550</f>
        <v>92.80839080158708</v>
      </c>
      <c r="K498" s="154">
        <f>SUM(I498:J498)</f>
        <v>92.80839080158708</v>
      </c>
      <c r="L498" s="154">
        <f t="shared" ref="L498:P498" si="243">L550</f>
        <v>4025.2033668970635</v>
      </c>
      <c r="M498" s="154">
        <f t="shared" si="243"/>
        <v>12651.942351657603</v>
      </c>
      <c r="N498" s="154">
        <f t="shared" si="243"/>
        <v>28277.026671697924</v>
      </c>
      <c r="O498" s="154">
        <f t="shared" si="243"/>
        <v>51273.181007793602</v>
      </c>
      <c r="P498" s="154">
        <f t="shared" si="243"/>
        <v>79147.271810086197</v>
      </c>
    </row>
    <row r="499" spans="2:17">
      <c r="B499" s="170" t="s">
        <v>461</v>
      </c>
      <c r="C499" s="345">
        <v>1</v>
      </c>
      <c r="I499" s="221"/>
      <c r="J499" s="154">
        <f>J$498*$C499</f>
        <v>92.80839080158708</v>
      </c>
      <c r="K499" s="154">
        <f>K$498*$C499</f>
        <v>92.80839080158708</v>
      </c>
      <c r="L499" s="154">
        <f t="shared" ref="L499:P500" si="244">L$498*$C499</f>
        <v>4025.2033668970635</v>
      </c>
      <c r="M499" s="154">
        <f t="shared" si="244"/>
        <v>12651.942351657603</v>
      </c>
      <c r="N499" s="154">
        <f t="shared" si="244"/>
        <v>28277.026671697924</v>
      </c>
      <c r="O499" s="154">
        <f t="shared" si="244"/>
        <v>51273.181007793602</v>
      </c>
      <c r="P499" s="154">
        <f t="shared" si="244"/>
        <v>79147.271810086197</v>
      </c>
    </row>
    <row r="500" spans="2:17">
      <c r="B500" s="170" t="s">
        <v>434</v>
      </c>
      <c r="C500" s="286">
        <f>1-C499</f>
        <v>0</v>
      </c>
      <c r="I500" s="221"/>
      <c r="J500" s="154">
        <f>J$498*$C500</f>
        <v>0</v>
      </c>
      <c r="K500" s="154">
        <f>K$498*$C500</f>
        <v>0</v>
      </c>
      <c r="L500" s="154">
        <f t="shared" si="244"/>
        <v>0</v>
      </c>
      <c r="M500" s="154">
        <f t="shared" si="244"/>
        <v>0</v>
      </c>
      <c r="N500" s="154">
        <f t="shared" si="244"/>
        <v>0</v>
      </c>
      <c r="O500" s="154">
        <f t="shared" si="244"/>
        <v>0</v>
      </c>
      <c r="P500" s="154">
        <f t="shared" si="244"/>
        <v>0</v>
      </c>
    </row>
    <row r="501" spans="2:17">
      <c r="B501" s="168" t="s">
        <v>69</v>
      </c>
      <c r="I501" s="221"/>
      <c r="J501" s="154">
        <f>J560</f>
        <v>12.470400893739443</v>
      </c>
      <c r="K501" s="154">
        <f>SUM(I501:J501)</f>
        <v>12.470400893739443</v>
      </c>
      <c r="L501" s="154">
        <f t="shared" ref="L501:P501" si="245">L560</f>
        <v>2341.6939826644989</v>
      </c>
      <c r="M501" s="154">
        <f t="shared" si="245"/>
        <v>7690.2864591266507</v>
      </c>
      <c r="N501" s="154">
        <f t="shared" si="245"/>
        <v>15309.688404756716</v>
      </c>
      <c r="O501" s="154">
        <f t="shared" si="245"/>
        <v>25685.364312053309</v>
      </c>
      <c r="P501" s="154">
        <f t="shared" si="245"/>
        <v>38233.335973870744</v>
      </c>
    </row>
    <row r="502" spans="2:17">
      <c r="B502" s="170" t="s">
        <v>461</v>
      </c>
      <c r="C502" s="345">
        <v>1</v>
      </c>
      <c r="I502" s="221"/>
      <c r="J502" s="154">
        <f>J501*$C$502</f>
        <v>12.470400893739443</v>
      </c>
      <c r="K502" s="154">
        <f t="shared" ref="K502:P502" si="246">K501*$C$502</f>
        <v>12.470400893739443</v>
      </c>
      <c r="L502" s="154">
        <f t="shared" si="246"/>
        <v>2341.6939826644989</v>
      </c>
      <c r="M502" s="154">
        <f t="shared" si="246"/>
        <v>7690.2864591266507</v>
      </c>
      <c r="N502" s="154">
        <f t="shared" si="246"/>
        <v>15309.688404756716</v>
      </c>
      <c r="O502" s="154">
        <f t="shared" si="246"/>
        <v>25685.364312053309</v>
      </c>
      <c r="P502" s="154">
        <f t="shared" si="246"/>
        <v>38233.335973870744</v>
      </c>
    </row>
    <row r="503" spans="2:17">
      <c r="B503" s="170" t="s">
        <v>434</v>
      </c>
      <c r="C503" s="286">
        <f>1-C502</f>
        <v>0</v>
      </c>
      <c r="I503" s="221"/>
      <c r="J503" s="154">
        <f>J501*$C$503</f>
        <v>0</v>
      </c>
      <c r="K503" s="154">
        <f t="shared" ref="K503:P503" si="247">K501*$C$503</f>
        <v>0</v>
      </c>
      <c r="L503" s="154">
        <f t="shared" si="247"/>
        <v>0</v>
      </c>
      <c r="M503" s="154">
        <f t="shared" si="247"/>
        <v>0</v>
      </c>
      <c r="N503" s="154">
        <f t="shared" si="247"/>
        <v>0</v>
      </c>
      <c r="O503" s="154">
        <f t="shared" si="247"/>
        <v>0</v>
      </c>
      <c r="P503" s="154">
        <f t="shared" si="247"/>
        <v>0</v>
      </c>
    </row>
    <row r="504" spans="2:17">
      <c r="B504" s="168" t="s">
        <v>605</v>
      </c>
      <c r="I504" s="221"/>
      <c r="J504" s="154">
        <f>J595</f>
        <v>0</v>
      </c>
      <c r="K504" s="154">
        <f>SUM(I504:J504)</f>
        <v>0</v>
      </c>
      <c r="L504" s="154">
        <f t="shared" ref="L504:P504" si="248">L595</f>
        <v>0</v>
      </c>
      <c r="M504" s="154">
        <f t="shared" si="248"/>
        <v>0</v>
      </c>
      <c r="N504" s="154">
        <f t="shared" si="248"/>
        <v>0</v>
      </c>
      <c r="O504" s="154">
        <f t="shared" si="248"/>
        <v>0</v>
      </c>
      <c r="P504" s="154">
        <f t="shared" si="248"/>
        <v>0</v>
      </c>
    </row>
    <row r="505" spans="2:17">
      <c r="B505" s="170" t="s">
        <v>461</v>
      </c>
      <c r="C505" s="345">
        <v>1</v>
      </c>
      <c r="I505" s="221"/>
      <c r="J505" s="154">
        <f>J$504*$C505</f>
        <v>0</v>
      </c>
      <c r="K505" s="154">
        <f>K$504*$C505</f>
        <v>0</v>
      </c>
      <c r="L505" s="154">
        <f t="shared" ref="L505:P506" si="249">L$504*$C505</f>
        <v>0</v>
      </c>
      <c r="M505" s="154">
        <f t="shared" si="249"/>
        <v>0</v>
      </c>
      <c r="N505" s="154">
        <f t="shared" si="249"/>
        <v>0</v>
      </c>
      <c r="O505" s="154">
        <f t="shared" si="249"/>
        <v>0</v>
      </c>
      <c r="P505" s="154">
        <f t="shared" si="249"/>
        <v>0</v>
      </c>
    </row>
    <row r="506" spans="2:17">
      <c r="B506" s="170" t="s">
        <v>434</v>
      </c>
      <c r="C506" s="286">
        <f>1-C505</f>
        <v>0</v>
      </c>
      <c r="I506" s="221"/>
      <c r="J506" s="154">
        <f>J$504*$C506</f>
        <v>0</v>
      </c>
      <c r="K506" s="154">
        <f>K$504*$C506</f>
        <v>0</v>
      </c>
      <c r="L506" s="154">
        <f t="shared" si="249"/>
        <v>0</v>
      </c>
      <c r="M506" s="154">
        <f t="shared" si="249"/>
        <v>0</v>
      </c>
      <c r="N506" s="154">
        <f t="shared" si="249"/>
        <v>0</v>
      </c>
      <c r="O506" s="154">
        <f t="shared" si="249"/>
        <v>0</v>
      </c>
      <c r="P506" s="154">
        <f t="shared" si="249"/>
        <v>0</v>
      </c>
    </row>
    <row r="507" spans="2:17" ht="13.8" thickBot="1">
      <c r="B507" s="175" t="s">
        <v>606</v>
      </c>
      <c r="C507" s="175"/>
      <c r="D507" s="175"/>
      <c r="E507" s="175">
        <f>SUM(E498,E501,E504)</f>
        <v>0</v>
      </c>
      <c r="F507" s="175">
        <f t="shared" ref="F507:P507" si="250">SUM(F498,F501,F504)</f>
        <v>0</v>
      </c>
      <c r="G507" s="175">
        <f t="shared" si="250"/>
        <v>0</v>
      </c>
      <c r="H507" s="175"/>
      <c r="I507" s="200">
        <f t="shared" si="250"/>
        <v>0</v>
      </c>
      <c r="J507" s="175">
        <f t="shared" si="250"/>
        <v>105.27879169532652</v>
      </c>
      <c r="K507" s="175">
        <f t="shared" si="250"/>
        <v>105.27879169532652</v>
      </c>
      <c r="L507" s="175">
        <f t="shared" si="250"/>
        <v>6366.8973495615628</v>
      </c>
      <c r="M507" s="175">
        <f t="shared" si="250"/>
        <v>20342.228810784254</v>
      </c>
      <c r="N507" s="175">
        <f t="shared" si="250"/>
        <v>43586.715076454639</v>
      </c>
      <c r="O507" s="175">
        <f t="shared" si="250"/>
        <v>76958.545319846919</v>
      </c>
      <c r="P507" s="175">
        <f t="shared" si="250"/>
        <v>117380.60778395695</v>
      </c>
      <c r="Q507" s="175"/>
    </row>
    <row r="511" spans="2:17">
      <c r="B511" s="171" t="s">
        <v>607</v>
      </c>
      <c r="I511" s="291"/>
    </row>
    <row r="512" spans="2:17">
      <c r="E512" s="291"/>
      <c r="F512" s="291"/>
      <c r="G512" s="291"/>
      <c r="H512" s="291"/>
      <c r="I512" s="291"/>
      <c r="J512" s="291"/>
      <c r="K512" s="291"/>
      <c r="L512" s="291"/>
      <c r="M512" s="291"/>
      <c r="N512" s="291"/>
      <c r="O512" s="291"/>
      <c r="P512" s="291"/>
    </row>
    <row r="513" spans="2:17">
      <c r="B513" s="196" t="s">
        <v>608</v>
      </c>
      <c r="C513" s="196"/>
      <c r="D513" s="196"/>
      <c r="E513" s="196">
        <f>SUM(E514,E515)</f>
        <v>1639.5458136363638</v>
      </c>
      <c r="F513" s="196">
        <f t="shared" ref="F513:P513" si="251">SUM(F514,F515)</f>
        <v>5369.330802999998</v>
      </c>
      <c r="G513" s="196">
        <f t="shared" si="251"/>
        <v>9763.402630999999</v>
      </c>
      <c r="H513" s="196">
        <f t="shared" si="251"/>
        <v>13790.201549999996</v>
      </c>
      <c r="I513" s="197">
        <f t="shared" si="251"/>
        <v>10816.044244999997</v>
      </c>
      <c r="J513" s="196">
        <f>J490</f>
        <v>3712.335632063483</v>
      </c>
      <c r="K513" s="196">
        <f t="shared" si="251"/>
        <v>14528.37987706348</v>
      </c>
      <c r="L513" s="196">
        <f t="shared" si="251"/>
        <v>32827.362404843669</v>
      </c>
      <c r="M513" s="196">
        <f t="shared" si="251"/>
        <v>53440.027442761733</v>
      </c>
      <c r="N513" s="196">
        <f t="shared" si="251"/>
        <v>102810.81575764148</v>
      </c>
      <c r="O513" s="196">
        <f t="shared" si="251"/>
        <v>127150.72760331523</v>
      </c>
      <c r="P513" s="196">
        <f t="shared" si="251"/>
        <v>152518.2643276267</v>
      </c>
      <c r="Q513" s="196"/>
    </row>
    <row r="514" spans="2:17">
      <c r="B514" s="168" t="s">
        <v>467</v>
      </c>
      <c r="E514" s="154">
        <f>E519</f>
        <v>176.40521763636363</v>
      </c>
      <c r="F514" s="154">
        <f t="shared" ref="F514:P514" si="252">F519</f>
        <v>488.12098209090891</v>
      </c>
      <c r="G514" s="154">
        <f t="shared" si="252"/>
        <v>887.58205736363641</v>
      </c>
      <c r="H514" s="154">
        <f t="shared" si="252"/>
        <v>1253.6546863636363</v>
      </c>
      <c r="I514" s="221">
        <f t="shared" si="252"/>
        <v>983.27674954545455</v>
      </c>
      <c r="J514" s="154">
        <f t="shared" si="252"/>
        <v>434.74646691197245</v>
      </c>
      <c r="K514" s="154">
        <f t="shared" si="252"/>
        <v>1418.023216457427</v>
      </c>
      <c r="L514" s="154">
        <f t="shared" si="252"/>
        <v>4028.7296554585737</v>
      </c>
      <c r="M514" s="154">
        <f t="shared" si="252"/>
        <v>6812.2443158153537</v>
      </c>
      <c r="N514" s="154">
        <f t="shared" si="252"/>
        <v>11999.798948887994</v>
      </c>
      <c r="O514" s="154">
        <f t="shared" si="252"/>
        <v>18973.904342394664</v>
      </c>
      <c r="P514" s="154">
        <f t="shared" si="252"/>
        <v>25982.226516213323</v>
      </c>
    </row>
    <row r="515" spans="2:17">
      <c r="B515" s="168" t="s">
        <v>468</v>
      </c>
      <c r="E515" s="154">
        <f>E523</f>
        <v>1463.1405960000002</v>
      </c>
      <c r="F515" s="154">
        <f t="shared" ref="F515:P515" si="253">F523</f>
        <v>4881.2098209090891</v>
      </c>
      <c r="G515" s="154">
        <f t="shared" si="253"/>
        <v>8875.8205736363634</v>
      </c>
      <c r="H515" s="154">
        <f t="shared" si="253"/>
        <v>12536.54686363636</v>
      </c>
      <c r="I515" s="221">
        <f t="shared" si="253"/>
        <v>9832.7674954545437</v>
      </c>
      <c r="J515" s="154">
        <f t="shared" si="253"/>
        <v>3277.5891651515103</v>
      </c>
      <c r="K515" s="154">
        <f t="shared" si="253"/>
        <v>13110.356660606054</v>
      </c>
      <c r="L515" s="154">
        <f t="shared" si="253"/>
        <v>28798.632749385095</v>
      </c>
      <c r="M515" s="154">
        <f t="shared" si="253"/>
        <v>46627.783126946379</v>
      </c>
      <c r="N515" s="154">
        <f t="shared" si="253"/>
        <v>90811.016808753484</v>
      </c>
      <c r="O515" s="154">
        <f t="shared" si="253"/>
        <v>108176.82326092056</v>
      </c>
      <c r="P515" s="154">
        <f t="shared" si="253"/>
        <v>126536.03781141338</v>
      </c>
    </row>
    <row r="516" spans="2:17">
      <c r="B516" s="346" t="s">
        <v>609</v>
      </c>
      <c r="C516" s="177"/>
      <c r="D516" s="177"/>
      <c r="E516" s="177">
        <f>E529</f>
        <v>0</v>
      </c>
      <c r="F516" s="177">
        <f t="shared" ref="F516:P516" si="254">F529</f>
        <v>0</v>
      </c>
      <c r="G516" s="177">
        <f t="shared" si="254"/>
        <v>0</v>
      </c>
      <c r="H516" s="177">
        <f t="shared" si="254"/>
        <v>0</v>
      </c>
      <c r="I516" s="225">
        <f t="shared" si="254"/>
        <v>1496.4481072487333</v>
      </c>
      <c r="J516" s="177">
        <f t="shared" si="254"/>
        <v>498.81603574957774</v>
      </c>
      <c r="K516" s="177">
        <f t="shared" si="254"/>
        <v>1995.2641429983109</v>
      </c>
      <c r="L516" s="177">
        <f t="shared" si="254"/>
        <v>22419.307755145834</v>
      </c>
      <c r="M516" s="177">
        <f t="shared" si="254"/>
        <v>31066.617009475685</v>
      </c>
      <c r="N516" s="177">
        <f t="shared" si="254"/>
        <v>45127.402446824985</v>
      </c>
      <c r="O516" s="177">
        <f t="shared" si="254"/>
        <v>58629.356626140921</v>
      </c>
      <c r="P516" s="177">
        <f t="shared" si="254"/>
        <v>66975.064000970859</v>
      </c>
      <c r="Q516" s="177"/>
    </row>
    <row r="518" spans="2:17">
      <c r="B518" s="154" t="s">
        <v>610</v>
      </c>
    </row>
    <row r="519" spans="2:17">
      <c r="C519" s="154" t="s">
        <v>469</v>
      </c>
      <c r="E519" s="171">
        <v>176.40521763636363</v>
      </c>
      <c r="F519" s="171">
        <v>488.12098209090891</v>
      </c>
      <c r="G519" s="171">
        <v>887.58205736363641</v>
      </c>
      <c r="H519" s="430">
        <v>1253.6546863636363</v>
      </c>
      <c r="I519" s="430">
        <v>983.27674954545455</v>
      </c>
      <c r="J519" s="430">
        <f>K519-I519</f>
        <v>434.74646691197245</v>
      </c>
      <c r="K519" s="430">
        <f t="shared" ref="K519:P519" si="255">K73*K520</f>
        <v>1418.023216457427</v>
      </c>
      <c r="L519" s="430">
        <f t="shared" si="255"/>
        <v>4028.7296554585737</v>
      </c>
      <c r="M519" s="430">
        <f t="shared" si="255"/>
        <v>6812.2443158153537</v>
      </c>
      <c r="N519" s="430">
        <f t="shared" si="255"/>
        <v>11999.798948887994</v>
      </c>
      <c r="O519" s="430">
        <f t="shared" si="255"/>
        <v>18973.904342394664</v>
      </c>
      <c r="P519" s="430">
        <f t="shared" si="255"/>
        <v>25982.226516213323</v>
      </c>
    </row>
    <row r="520" spans="2:17">
      <c r="C520" s="154" t="s">
        <v>611</v>
      </c>
      <c r="D520" s="209">
        <f>AVERAGE(F520:I520)</f>
        <v>0.10967250583599482</v>
      </c>
      <c r="E520" s="291">
        <f>E519/E73</f>
        <v>0.20708831516962145</v>
      </c>
      <c r="F520" s="291">
        <f>F519/F73</f>
        <v>0.17570025304961301</v>
      </c>
      <c r="G520" s="291">
        <f>G519/G73</f>
        <v>0.11983320655613998</v>
      </c>
      <c r="H520" s="291">
        <f>H519/H73</f>
        <v>8.2439902064671416E-2</v>
      </c>
      <c r="I520" s="291">
        <f>I519/I73</f>
        <v>6.0716661673554898E-2</v>
      </c>
      <c r="J520" s="409">
        <f>I519/3</f>
        <v>327.7589165151515</v>
      </c>
      <c r="K520" s="291">
        <f>I520</f>
        <v>6.0716661673554898E-2</v>
      </c>
      <c r="L520" s="291">
        <f>D520</f>
        <v>0.10967250583599482</v>
      </c>
      <c r="M520" s="291">
        <f t="shared" ref="M520:P520" si="256">L520</f>
        <v>0.10967250583599482</v>
      </c>
      <c r="N520" s="291">
        <f t="shared" si="256"/>
        <v>0.10967250583599482</v>
      </c>
      <c r="O520" s="291">
        <f t="shared" si="256"/>
        <v>0.10967250583599482</v>
      </c>
      <c r="P520" s="291">
        <f t="shared" si="256"/>
        <v>0.10967250583599482</v>
      </c>
    </row>
    <row r="521" spans="2:17">
      <c r="D521" s="209">
        <f>AVERAGE(F521:I521)</f>
        <v>0.28160663909289679</v>
      </c>
      <c r="F521" s="291">
        <f>F519/E73</f>
        <v>0.57302246007552393</v>
      </c>
      <c r="G521" s="291">
        <f>G519/F73</f>
        <v>0.31948717183405734</v>
      </c>
      <c r="H521" s="291">
        <f>H519/G73</f>
        <v>0.16925698275977938</v>
      </c>
      <c r="I521" s="291">
        <f>I519/H73</f>
        <v>6.4659941702226456E-2</v>
      </c>
      <c r="J521" s="409"/>
      <c r="K521" s="420">
        <f>I521</f>
        <v>6.4659941702226456E-2</v>
      </c>
      <c r="L521" s="420">
        <v>0.16242433021100589</v>
      </c>
      <c r="M521" s="420">
        <v>0.15559167766223242</v>
      </c>
      <c r="N521" s="420">
        <v>0.14875902511345895</v>
      </c>
      <c r="O521" s="420">
        <v>0.14192637256468549</v>
      </c>
      <c r="P521" s="420">
        <v>0.13509372001591205</v>
      </c>
    </row>
    <row r="522" spans="2:17">
      <c r="H522" s="409"/>
      <c r="I522" s="409">
        <f>I73</f>
        <v>16194.512715999999</v>
      </c>
      <c r="J522" s="409"/>
      <c r="K522" s="409">
        <f>I73*K521</f>
        <v>1047.136248112525</v>
      </c>
      <c r="L522" s="409">
        <f>K73*L521</f>
        <v>3793.3816650705312</v>
      </c>
      <c r="M522" s="409">
        <f>L73*M521</f>
        <v>5715.5328143752276</v>
      </c>
      <c r="N522" s="409">
        <f>M73*N521</f>
        <v>9240.0808710509027</v>
      </c>
      <c r="O522" s="409">
        <f>N73*O521</f>
        <v>15528.850401831893</v>
      </c>
      <c r="P522" s="409">
        <f>O73*P521</f>
        <v>23371.904392093275</v>
      </c>
    </row>
    <row r="523" spans="2:17">
      <c r="C523" s="154" t="s">
        <v>612</v>
      </c>
      <c r="E523" s="154">
        <f>(E78*E96*12)</f>
        <v>1463.1405960000002</v>
      </c>
      <c r="F523" s="171">
        <v>4881.2098209090891</v>
      </c>
      <c r="G523" s="171">
        <v>8875.8205736363634</v>
      </c>
      <c r="H523" s="430">
        <v>12536.54686363636</v>
      </c>
      <c r="I523" s="430">
        <v>9832.7674954545437</v>
      </c>
      <c r="J523" s="430">
        <f>K523-I523</f>
        <v>3277.5891651515103</v>
      </c>
      <c r="K523" s="430">
        <f>K525*K524</f>
        <v>13110.356660606054</v>
      </c>
      <c r="L523" s="430">
        <f t="shared" ref="L523:P523" si="257">L525*L524</f>
        <v>28798.632749385095</v>
      </c>
      <c r="M523" s="430">
        <f t="shared" si="257"/>
        <v>46627.783126946379</v>
      </c>
      <c r="N523" s="430">
        <f t="shared" si="257"/>
        <v>90811.016808753484</v>
      </c>
      <c r="O523" s="430">
        <f t="shared" si="257"/>
        <v>108176.82326092056</v>
      </c>
      <c r="P523" s="430">
        <f t="shared" si="257"/>
        <v>126536.03781141338</v>
      </c>
    </row>
    <row r="524" spans="2:17">
      <c r="B524" s="168"/>
      <c r="C524" s="154" t="s">
        <v>471</v>
      </c>
      <c r="D524" s="209">
        <f>AVERAGE(G524:H524)</f>
        <v>0.84746211779619673</v>
      </c>
      <c r="E524" s="291" t="e">
        <f>E523/E525</f>
        <v>#DIV/0!</v>
      </c>
      <c r="F524" s="291">
        <f>F523/F525</f>
        <v>1.1033626587308696</v>
      </c>
      <c r="G524" s="291">
        <f>G523/G525</f>
        <v>0.85715563805460271</v>
      </c>
      <c r="H524" s="291">
        <f>H523/H525</f>
        <v>0.83776859753779076</v>
      </c>
      <c r="I524" s="291">
        <f>I523/I525</f>
        <v>0.83168090386254689</v>
      </c>
      <c r="J524" s="409">
        <f>I523/3-J523</f>
        <v>4.0927261579781771E-12</v>
      </c>
      <c r="K524" s="291">
        <f>I524</f>
        <v>0.83168090386254689</v>
      </c>
      <c r="L524" s="291">
        <f>D524</f>
        <v>0.84746211779619673</v>
      </c>
      <c r="M524" s="291">
        <f t="shared" ref="M524:P524" si="258">L524</f>
        <v>0.84746211779619673</v>
      </c>
      <c r="N524" s="291">
        <f t="shared" si="258"/>
        <v>0.84746211779619673</v>
      </c>
      <c r="O524" s="291">
        <f t="shared" si="258"/>
        <v>0.84746211779619673</v>
      </c>
      <c r="P524" s="291">
        <f t="shared" si="258"/>
        <v>0.84746211779619673</v>
      </c>
    </row>
    <row r="525" spans="2:17">
      <c r="B525" s="168"/>
      <c r="C525" s="154" t="s">
        <v>613</v>
      </c>
      <c r="E525" s="291"/>
      <c r="F525" s="347">
        <f>(F78*F96*12)</f>
        <v>4423.9396560000005</v>
      </c>
      <c r="G525" s="347">
        <f>(G78*G96*12)</f>
        <v>10354.969598964422</v>
      </c>
      <c r="H525" s="347">
        <f>(H78*H96*12)</f>
        <v>14964.211955999999</v>
      </c>
      <c r="I525" s="347">
        <f>(I78*I96*12)</f>
        <v>11822.764535999999</v>
      </c>
      <c r="J525" s="347"/>
      <c r="K525" s="347">
        <f t="shared" ref="K525:P525" si="259">(K78*K96*12)</f>
        <v>15763.686047999992</v>
      </c>
      <c r="L525" s="347">
        <f t="shared" si="259"/>
        <v>33982.206572578361</v>
      </c>
      <c r="M525" s="347">
        <f t="shared" si="259"/>
        <v>55020.492536233622</v>
      </c>
      <c r="N525" s="347">
        <f t="shared" si="259"/>
        <v>107156.43201244815</v>
      </c>
      <c r="O525" s="347">
        <f t="shared" si="259"/>
        <v>127647.97504132878</v>
      </c>
      <c r="P525" s="347">
        <f t="shared" si="259"/>
        <v>149311.73341466527</v>
      </c>
    </row>
    <row r="526" spans="2:17">
      <c r="B526" s="168"/>
      <c r="E526" s="291"/>
      <c r="F526" s="291"/>
      <c r="G526" s="291"/>
      <c r="H526" s="291"/>
      <c r="I526" s="291"/>
      <c r="J526" s="409"/>
      <c r="K526" s="291"/>
      <c r="L526" s="291"/>
      <c r="M526" s="291"/>
      <c r="N526" s="291"/>
      <c r="O526" s="291"/>
      <c r="P526" s="291"/>
    </row>
    <row r="527" spans="2:17">
      <c r="E527" s="291"/>
      <c r="F527" s="291"/>
      <c r="G527" s="291"/>
      <c r="H527" s="291"/>
      <c r="I527" s="291"/>
      <c r="J527" s="409"/>
      <c r="K527" s="291"/>
      <c r="L527" s="291"/>
      <c r="M527" s="291"/>
      <c r="N527" s="291"/>
      <c r="O527" s="291"/>
      <c r="P527" s="291"/>
    </row>
    <row r="528" spans="2:17">
      <c r="H528" s="409"/>
      <c r="I528" s="409">
        <v>0</v>
      </c>
      <c r="J528" s="409"/>
      <c r="K528" s="409"/>
      <c r="L528" s="409"/>
      <c r="M528" s="409"/>
      <c r="N528" s="409"/>
      <c r="O528" s="409"/>
      <c r="P528" s="409"/>
    </row>
    <row r="529" spans="2:16">
      <c r="B529" s="154" t="s">
        <v>614</v>
      </c>
      <c r="E529" s="171"/>
      <c r="F529" s="171">
        <v>0</v>
      </c>
      <c r="G529" s="171">
        <v>0</v>
      </c>
      <c r="H529" s="430">
        <v>0</v>
      </c>
      <c r="I529" s="430">
        <f>K529-J529</f>
        <v>1496.4481072487333</v>
      </c>
      <c r="J529" s="430">
        <f>K529/4</f>
        <v>498.81603574957774</v>
      </c>
      <c r="K529" s="430">
        <f>K532+K536</f>
        <v>1995.2641429983109</v>
      </c>
      <c r="L529" s="430">
        <f t="shared" ref="L529:P529" si="260">L532+L536</f>
        <v>22419.307755145834</v>
      </c>
      <c r="M529" s="430">
        <f t="shared" si="260"/>
        <v>31066.617009475685</v>
      </c>
      <c r="N529" s="430">
        <f t="shared" si="260"/>
        <v>45127.402446824985</v>
      </c>
      <c r="O529" s="430">
        <f t="shared" si="260"/>
        <v>58629.356626140921</v>
      </c>
      <c r="P529" s="430">
        <f t="shared" si="260"/>
        <v>66975.064000970859</v>
      </c>
    </row>
    <row r="530" spans="2:16">
      <c r="C530" s="154" t="s">
        <v>615</v>
      </c>
      <c r="E530" s="291">
        <f>E529/(E78*E96*12)</f>
        <v>0</v>
      </c>
      <c r="F530" s="291">
        <f>F529/(F78*F96*12)</f>
        <v>0</v>
      </c>
      <c r="G530" s="291">
        <f>G529/(G78*G96*12)</f>
        <v>0</v>
      </c>
      <c r="H530" s="291"/>
      <c r="I530" s="291">
        <f>I529/(I78*I96*12)</f>
        <v>0.12657345096335881</v>
      </c>
      <c r="J530" s="409"/>
      <c r="K530" s="291">
        <f>G530</f>
        <v>0</v>
      </c>
      <c r="L530" s="291">
        <f t="shared" ref="L530:P530" si="261">K530</f>
        <v>0</v>
      </c>
      <c r="M530" s="291">
        <f t="shared" si="261"/>
        <v>0</v>
      </c>
      <c r="N530" s="291">
        <f t="shared" si="261"/>
        <v>0</v>
      </c>
      <c r="O530" s="291">
        <f t="shared" si="261"/>
        <v>0</v>
      </c>
      <c r="P530" s="291">
        <f t="shared" si="261"/>
        <v>0</v>
      </c>
    </row>
    <row r="531" spans="2:16">
      <c r="H531" s="409"/>
      <c r="I531" s="409"/>
      <c r="J531" s="409"/>
      <c r="K531" s="409"/>
      <c r="L531" s="409"/>
      <c r="M531" s="409"/>
      <c r="N531" s="409"/>
      <c r="O531" s="409"/>
      <c r="P531" s="409"/>
    </row>
    <row r="532" spans="2:16">
      <c r="C532" s="154" t="s">
        <v>469</v>
      </c>
      <c r="H532" s="409"/>
      <c r="I532" s="409"/>
      <c r="J532" s="409"/>
      <c r="K532" s="409">
        <f>K533*K534</f>
        <v>439.51434044275788</v>
      </c>
      <c r="L532" s="409">
        <f t="shared" ref="L532:P532" si="262">L533*L534</f>
        <v>2054.7081925881848</v>
      </c>
      <c r="M532" s="409">
        <f t="shared" si="262"/>
        <v>4643.9972087146989</v>
      </c>
      <c r="N532" s="409">
        <f t="shared" si="262"/>
        <v>7976.670258515388</v>
      </c>
      <c r="O532" s="409">
        <f t="shared" si="262"/>
        <v>12227.764420030611</v>
      </c>
      <c r="P532" s="409">
        <f t="shared" si="262"/>
        <v>16965.996936673349</v>
      </c>
    </row>
    <row r="533" spans="2:16">
      <c r="D533" s="154" t="s">
        <v>616</v>
      </c>
      <c r="H533" s="409">
        <f>H209</f>
        <v>3728.4214440000001</v>
      </c>
      <c r="I533" s="409"/>
      <c r="J533" s="409"/>
      <c r="K533" s="409">
        <f t="shared" ref="K533:P533" si="263">K209</f>
        <v>7238.7764466666667</v>
      </c>
      <c r="L533" s="409">
        <f t="shared" si="263"/>
        <v>18734.943429311377</v>
      </c>
      <c r="M533" s="409">
        <f t="shared" si="263"/>
        <v>42344.22450107387</v>
      </c>
      <c r="N533" s="409">
        <f t="shared" si="263"/>
        <v>72731.722483333855</v>
      </c>
      <c r="O533" s="409">
        <f t="shared" si="263"/>
        <v>111493.43517614262</v>
      </c>
      <c r="P533" s="409">
        <f t="shared" si="263"/>
        <v>154696.90244922863</v>
      </c>
    </row>
    <row r="534" spans="2:16">
      <c r="D534" s="154" t="s">
        <v>470</v>
      </c>
      <c r="H534" s="409"/>
      <c r="I534" s="409"/>
      <c r="J534" s="409"/>
      <c r="K534" s="291">
        <f>K520</f>
        <v>6.0716661673554898E-2</v>
      </c>
      <c r="L534" s="291">
        <f t="shared" ref="L534:P534" si="264">L520</f>
        <v>0.10967250583599482</v>
      </c>
      <c r="M534" s="291">
        <f t="shared" si="264"/>
        <v>0.10967250583599482</v>
      </c>
      <c r="N534" s="291">
        <f t="shared" si="264"/>
        <v>0.10967250583599482</v>
      </c>
      <c r="O534" s="291">
        <f t="shared" si="264"/>
        <v>0.10967250583599482</v>
      </c>
      <c r="P534" s="291">
        <f t="shared" si="264"/>
        <v>0.10967250583599482</v>
      </c>
    </row>
    <row r="535" spans="2:16">
      <c r="H535" s="409"/>
      <c r="I535" s="409"/>
      <c r="J535" s="409"/>
      <c r="K535" s="347">
        <f>H533*K521</f>
        <v>241.07951321037098</v>
      </c>
      <c r="L535" s="347">
        <f>K533*L521</f>
        <v>1175.7534158970386</v>
      </c>
      <c r="M535" s="347">
        <f t="shared" ref="M535:P535" si="265">L533*M521</f>
        <v>2915.001279073575</v>
      </c>
      <c r="N535" s="347">
        <f t="shared" si="265"/>
        <v>6299.0855559651918</v>
      </c>
      <c r="O535" s="347">
        <f t="shared" si="265"/>
        <v>10322.549542440953</v>
      </c>
      <c r="P535" s="347">
        <f t="shared" si="265"/>
        <v>15062.062915298051</v>
      </c>
    </row>
    <row r="536" spans="2:16">
      <c r="C536" s="154" t="s">
        <v>617</v>
      </c>
      <c r="H536" s="409"/>
      <c r="I536" s="409"/>
      <c r="J536" s="409"/>
      <c r="K536" s="430">
        <f>K538*K537</f>
        <v>1555.7498025555531</v>
      </c>
      <c r="L536" s="430">
        <f t="shared" ref="L536:P536" si="266">L538*L537</f>
        <v>20364.599562557651</v>
      </c>
      <c r="M536" s="430">
        <f t="shared" si="266"/>
        <v>26422.619800760986</v>
      </c>
      <c r="N536" s="430">
        <f t="shared" si="266"/>
        <v>37150.732188309594</v>
      </c>
      <c r="O536" s="430">
        <f t="shared" si="266"/>
        <v>46401.592206110312</v>
      </c>
      <c r="P536" s="430">
        <f t="shared" si="266"/>
        <v>50009.067064297509</v>
      </c>
    </row>
    <row r="537" spans="2:16">
      <c r="H537" s="409"/>
      <c r="I537" s="409"/>
      <c r="J537" s="409"/>
      <c r="K537" s="409">
        <f t="shared" ref="K537:P537" si="267">K227*K214*12</f>
        <v>1870.6090224390605</v>
      </c>
      <c r="L537" s="409">
        <f t="shared" si="267"/>
        <v>24030.100148329064</v>
      </c>
      <c r="M537" s="409">
        <f t="shared" si="267"/>
        <v>31178.526149903104</v>
      </c>
      <c r="N537" s="409">
        <f t="shared" si="267"/>
        <v>43837.631686616398</v>
      </c>
      <c r="O537" s="409">
        <f t="shared" si="267"/>
        <v>54753.58866397055</v>
      </c>
      <c r="P537" s="409">
        <f t="shared" si="267"/>
        <v>59010.386439862101</v>
      </c>
    </row>
    <row r="538" spans="2:16">
      <c r="D538" s="154" t="s">
        <v>618</v>
      </c>
      <c r="K538" s="291">
        <f>K524</f>
        <v>0.83168090386254689</v>
      </c>
      <c r="L538" s="291">
        <f t="shared" ref="L538:P538" si="268">L524</f>
        <v>0.84746211779619673</v>
      </c>
      <c r="M538" s="291">
        <f t="shared" si="268"/>
        <v>0.84746211779619673</v>
      </c>
      <c r="N538" s="291">
        <f t="shared" si="268"/>
        <v>0.84746211779619673</v>
      </c>
      <c r="O538" s="291">
        <f t="shared" si="268"/>
        <v>0.84746211779619673</v>
      </c>
      <c r="P538" s="291">
        <f t="shared" si="268"/>
        <v>0.84746211779619673</v>
      </c>
    </row>
    <row r="541" spans="2:16">
      <c r="B541" s="171" t="s">
        <v>474</v>
      </c>
      <c r="O541" s="409"/>
      <c r="P541" s="409"/>
    </row>
    <row r="542" spans="2:16">
      <c r="O542" s="409"/>
      <c r="P542" s="409"/>
    </row>
    <row r="543" spans="2:16">
      <c r="B543" s="154" t="s">
        <v>547</v>
      </c>
      <c r="D543" s="154" t="s">
        <v>126</v>
      </c>
      <c r="E543" s="154" t="s">
        <v>475</v>
      </c>
      <c r="O543" s="409"/>
      <c r="P543" s="409"/>
    </row>
    <row r="544" spans="2:16">
      <c r="C544" s="154">
        <v>2022</v>
      </c>
      <c r="D544" s="154">
        <f>J490</f>
        <v>3712.335632063483</v>
      </c>
      <c r="E544" s="154">
        <v>5</v>
      </c>
      <c r="J544" s="154">
        <f>$D544/$E$544/4/2</f>
        <v>92.80839080158708</v>
      </c>
      <c r="L544" s="154">
        <f>MIN($D544/$E$544,$D544-SUM($J544:J544))</f>
        <v>742.46712641269664</v>
      </c>
      <c r="M544" s="154">
        <f>MIN($D544/$E$544,$D544-SUM($J544:K544))</f>
        <v>742.46712641269664</v>
      </c>
      <c r="N544" s="154">
        <f>MIN($D544/$E$544,$D544-SUM($J544:L544))</f>
        <v>742.46712641269664</v>
      </c>
      <c r="O544" s="409">
        <f>MIN($D544/$E$544,$D544-SUM($J544:M544))</f>
        <v>742.46712641269664</v>
      </c>
      <c r="P544" s="409">
        <f>MIN($D544/$E$544,$D544-SUM($J544:O544))</f>
        <v>649.65873561110948</v>
      </c>
    </row>
    <row r="545" spans="1:17">
      <c r="C545" s="154">
        <f t="shared" ref="C545:C549" si="269">C544+1</f>
        <v>2023</v>
      </c>
      <c r="D545" s="154">
        <f t="array" ref="D545:D549">TRANSPOSE(L513:P513)</f>
        <v>32827.362404843669</v>
      </c>
      <c r="L545" s="154">
        <f>$D545/$E$544/2</f>
        <v>3282.736240484367</v>
      </c>
      <c r="M545" s="154">
        <f>MIN($D545/$E$544,$D545-SUM($K545:L545))</f>
        <v>6565.4724809687341</v>
      </c>
      <c r="N545" s="154">
        <f>MIN($D545/$E$544,$D545-SUM($K545:M545))</f>
        <v>6565.4724809687341</v>
      </c>
      <c r="O545" s="409">
        <f>MIN($D545/$E$544,$D545-SUM($K545:N545))</f>
        <v>6565.4724809687341</v>
      </c>
      <c r="P545" s="409">
        <f>MIN($D545/$E$544,$D545-SUM($K545:O545))</f>
        <v>6565.4724809687341</v>
      </c>
    </row>
    <row r="546" spans="1:17">
      <c r="C546" s="154">
        <f t="shared" si="269"/>
        <v>2024</v>
      </c>
      <c r="D546" s="154">
        <v>53440.027442761733</v>
      </c>
      <c r="M546" s="154">
        <f>$D546/$E$544/2</f>
        <v>5344.002744276173</v>
      </c>
      <c r="N546" s="154">
        <f>MIN($D546/$E$544,$D546-SUM($K546:M546))</f>
        <v>10688.005488552346</v>
      </c>
      <c r="O546" s="409">
        <f>MIN($D546/$E$544,$D546-SUM($K546:N546))</f>
        <v>10688.005488552346</v>
      </c>
      <c r="P546" s="409">
        <f>MIN($D546/$E$544,$D546-SUM($K546:O546))</f>
        <v>10688.005488552346</v>
      </c>
    </row>
    <row r="547" spans="1:17">
      <c r="C547" s="154">
        <f t="shared" si="269"/>
        <v>2025</v>
      </c>
      <c r="D547" s="154">
        <v>102810.81575764148</v>
      </c>
      <c r="N547" s="154">
        <f>$D547/$E$544/2</f>
        <v>10281.081575764149</v>
      </c>
      <c r="O547" s="409">
        <f>MIN($D547/$E$544,$D547-SUM($K547:N547))</f>
        <v>20562.163151528297</v>
      </c>
      <c r="P547" s="409">
        <f>MIN($D547/$E$544,$D547-SUM($K547:O547))</f>
        <v>20562.163151528297</v>
      </c>
    </row>
    <row r="548" spans="1:17">
      <c r="C548" s="154">
        <f t="shared" si="269"/>
        <v>2026</v>
      </c>
      <c r="D548" s="154">
        <v>127150.72760331523</v>
      </c>
      <c r="O548" s="409">
        <f>$D548/$E$544/2</f>
        <v>12715.072760331523</v>
      </c>
      <c r="P548" s="409">
        <f>MIN($D548/$E$544,$D548-SUM($K548:O548))</f>
        <v>25430.145520663045</v>
      </c>
    </row>
    <row r="549" spans="1:17">
      <c r="C549" s="154">
        <f t="shared" si="269"/>
        <v>2027</v>
      </c>
      <c r="D549" s="154">
        <v>152518.2643276267</v>
      </c>
      <c r="O549" s="409"/>
      <c r="P549" s="409">
        <f>$D549/$E$544/2</f>
        <v>15251.826432762671</v>
      </c>
    </row>
    <row r="550" spans="1:17" ht="13.8" thickBot="1">
      <c r="J550" s="175">
        <f>SUM(J544:J549)</f>
        <v>92.80839080158708</v>
      </c>
      <c r="K550" s="175"/>
      <c r="L550" s="175">
        <f t="shared" ref="L550:P550" si="270">SUM(L544:L549)</f>
        <v>4025.2033668970635</v>
      </c>
      <c r="M550" s="175">
        <f t="shared" si="270"/>
        <v>12651.942351657603</v>
      </c>
      <c r="N550" s="175">
        <f t="shared" si="270"/>
        <v>28277.026671697924</v>
      </c>
      <c r="O550" s="439">
        <f t="shared" si="270"/>
        <v>51273.181007793602</v>
      </c>
      <c r="P550" s="439">
        <f t="shared" si="270"/>
        <v>79147.271810086197</v>
      </c>
    </row>
    <row r="551" spans="1:17">
      <c r="O551" s="409"/>
      <c r="P551" s="409"/>
    </row>
    <row r="552" spans="1:17">
      <c r="O552" s="409"/>
      <c r="P552" s="409"/>
    </row>
    <row r="553" spans="1:17">
      <c r="B553" s="154" t="s">
        <v>70</v>
      </c>
      <c r="D553" s="154" t="s">
        <v>126</v>
      </c>
      <c r="E553" s="154" t="s">
        <v>475</v>
      </c>
      <c r="O553" s="409"/>
      <c r="P553" s="409"/>
    </row>
    <row r="554" spans="1:17">
      <c r="C554" s="154">
        <v>2022</v>
      </c>
      <c r="D554" s="154">
        <f>J516</f>
        <v>498.81603574957774</v>
      </c>
      <c r="E554" s="154">
        <v>5</v>
      </c>
      <c r="J554" s="154">
        <f>$D554/$E$554/4/2</f>
        <v>12.470400893739443</v>
      </c>
      <c r="L554" s="154">
        <f>MIN($D554/$E$554,$D554-SUM($K554:K554))</f>
        <v>99.763207149915544</v>
      </c>
      <c r="M554" s="154">
        <f>MIN($D554/$E$554,$D554-SUM($K554:L554))</f>
        <v>99.763207149915544</v>
      </c>
      <c r="N554" s="154">
        <f>MIN($D554/$E$554,$D554-SUM($K554:M554))</f>
        <v>99.763207149915544</v>
      </c>
      <c r="O554" s="409">
        <f>MIN($D554/$E$554,$D554-SUM($K554:N554))</f>
        <v>99.763207149915544</v>
      </c>
      <c r="P554" s="409">
        <f>MIN($D554/$E$554,$D554-SUM($J554:O554))</f>
        <v>87.292806256176107</v>
      </c>
    </row>
    <row r="555" spans="1:17" s="246" customFormat="1">
      <c r="A555" s="154"/>
      <c r="B555" s="154"/>
      <c r="C555" s="154">
        <f t="shared" ref="C555:C559" si="271">C554+1</f>
        <v>2023</v>
      </c>
      <c r="D555" s="154">
        <f t="array" ref="D555:D559">TRANSPOSE(L516:P516)</f>
        <v>22419.307755145834</v>
      </c>
      <c r="E555" s="154"/>
      <c r="F555" s="154"/>
      <c r="G555" s="154"/>
      <c r="H555" s="154"/>
      <c r="I555" s="154"/>
      <c r="J555" s="154"/>
      <c r="K555" s="154"/>
      <c r="L555" s="154">
        <f>$D555/$E$554/2</f>
        <v>2241.9307755145833</v>
      </c>
      <c r="M555" s="154">
        <f>MIN($D555/$E$554,$D555-SUM($K555:L555))</f>
        <v>4483.8615510291665</v>
      </c>
      <c r="N555" s="154">
        <f>MIN($D555/$E$554,$D555-SUM($K555:M555))</f>
        <v>4483.8615510291665</v>
      </c>
      <c r="O555" s="409">
        <f>MIN($D555/$E$554,$D555-SUM($K555:N555))</f>
        <v>4483.8615510291665</v>
      </c>
      <c r="P555" s="409">
        <f>MIN($D555/$E$554,$D555-SUM($K555:O555))</f>
        <v>4483.8615510291665</v>
      </c>
      <c r="Q555" s="154"/>
    </row>
    <row r="556" spans="1:17" s="246" customFormat="1">
      <c r="A556" s="154"/>
      <c r="B556" s="154"/>
      <c r="C556" s="154">
        <f t="shared" si="271"/>
        <v>2024</v>
      </c>
      <c r="D556" s="154">
        <v>31066.617009475685</v>
      </c>
      <c r="E556" s="154"/>
      <c r="F556" s="154"/>
      <c r="G556" s="154"/>
      <c r="H556" s="154"/>
      <c r="I556" s="154"/>
      <c r="J556" s="154"/>
      <c r="K556" s="154"/>
      <c r="L556" s="154"/>
      <c r="M556" s="154">
        <f>$D556/$E$554/2</f>
        <v>3106.6617009475685</v>
      </c>
      <c r="N556" s="154">
        <f>MIN($D556/$E$554,$D556-SUM($K556:M556))</f>
        <v>6213.3234018951371</v>
      </c>
      <c r="O556" s="409">
        <f>MIN($D556/$E$554,$D556-SUM($K556:N556))</f>
        <v>6213.3234018951371</v>
      </c>
      <c r="P556" s="409">
        <f>MIN($D556/$E$554,$D556-SUM($K556:O556))</f>
        <v>6213.3234018951371</v>
      </c>
      <c r="Q556" s="154"/>
    </row>
    <row r="557" spans="1:17" s="246" customFormat="1">
      <c r="A557" s="154"/>
      <c r="B557" s="154"/>
      <c r="C557" s="154">
        <f t="shared" si="271"/>
        <v>2025</v>
      </c>
      <c r="D557" s="154">
        <v>45127.402446824985</v>
      </c>
      <c r="E557" s="154"/>
      <c r="F557" s="154"/>
      <c r="G557" s="154"/>
      <c r="H557" s="154"/>
      <c r="I557" s="154"/>
      <c r="J557" s="154"/>
      <c r="K557" s="154"/>
      <c r="L557" s="154"/>
      <c r="M557" s="154"/>
      <c r="N557" s="154">
        <f>$D557/$E$554/2</f>
        <v>4512.7402446824981</v>
      </c>
      <c r="O557" s="409">
        <f>MIN($D557/$E$554,$D557-SUM($K557:N557))</f>
        <v>9025.4804893649962</v>
      </c>
      <c r="P557" s="409">
        <f>MIN($D557/$E$554,$D557-SUM($K557:O557))</f>
        <v>9025.4804893649962</v>
      </c>
      <c r="Q557" s="154"/>
    </row>
    <row r="558" spans="1:17" s="246" customFormat="1">
      <c r="A558" s="154"/>
      <c r="B558" s="154"/>
      <c r="C558" s="154">
        <f t="shared" si="271"/>
        <v>2026</v>
      </c>
      <c r="D558" s="154">
        <v>58629.356626140921</v>
      </c>
      <c r="E558" s="154"/>
      <c r="F558" s="154"/>
      <c r="G558" s="154"/>
      <c r="H558" s="154"/>
      <c r="I558" s="154"/>
      <c r="J558" s="154"/>
      <c r="K558" s="154"/>
      <c r="L558" s="154"/>
      <c r="M558" s="154"/>
      <c r="N558" s="154"/>
      <c r="O558" s="409">
        <f>$D558/$E$554/2</f>
        <v>5862.9356626140925</v>
      </c>
      <c r="P558" s="409">
        <f>MIN($D558/$E$554,$D558-SUM($K558:O558))</f>
        <v>11725.871325228185</v>
      </c>
      <c r="Q558" s="154"/>
    </row>
    <row r="559" spans="1:17" s="246" customFormat="1">
      <c r="A559" s="154"/>
      <c r="B559" s="154"/>
      <c r="C559" s="154">
        <f t="shared" si="271"/>
        <v>2027</v>
      </c>
      <c r="D559" s="154">
        <v>66975.064000970859</v>
      </c>
      <c r="E559" s="154"/>
      <c r="F559" s="154"/>
      <c r="G559" s="154"/>
      <c r="H559" s="154"/>
      <c r="I559" s="154"/>
      <c r="J559" s="154"/>
      <c r="K559" s="154"/>
      <c r="L559" s="154"/>
      <c r="M559" s="154"/>
      <c r="N559" s="154"/>
      <c r="O559" s="154"/>
      <c r="P559" s="154">
        <f>$D559/$E$554/2</f>
        <v>6697.506400097086</v>
      </c>
      <c r="Q559" s="154"/>
    </row>
    <row r="560" spans="1:17" s="246" customFormat="1" ht="13.8" thickBot="1">
      <c r="A560" s="154"/>
      <c r="B560" s="154"/>
      <c r="C560" s="154"/>
      <c r="D560" s="154"/>
      <c r="E560" s="154"/>
      <c r="F560" s="154"/>
      <c r="G560" s="154"/>
      <c r="H560" s="154"/>
      <c r="I560" s="154"/>
      <c r="J560" s="175">
        <f>SUM(J554:J559)</f>
        <v>12.470400893739443</v>
      </c>
      <c r="K560" s="175">
        <f>SUM(K554:K559)</f>
        <v>0</v>
      </c>
      <c r="L560" s="175">
        <f t="shared" ref="L560:P560" si="272">SUM(L554:L559)</f>
        <v>2341.6939826644989</v>
      </c>
      <c r="M560" s="175">
        <f t="shared" si="272"/>
        <v>7690.2864591266507</v>
      </c>
      <c r="N560" s="175">
        <f t="shared" si="272"/>
        <v>15309.688404756716</v>
      </c>
      <c r="O560" s="175">
        <f t="shared" si="272"/>
        <v>25685.364312053309</v>
      </c>
      <c r="P560" s="175">
        <f t="shared" si="272"/>
        <v>38233.335973870744</v>
      </c>
      <c r="Q560" s="154"/>
    </row>
    <row r="561" spans="1:17" s="246" customFormat="1">
      <c r="A561" s="154"/>
      <c r="B561" s="154"/>
      <c r="C561" s="154"/>
      <c r="D561" s="154"/>
      <c r="E561" s="154"/>
      <c r="F561" s="154"/>
      <c r="G561" s="154"/>
      <c r="H561" s="154"/>
      <c r="I561" s="154"/>
      <c r="J561" s="154"/>
      <c r="K561" s="154"/>
      <c r="L561" s="154"/>
      <c r="M561" s="154"/>
      <c r="N561" s="154"/>
      <c r="O561" s="154"/>
      <c r="P561" s="154"/>
      <c r="Q561" s="154"/>
    </row>
    <row r="564" spans="1:17">
      <c r="B564" s="171" t="s">
        <v>619</v>
      </c>
    </row>
    <row r="565" spans="1:17">
      <c r="H565" s="348"/>
      <c r="I565" s="348"/>
    </row>
    <row r="566" spans="1:17">
      <c r="B566" s="154" t="s">
        <v>620</v>
      </c>
    </row>
    <row r="567" spans="1:17">
      <c r="C567" s="154" t="s">
        <v>621</v>
      </c>
      <c r="H567" s="349">
        <v>5216.796609</v>
      </c>
      <c r="I567" s="349">
        <v>5860.7180879999996</v>
      </c>
      <c r="J567" s="171">
        <f>J568*J569</f>
        <v>1953.5726959999997</v>
      </c>
      <c r="K567" s="171">
        <f t="shared" ref="K567:P567" si="273">K568*K569</f>
        <v>7814.2907839999989</v>
      </c>
      <c r="L567" s="171">
        <f t="shared" si="273"/>
        <v>10714.586217643526</v>
      </c>
      <c r="M567" s="171">
        <f t="shared" si="273"/>
        <v>13286.428794101535</v>
      </c>
      <c r="N567" s="171">
        <f t="shared" si="273"/>
        <v>15392.645501980447</v>
      </c>
      <c r="O567" s="171">
        <f t="shared" si="273"/>
        <v>15506.559624377353</v>
      </c>
      <c r="P567" s="171">
        <f t="shared" si="273"/>
        <v>15204.661924475338</v>
      </c>
    </row>
    <row r="568" spans="1:17">
      <c r="C568" s="168" t="s">
        <v>622</v>
      </c>
      <c r="H568" s="228">
        <f>H567/H569</f>
        <v>0.20971346599006918</v>
      </c>
      <c r="I568" s="228">
        <f>I567/I569</f>
        <v>0.20689309173516199</v>
      </c>
      <c r="J568" s="228">
        <f>I568</f>
        <v>0.20689309173516199</v>
      </c>
      <c r="K568" s="228">
        <f t="shared" ref="K568:P568" si="274">J568</f>
        <v>0.20689309173516199</v>
      </c>
      <c r="L568" s="228">
        <f t="shared" si="274"/>
        <v>0.20689309173516199</v>
      </c>
      <c r="M568" s="228">
        <f t="shared" si="274"/>
        <v>0.20689309173516199</v>
      </c>
      <c r="N568" s="228">
        <f t="shared" si="274"/>
        <v>0.20689309173516199</v>
      </c>
      <c r="O568" s="228">
        <f t="shared" si="274"/>
        <v>0.20689309173516199</v>
      </c>
      <c r="P568" s="228">
        <f t="shared" si="274"/>
        <v>0.20689309173516199</v>
      </c>
    </row>
    <row r="569" spans="1:17">
      <c r="C569" s="168" t="s">
        <v>623</v>
      </c>
      <c r="E569" s="154">
        <f t="shared" ref="E569:P569" si="275">E168</f>
        <v>282.932796</v>
      </c>
      <c r="F569" s="154">
        <f t="shared" si="275"/>
        <v>3058.8926780000002</v>
      </c>
      <c r="G569" s="154">
        <f t="shared" si="275"/>
        <v>12700.44478</v>
      </c>
      <c r="H569" s="154">
        <f t="shared" si="275"/>
        <v>24875.830383</v>
      </c>
      <c r="I569" s="154">
        <f t="shared" si="275"/>
        <v>28327.277816999998</v>
      </c>
      <c r="J569" s="154">
        <f t="shared" si="275"/>
        <v>9442.4259389999988</v>
      </c>
      <c r="K569" s="154">
        <f t="shared" si="275"/>
        <v>37769.703755999995</v>
      </c>
      <c r="L569" s="154">
        <f t="shared" si="275"/>
        <v>51788.032784385883</v>
      </c>
      <c r="M569" s="154">
        <f t="shared" si="275"/>
        <v>64218.813120687075</v>
      </c>
      <c r="N569" s="154">
        <f t="shared" si="275"/>
        <v>74399.030788732853</v>
      </c>
      <c r="O569" s="154">
        <f t="shared" si="275"/>
        <v>74949.624921391107</v>
      </c>
      <c r="P569" s="154">
        <f t="shared" si="275"/>
        <v>73490.42830264433</v>
      </c>
    </row>
    <row r="570" spans="1:17" ht="15.6">
      <c r="C570" s="154" t="s">
        <v>624</v>
      </c>
      <c r="J570" s="154">
        <v>1912.6916550000001</v>
      </c>
      <c r="K570" s="154">
        <f>SUM(I570:J570)</f>
        <v>1912.6916550000001</v>
      </c>
      <c r="L570" s="154">
        <v>7386.6647419999999</v>
      </c>
      <c r="M570" s="154">
        <v>2778.4766239999999</v>
      </c>
      <c r="N570" s="154">
        <v>929.30041500000004</v>
      </c>
      <c r="O570" s="154">
        <v>197.758363</v>
      </c>
      <c r="P570" s="154">
        <v>0</v>
      </c>
      <c r="Q570" s="4"/>
    </row>
    <row r="571" spans="1:17">
      <c r="C571" s="171" t="s">
        <v>625</v>
      </c>
      <c r="D571" s="171"/>
      <c r="E571" s="171"/>
      <c r="F571" s="171"/>
      <c r="G571" s="171"/>
      <c r="H571" s="171"/>
      <c r="I571" s="171"/>
      <c r="J571" s="171">
        <f>J567-J570</f>
        <v>40.881040999999641</v>
      </c>
      <c r="K571" s="171"/>
      <c r="L571" s="171">
        <f t="shared" ref="L571:P571" si="276">L567-L570</f>
        <v>3327.9214756435258</v>
      </c>
      <c r="M571" s="171">
        <f t="shared" si="276"/>
        <v>10507.952170101536</v>
      </c>
      <c r="N571" s="171">
        <f t="shared" si="276"/>
        <v>14463.345086980447</v>
      </c>
      <c r="O571" s="171">
        <f t="shared" si="276"/>
        <v>15308.801261377352</v>
      </c>
      <c r="P571" s="171">
        <f t="shared" si="276"/>
        <v>15204.661924475338</v>
      </c>
    </row>
    <row r="574" spans="1:17">
      <c r="E574" s="171"/>
      <c r="F574" s="171"/>
      <c r="G574" s="171"/>
      <c r="H574" s="171"/>
      <c r="I574" s="171"/>
      <c r="J574" s="171">
        <f>J575*J579</f>
        <v>84.2</v>
      </c>
      <c r="K574" s="171">
        <f>K575*K579</f>
        <v>336.8</v>
      </c>
      <c r="L574" s="171">
        <f>L575*L579</f>
        <v>6048.1152628940681</v>
      </c>
      <c r="M574" s="171">
        <f t="shared" ref="M574:P574" si="277">M575*M579</f>
        <v>6084.4039544714324</v>
      </c>
      <c r="N574" s="171">
        <f t="shared" si="277"/>
        <v>6145.2479940161465</v>
      </c>
      <c r="O574" s="171">
        <f t="shared" si="277"/>
        <v>6218.9909699443406</v>
      </c>
      <c r="P574" s="171">
        <f t="shared" si="277"/>
        <v>6299.8378525536164</v>
      </c>
    </row>
    <row r="575" spans="1:17">
      <c r="C575" s="154" t="s">
        <v>626</v>
      </c>
      <c r="D575" s="154">
        <f>AVERAGE(H575:I575)</f>
        <v>162.60464570775318</v>
      </c>
      <c r="H575" s="154">
        <v>241.00929141550634</v>
      </c>
      <c r="I575" s="154">
        <v>84.2</v>
      </c>
      <c r="J575" s="154">
        <f t="shared" ref="J575:P575" si="278">J577*J576</f>
        <v>84.2</v>
      </c>
      <c r="K575" s="154">
        <f t="shared" si="278"/>
        <v>84.2</v>
      </c>
      <c r="L575" s="154">
        <f t="shared" si="278"/>
        <v>126.00240131029308</v>
      </c>
      <c r="M575" s="154">
        <f t="shared" si="278"/>
        <v>126.75841571815484</v>
      </c>
      <c r="N575" s="154">
        <f t="shared" si="278"/>
        <v>128.0259998753364</v>
      </c>
      <c r="O575" s="154">
        <f t="shared" si="278"/>
        <v>129.56231187384043</v>
      </c>
      <c r="P575" s="154">
        <f t="shared" si="278"/>
        <v>131.24662192820034</v>
      </c>
    </row>
    <row r="576" spans="1:17">
      <c r="C576" s="154" t="s">
        <v>627</v>
      </c>
      <c r="H576" s="228">
        <f>H575/H577</f>
        <v>0.86227581575080825</v>
      </c>
      <c r="I576" s="228">
        <f>I575/I577</f>
        <v>0.6195732155997058</v>
      </c>
      <c r="J576" s="228">
        <f>I576</f>
        <v>0.6195732155997058</v>
      </c>
      <c r="K576" s="228">
        <f>J576</f>
        <v>0.6195732155997058</v>
      </c>
      <c r="L576" s="228">
        <f>AVERAGE(H576:I576)</f>
        <v>0.74092451567525708</v>
      </c>
      <c r="M576" s="228">
        <f>L576</f>
        <v>0.74092451567525708</v>
      </c>
      <c r="N576" s="228">
        <f t="shared" ref="N576:P576" si="279">M576</f>
        <v>0.74092451567525708</v>
      </c>
      <c r="O576" s="228">
        <f t="shared" si="279"/>
        <v>0.74092451567525708</v>
      </c>
      <c r="P576" s="228">
        <f t="shared" si="279"/>
        <v>0.74092451567525708</v>
      </c>
    </row>
    <row r="577" spans="2:17">
      <c r="C577" s="154" t="s">
        <v>628</v>
      </c>
      <c r="G577" s="154" t="s">
        <v>629</v>
      </c>
      <c r="H577" s="154">
        <f t="shared" ref="H577:P577" si="280">H190*12</f>
        <v>279.50371216853932</v>
      </c>
      <c r="I577" s="154">
        <f t="shared" si="280"/>
        <v>135.89999999999998</v>
      </c>
      <c r="J577" s="154">
        <f t="shared" si="280"/>
        <v>135.89999999999998</v>
      </c>
      <c r="K577" s="154">
        <f t="shared" si="280"/>
        <v>135.89999999999998</v>
      </c>
      <c r="L577" s="154">
        <f t="shared" si="280"/>
        <v>170.06105027508525</v>
      </c>
      <c r="M577" s="154">
        <f t="shared" si="280"/>
        <v>171.08141657673576</v>
      </c>
      <c r="N577" s="154">
        <f t="shared" si="280"/>
        <v>172.79223074250311</v>
      </c>
      <c r="O577" s="154">
        <f t="shared" si="280"/>
        <v>174.86573751141316</v>
      </c>
      <c r="P577" s="154">
        <f t="shared" si="280"/>
        <v>177.13899209906151</v>
      </c>
    </row>
    <row r="578" spans="2:17">
      <c r="C578" s="168"/>
      <c r="K578" s="286"/>
      <c r="L578" s="286"/>
      <c r="M578" s="286"/>
      <c r="N578" s="286"/>
      <c r="O578" s="286"/>
      <c r="P578" s="286"/>
    </row>
    <row r="579" spans="2:17">
      <c r="C579" s="154" t="s">
        <v>630</v>
      </c>
      <c r="E579" s="154">
        <v>0</v>
      </c>
      <c r="F579" s="154">
        <v>0</v>
      </c>
      <c r="G579" s="154">
        <v>0</v>
      </c>
      <c r="H579" s="154">
        <v>58</v>
      </c>
      <c r="I579" s="154">
        <v>3</v>
      </c>
      <c r="J579" s="154">
        <f>K579-I579</f>
        <v>1</v>
      </c>
      <c r="K579" s="154">
        <f>ROUND(K580*K581,)</f>
        <v>4</v>
      </c>
      <c r="L579" s="154">
        <f>ROUND(L580*L581,)</f>
        <v>48</v>
      </c>
      <c r="M579" s="154">
        <f t="shared" ref="M579:P579" si="281">ROUND(M580*M581,)</f>
        <v>48</v>
      </c>
      <c r="N579" s="154">
        <f t="shared" si="281"/>
        <v>48</v>
      </c>
      <c r="O579" s="154">
        <f t="shared" si="281"/>
        <v>48</v>
      </c>
      <c r="P579" s="154">
        <f t="shared" si="281"/>
        <v>48</v>
      </c>
    </row>
    <row r="580" spans="2:17">
      <c r="C580" s="168" t="s">
        <v>631</v>
      </c>
      <c r="D580" s="286">
        <f>AVERAGE(H580:I580)</f>
        <v>0.34232621311272998</v>
      </c>
      <c r="E580" s="286">
        <f t="shared" ref="E580:I580" si="282">E579/E581</f>
        <v>0</v>
      </c>
      <c r="F580" s="286">
        <f t="shared" si="282"/>
        <v>0</v>
      </c>
      <c r="G580" s="286">
        <f t="shared" si="282"/>
        <v>0</v>
      </c>
      <c r="H580" s="286">
        <f t="shared" si="282"/>
        <v>0.651685393258427</v>
      </c>
      <c r="I580" s="286">
        <f t="shared" si="282"/>
        <v>3.2967032967032968E-2</v>
      </c>
      <c r="K580" s="286">
        <f>I580</f>
        <v>3.2967032967032968E-2</v>
      </c>
      <c r="L580" s="286">
        <f>H580</f>
        <v>0.651685393258427</v>
      </c>
      <c r="M580" s="286">
        <f t="shared" ref="M580:P580" si="283">L580</f>
        <v>0.651685393258427</v>
      </c>
      <c r="N580" s="286">
        <f t="shared" si="283"/>
        <v>0.651685393258427</v>
      </c>
      <c r="O580" s="286">
        <f t="shared" si="283"/>
        <v>0.651685393258427</v>
      </c>
      <c r="P580" s="286">
        <f t="shared" si="283"/>
        <v>0.651685393258427</v>
      </c>
    </row>
    <row r="581" spans="2:17">
      <c r="C581" s="168" t="s">
        <v>632</v>
      </c>
      <c r="E581" s="154">
        <f t="shared" ref="E581:P581" si="284">E173</f>
        <v>85</v>
      </c>
      <c r="F581" s="154">
        <f t="shared" si="284"/>
        <v>51</v>
      </c>
      <c r="G581" s="154">
        <f t="shared" si="284"/>
        <v>134</v>
      </c>
      <c r="H581" s="154">
        <f t="shared" si="284"/>
        <v>89</v>
      </c>
      <c r="I581" s="154">
        <f t="shared" si="284"/>
        <v>91</v>
      </c>
      <c r="J581" s="154">
        <f t="shared" si="284"/>
        <v>30.333333333333329</v>
      </c>
      <c r="K581" s="154">
        <f t="shared" si="284"/>
        <v>121.33333333333333</v>
      </c>
      <c r="L581" s="154">
        <f t="shared" si="284"/>
        <v>74.166666666666671</v>
      </c>
      <c r="M581" s="154">
        <f t="shared" si="284"/>
        <v>74.166666666666671</v>
      </c>
      <c r="N581" s="154">
        <f t="shared" si="284"/>
        <v>74.166666666666671</v>
      </c>
      <c r="O581" s="154">
        <f t="shared" si="284"/>
        <v>74.166666666666671</v>
      </c>
      <c r="P581" s="154">
        <f t="shared" si="284"/>
        <v>74.166666666666671</v>
      </c>
    </row>
    <row r="584" spans="2:17">
      <c r="G584" s="409"/>
      <c r="H584" s="409"/>
      <c r="I584" s="409"/>
      <c r="J584" s="409"/>
      <c r="K584" s="409"/>
      <c r="L584" s="409"/>
      <c r="M584" s="409"/>
      <c r="N584" s="409"/>
      <c r="O584" s="409"/>
      <c r="P584" s="409"/>
      <c r="Q584" s="409"/>
    </row>
    <row r="585" spans="2:17">
      <c r="G585" s="409"/>
      <c r="H585" s="409"/>
      <c r="I585" s="409"/>
      <c r="J585" s="409"/>
      <c r="K585" s="409"/>
      <c r="L585" s="409"/>
      <c r="M585" s="409"/>
      <c r="N585" s="409"/>
      <c r="O585" s="409"/>
      <c r="P585" s="409"/>
      <c r="Q585" s="409"/>
    </row>
    <row r="586" spans="2:17">
      <c r="B586" s="154" t="s">
        <v>633</v>
      </c>
      <c r="G586" s="409"/>
      <c r="H586" s="409"/>
      <c r="I586" s="409"/>
      <c r="J586" s="409"/>
      <c r="K586" s="409"/>
      <c r="L586" s="409"/>
      <c r="M586" s="409"/>
      <c r="N586" s="409"/>
      <c r="O586" s="409"/>
      <c r="P586" s="409"/>
      <c r="Q586" s="409"/>
    </row>
    <row r="587" spans="2:17">
      <c r="C587" s="154" t="s">
        <v>634</v>
      </c>
      <c r="G587" s="409"/>
      <c r="H587" s="409"/>
      <c r="I587" s="409"/>
      <c r="J587" s="409"/>
      <c r="K587" s="430">
        <f t="shared" ref="K587:P587" si="285">PV($F$589,$E$589,-K574)</f>
        <v>1534.5499593411264</v>
      </c>
      <c r="L587" s="430">
        <f t="shared" si="285"/>
        <v>27556.814224360267</v>
      </c>
      <c r="M587" s="430">
        <f t="shared" si="285"/>
        <v>27722.155109706426</v>
      </c>
      <c r="N587" s="430">
        <f t="shared" si="285"/>
        <v>27999.376660803489</v>
      </c>
      <c r="O587" s="430">
        <f t="shared" si="285"/>
        <v>28335.369180733134</v>
      </c>
      <c r="P587" s="430">
        <f t="shared" si="285"/>
        <v>28703.728980082658</v>
      </c>
      <c r="Q587" s="409"/>
    </row>
    <row r="588" spans="2:17">
      <c r="C588" s="154" t="s">
        <v>152</v>
      </c>
      <c r="E588" s="154" t="s">
        <v>635</v>
      </c>
      <c r="F588" s="154" t="s">
        <v>636</v>
      </c>
      <c r="G588" s="409"/>
      <c r="H588" s="409"/>
      <c r="I588" s="409"/>
      <c r="J588" s="409"/>
      <c r="K588" s="409"/>
      <c r="L588" s="409"/>
      <c r="M588" s="409"/>
      <c r="N588" s="409"/>
      <c r="O588" s="409"/>
      <c r="P588" s="409"/>
      <c r="Q588" s="409"/>
    </row>
    <row r="589" spans="2:17">
      <c r="C589" s="154">
        <v>2022</v>
      </c>
      <c r="D589" s="154">
        <f t="array" ref="D589:D594">TRANSPOSE(K587:P587)</f>
        <v>1534.5499593411264</v>
      </c>
      <c r="E589" s="154">
        <v>5</v>
      </c>
      <c r="F589" s="286">
        <v>3.1800000000000002E-2</v>
      </c>
      <c r="G589" s="409"/>
      <c r="H589" s="409"/>
      <c r="I589" s="409"/>
      <c r="J589" s="409">
        <f>$D589/$E$589/4/2</f>
        <v>38.363748983528161</v>
      </c>
      <c r="K589" s="409"/>
      <c r="L589" s="409">
        <f>MIN($D589/$E$589,$D589-SUM($J589:K589))</f>
        <v>306.90999186822529</v>
      </c>
      <c r="M589" s="409">
        <f>MIN($D589/$E$589,$D589-SUM($J589:L589))</f>
        <v>306.90999186822529</v>
      </c>
      <c r="N589" s="409">
        <f>MIN($D589/$E$589,$D589-SUM($J589:M589))</f>
        <v>306.90999186822529</v>
      </c>
      <c r="O589" s="409">
        <f>MIN($D589/$E$589,$D589-SUM($J589:N589))</f>
        <v>306.90999186822529</v>
      </c>
      <c r="P589" s="409">
        <f>MIN($D589/$E$589,$D589-SUM($J589:O589))</f>
        <v>268.54624288469722</v>
      </c>
      <c r="Q589" s="409"/>
    </row>
    <row r="590" spans="2:17">
      <c r="C590" s="154">
        <f t="shared" ref="C590:C594" si="286">C589+1</f>
        <v>2023</v>
      </c>
      <c r="D590" s="154">
        <v>27556.814224360267</v>
      </c>
      <c r="G590" s="409"/>
      <c r="H590" s="409"/>
      <c r="I590" s="409"/>
      <c r="J590" s="409"/>
      <c r="K590" s="409"/>
      <c r="L590" s="409">
        <f>$D590/$E$589/2</f>
        <v>2755.6814224360269</v>
      </c>
      <c r="M590" s="409">
        <f>MIN($D590/$E$589,$D590-SUM($K590:L590))</f>
        <v>5511.3628448720538</v>
      </c>
      <c r="N590" s="409">
        <f>MIN($D590/$E$589,$D590-SUM($K590:M590))</f>
        <v>5511.3628448720538</v>
      </c>
      <c r="O590" s="409">
        <f>MIN($D590/$E$589,$D590-SUM($K590:N590))</f>
        <v>5511.3628448720538</v>
      </c>
      <c r="P590" s="409">
        <f>MIN($D590/$E$589,$D590-SUM($K590:O590))</f>
        <v>5511.3628448720538</v>
      </c>
      <c r="Q590" s="409"/>
    </row>
    <row r="591" spans="2:17">
      <c r="C591" s="154">
        <f t="shared" si="286"/>
        <v>2024</v>
      </c>
      <c r="D591" s="154">
        <v>27722.155109706426</v>
      </c>
      <c r="G591" s="409"/>
      <c r="H591" s="409"/>
      <c r="I591" s="409"/>
      <c r="J591" s="409"/>
      <c r="K591" s="409"/>
      <c r="L591" s="409"/>
      <c r="M591" s="409">
        <f>$D591/$E$589/2</f>
        <v>2772.2155109706428</v>
      </c>
      <c r="N591" s="409">
        <f>MIN($D591/$E$589,$D591-SUM($K591:M591))</f>
        <v>5544.4310219412855</v>
      </c>
      <c r="O591" s="409">
        <f>MIN($D591/$E$589,$D591-SUM($K591:N591))</f>
        <v>5544.4310219412855</v>
      </c>
      <c r="P591" s="409">
        <f>MIN($D591/$E$589,$D591-SUM($K591:O591))</f>
        <v>5544.4310219412855</v>
      </c>
      <c r="Q591" s="409"/>
    </row>
    <row r="592" spans="2:17">
      <c r="C592" s="154">
        <f t="shared" si="286"/>
        <v>2025</v>
      </c>
      <c r="D592" s="154">
        <v>27999.376660803489</v>
      </c>
      <c r="G592" s="409"/>
      <c r="H592" s="409"/>
      <c r="I592" s="409"/>
      <c r="J592" s="409"/>
      <c r="K592" s="409"/>
      <c r="L592" s="409"/>
      <c r="M592" s="409"/>
      <c r="N592" s="409">
        <f>$D592/$E$589/2</f>
        <v>2799.9376660803491</v>
      </c>
      <c r="O592" s="409">
        <f>MIN($D592/$E$589,$D592-SUM($K592:N592))</f>
        <v>5599.8753321606982</v>
      </c>
      <c r="P592" s="409">
        <f>MIN($D592/$E$589,$D592-SUM($K592:O592))</f>
        <v>5599.8753321606982</v>
      </c>
      <c r="Q592" s="409"/>
    </row>
    <row r="593" spans="2:17">
      <c r="C593" s="154">
        <f t="shared" si="286"/>
        <v>2026</v>
      </c>
      <c r="D593" s="154">
        <v>28335.369180733134</v>
      </c>
      <c r="G593" s="409"/>
      <c r="H593" s="409"/>
      <c r="I593" s="409"/>
      <c r="J593" s="409"/>
      <c r="K593" s="409"/>
      <c r="L593" s="409"/>
      <c r="M593" s="409"/>
      <c r="N593" s="409"/>
      <c r="O593" s="409">
        <f>$D593/$E$589/2</f>
        <v>2833.5369180733132</v>
      </c>
      <c r="P593" s="409">
        <f>MIN($D593/$E$589,$D593-SUM($K593:O593))</f>
        <v>5667.0738361466265</v>
      </c>
      <c r="Q593" s="409"/>
    </row>
    <row r="594" spans="2:17">
      <c r="C594" s="154">
        <f t="shared" si="286"/>
        <v>2027</v>
      </c>
      <c r="D594" s="154">
        <v>28703.728980082658</v>
      </c>
      <c r="G594" s="409"/>
      <c r="H594" s="409"/>
      <c r="I594" s="409"/>
      <c r="J594" s="409"/>
      <c r="K594" s="409"/>
      <c r="L594" s="409"/>
      <c r="M594" s="409"/>
      <c r="N594" s="409"/>
      <c r="O594" s="409"/>
      <c r="P594" s="409">
        <f>$D594/$E$589/2</f>
        <v>2870.372898008266</v>
      </c>
      <c r="Q594" s="409"/>
    </row>
    <row r="595" spans="2:17" ht="13.8" thickBot="1">
      <c r="G595" s="409"/>
      <c r="H595" s="409"/>
      <c r="I595" s="409"/>
      <c r="J595" s="439"/>
      <c r="K595" s="439"/>
      <c r="L595" s="439"/>
      <c r="M595" s="439"/>
      <c r="N595" s="439"/>
      <c r="O595" s="439"/>
      <c r="P595" s="439"/>
      <c r="Q595" s="409"/>
    </row>
    <row r="596" spans="2:17">
      <c r="G596" s="409"/>
      <c r="H596" s="409"/>
      <c r="I596" s="409"/>
      <c r="J596" s="409"/>
      <c r="K596" s="409"/>
      <c r="L596" s="409"/>
      <c r="M596" s="409"/>
      <c r="N596" s="409"/>
      <c r="O596" s="409"/>
      <c r="P596" s="409"/>
      <c r="Q596" s="409"/>
    </row>
    <row r="597" spans="2:17">
      <c r="G597" s="409"/>
      <c r="H597" s="409"/>
      <c r="I597" s="409"/>
      <c r="J597" s="409"/>
      <c r="K597" s="409"/>
      <c r="L597" s="409"/>
      <c r="M597" s="409"/>
      <c r="N597" s="409"/>
      <c r="O597" s="409"/>
      <c r="P597" s="409"/>
      <c r="Q597" s="409"/>
    </row>
    <row r="598" spans="2:17" hidden="1" outlineLevel="1">
      <c r="G598" s="409"/>
      <c r="H598" s="409"/>
      <c r="I598" s="409"/>
      <c r="J598" s="409"/>
      <c r="K598" s="409"/>
      <c r="L598" s="409"/>
      <c r="M598" s="409"/>
      <c r="N598" s="409"/>
      <c r="O598" s="409"/>
      <c r="P598" s="409"/>
      <c r="Q598" s="409"/>
    </row>
    <row r="599" spans="2:17" collapsed="1">
      <c r="G599" s="409"/>
      <c r="H599" s="409"/>
      <c r="I599" s="409"/>
      <c r="J599" s="411">
        <f>SUM(J600:J605)</f>
        <v>84.2</v>
      </c>
      <c r="K599" s="411">
        <f>SUM(K600:K605)</f>
        <v>336.8</v>
      </c>
      <c r="L599" s="411">
        <f t="shared" ref="L599:P599" si="287">SUM(L600:L605)</f>
        <v>6134.0834628940684</v>
      </c>
      <c r="M599" s="411">
        <f t="shared" si="287"/>
        <v>12255.291918142866</v>
      </c>
      <c r="N599" s="411">
        <f t="shared" si="287"/>
        <v>18523.09283134044</v>
      </c>
      <c r="O599" s="411">
        <f t="shared" si="287"/>
        <v>24964.360915260866</v>
      </c>
      <c r="P599" s="411">
        <f t="shared" si="287"/>
        <v>31588.735459712872</v>
      </c>
      <c r="Q599" s="409"/>
    </row>
    <row r="600" spans="2:17" collapsed="1">
      <c r="C600" s="154">
        <v>2022</v>
      </c>
      <c r="G600" s="409"/>
      <c r="H600" s="409"/>
      <c r="I600" s="409"/>
      <c r="J600" s="409">
        <f>K600/4</f>
        <v>84.2</v>
      </c>
      <c r="K600" s="409">
        <f>K574</f>
        <v>336.8</v>
      </c>
      <c r="L600" s="409">
        <f>J600*(1+L$606)</f>
        <v>85.968199999999996</v>
      </c>
      <c r="M600" s="409">
        <f t="shared" ref="M600:P604" si="288">L600*(1+M$606)</f>
        <v>86.484009200000003</v>
      </c>
      <c r="N600" s="409">
        <f t="shared" si="288"/>
        <v>87.348849291999997</v>
      </c>
      <c r="O600" s="409">
        <f t="shared" si="288"/>
        <v>88.397035483503998</v>
      </c>
      <c r="P600" s="409">
        <f t="shared" si="288"/>
        <v>89.546196944789543</v>
      </c>
      <c r="Q600" s="409"/>
    </row>
    <row r="601" spans="2:17">
      <c r="C601" s="154">
        <f t="shared" ref="C601:C605" si="289">C600+1</f>
        <v>2023</v>
      </c>
      <c r="G601" s="409"/>
      <c r="H601" s="409"/>
      <c r="I601" s="409"/>
      <c r="J601" s="409"/>
      <c r="K601" s="409"/>
      <c r="L601" s="409">
        <f>L574</f>
        <v>6048.1152628940681</v>
      </c>
      <c r="M601" s="409">
        <f t="shared" si="288"/>
        <v>6084.4039544714324</v>
      </c>
      <c r="N601" s="409">
        <f t="shared" si="288"/>
        <v>6145.2479940161465</v>
      </c>
      <c r="O601" s="409">
        <f t="shared" si="288"/>
        <v>6218.9909699443406</v>
      </c>
      <c r="P601" s="409">
        <f t="shared" si="288"/>
        <v>6299.8378525536164</v>
      </c>
      <c r="Q601" s="409"/>
    </row>
    <row r="602" spans="2:17">
      <c r="C602" s="154">
        <f t="shared" si="289"/>
        <v>2024</v>
      </c>
      <c r="G602" s="409"/>
      <c r="H602" s="409"/>
      <c r="I602" s="409"/>
      <c r="J602" s="409"/>
      <c r="K602" s="409"/>
      <c r="L602" s="409"/>
      <c r="M602" s="409">
        <f>M574</f>
        <v>6084.4039544714324</v>
      </c>
      <c r="N602" s="409">
        <f t="shared" si="288"/>
        <v>6145.2479940161465</v>
      </c>
      <c r="O602" s="409">
        <f t="shared" si="288"/>
        <v>6218.9909699443406</v>
      </c>
      <c r="P602" s="409">
        <f t="shared" si="288"/>
        <v>6299.8378525536164</v>
      </c>
      <c r="Q602" s="409"/>
    </row>
    <row r="603" spans="2:17">
      <c r="C603" s="154">
        <f t="shared" si="289"/>
        <v>2025</v>
      </c>
      <c r="G603" s="409"/>
      <c r="H603" s="409"/>
      <c r="I603" s="409"/>
      <c r="J603" s="409"/>
      <c r="K603" s="409"/>
      <c r="L603" s="409"/>
      <c r="M603" s="409"/>
      <c r="N603" s="409">
        <f>N574</f>
        <v>6145.2479940161465</v>
      </c>
      <c r="O603" s="409">
        <f t="shared" si="288"/>
        <v>6218.9909699443406</v>
      </c>
      <c r="P603" s="409">
        <f t="shared" si="288"/>
        <v>6299.8378525536164</v>
      </c>
      <c r="Q603" s="409"/>
    </row>
    <row r="604" spans="2:17">
      <c r="C604" s="154">
        <f t="shared" si="289"/>
        <v>2026</v>
      </c>
      <c r="G604" s="409"/>
      <c r="H604" s="409"/>
      <c r="I604" s="409"/>
      <c r="J604" s="409"/>
      <c r="K604" s="409"/>
      <c r="L604" s="409"/>
      <c r="M604" s="409"/>
      <c r="N604" s="409"/>
      <c r="O604" s="409">
        <f>O574</f>
        <v>6218.9909699443406</v>
      </c>
      <c r="P604" s="409">
        <f t="shared" si="288"/>
        <v>6299.8378525536164</v>
      </c>
      <c r="Q604" s="409"/>
    </row>
    <row r="605" spans="2:17">
      <c r="C605" s="154">
        <f t="shared" si="289"/>
        <v>2027</v>
      </c>
      <c r="G605" s="409"/>
      <c r="H605" s="409"/>
      <c r="I605" s="409"/>
      <c r="J605" s="409"/>
      <c r="K605" s="409"/>
      <c r="L605" s="409"/>
      <c r="M605" s="409"/>
      <c r="N605" s="409"/>
      <c r="O605" s="409"/>
      <c r="P605" s="409">
        <f>P574</f>
        <v>6299.8378525536164</v>
      </c>
      <c r="Q605" s="409"/>
    </row>
    <row r="606" spans="2:17">
      <c r="G606" s="409"/>
      <c r="H606" s="409"/>
      <c r="I606" s="409"/>
      <c r="J606" s="409"/>
      <c r="K606" s="409"/>
      <c r="L606" s="457">
        <v>2.1000000000000001E-2</v>
      </c>
      <c r="M606" s="457">
        <v>6.0000000000000001E-3</v>
      </c>
      <c r="N606" s="457">
        <v>0.01</v>
      </c>
      <c r="O606" s="457">
        <v>1.2E-2</v>
      </c>
      <c r="P606" s="457">
        <v>1.3000000000000001E-2</v>
      </c>
      <c r="Q606" s="409"/>
    </row>
    <row r="607" spans="2:17">
      <c r="B607" s="350" t="s">
        <v>637</v>
      </c>
      <c r="J607" s="228">
        <f t="shared" ref="J607:P607" si="290">J599/J168</f>
        <v>8.9171999382308322E-3</v>
      </c>
      <c r="K607" s="228">
        <f t="shared" si="290"/>
        <v>8.9171999382308322E-3</v>
      </c>
      <c r="L607" s="228">
        <f t="shared" si="290"/>
        <v>0.11844596392438173</v>
      </c>
      <c r="M607" s="228">
        <f t="shared" si="290"/>
        <v>0.1908364748988956</v>
      </c>
      <c r="N607" s="228">
        <f t="shared" si="290"/>
        <v>0.24896954483102779</v>
      </c>
      <c r="O607" s="228">
        <f t="shared" si="290"/>
        <v>0.33308186587249855</v>
      </c>
      <c r="P607" s="228">
        <f t="shared" si="290"/>
        <v>0.42983468989493218</v>
      </c>
    </row>
    <row r="608" spans="2:17">
      <c r="B608" s="350" t="s">
        <v>638</v>
      </c>
    </row>
    <row r="613" spans="2:16">
      <c r="L613" s="286"/>
      <c r="M613" s="286"/>
      <c r="N613" s="286"/>
      <c r="O613" s="286"/>
    </row>
    <row r="615" spans="2:16">
      <c r="B615" s="171" t="s">
        <v>547</v>
      </c>
      <c r="C615" s="154" t="s">
        <v>476</v>
      </c>
      <c r="E615" s="154">
        <f t="shared" ref="E615:P615" si="291">E9</f>
        <v>851.835689</v>
      </c>
      <c r="F615" s="154">
        <f t="shared" si="291"/>
        <v>2778.1461530000001</v>
      </c>
      <c r="G615" s="154">
        <f t="shared" si="291"/>
        <v>7406.8122089999997</v>
      </c>
      <c r="H615" s="154">
        <f t="shared" si="291"/>
        <v>15206.89199</v>
      </c>
      <c r="I615" s="154">
        <f t="shared" si="291"/>
        <v>16194.512715999999</v>
      </c>
      <c r="J615" s="154">
        <f t="shared" si="291"/>
        <v>7160.2498380000015</v>
      </c>
      <c r="K615" s="154">
        <f t="shared" si="291"/>
        <v>23354.762554000001</v>
      </c>
      <c r="L615" s="154">
        <f t="shared" si="291"/>
        <v>37084.749076739223</v>
      </c>
      <c r="M615" s="154">
        <f t="shared" si="291"/>
        <v>62928.545846922949</v>
      </c>
      <c r="N615" s="154">
        <f t="shared" si="291"/>
        <v>111125.71438122814</v>
      </c>
      <c r="O615" s="154">
        <f t="shared" si="291"/>
        <v>176753.81258703041</v>
      </c>
      <c r="P615" s="154">
        <f t="shared" si="291"/>
        <v>242410.65418276429</v>
      </c>
    </row>
    <row r="616" spans="2:16">
      <c r="B616" s="171"/>
      <c r="L616" s="286">
        <f>L615/K615-1</f>
        <v>0.587888080257432</v>
      </c>
      <c r="M616" s="286">
        <f t="shared" ref="M616:P616" si="292">M615/L615-1</f>
        <v>0.69688476836408753</v>
      </c>
      <c r="N616" s="286">
        <f t="shared" si="292"/>
        <v>0.76590310304559361</v>
      </c>
      <c r="O616" s="286">
        <f t="shared" si="292"/>
        <v>0.59057526488116285</v>
      </c>
      <c r="P616" s="286">
        <f t="shared" si="292"/>
        <v>0.37145926661924555</v>
      </c>
    </row>
    <row r="617" spans="2:16">
      <c r="C617" s="154" t="s">
        <v>477</v>
      </c>
      <c r="E617" s="154">
        <f t="shared" ref="E617:P617" si="293">E237</f>
        <v>1781.4556650000002</v>
      </c>
      <c r="F617" s="154">
        <f t="shared" si="293"/>
        <v>893.92438400000003</v>
      </c>
      <c r="G617" s="154">
        <f t="shared" si="293"/>
        <v>2215.2455009999999</v>
      </c>
      <c r="H617" s="154">
        <f t="shared" si="293"/>
        <v>2993.6122480000004</v>
      </c>
      <c r="I617" s="154">
        <f t="shared" si="293"/>
        <v>3368.7487570000003</v>
      </c>
      <c r="J617" s="154">
        <f t="shared" si="293"/>
        <v>1215.724643134919</v>
      </c>
      <c r="K617" s="154">
        <f t="shared" si="293"/>
        <v>4584.4734001349188</v>
      </c>
      <c r="L617" s="154">
        <f t="shared" si="293"/>
        <v>13706.861880828395</v>
      </c>
      <c r="M617" s="154">
        <f t="shared" si="293"/>
        <v>28327.700189865514</v>
      </c>
      <c r="N617" s="154">
        <f t="shared" si="293"/>
        <v>58805.596044741134</v>
      </c>
      <c r="O617" s="154">
        <f t="shared" si="293"/>
        <v>87643.355783471488</v>
      </c>
      <c r="P617" s="154">
        <f t="shared" si="293"/>
        <v>121692.93696139063</v>
      </c>
    </row>
    <row r="618" spans="2:16">
      <c r="C618" s="154" t="s">
        <v>478</v>
      </c>
      <c r="E618" s="154">
        <f t="shared" ref="E618:P618" si="294">E365</f>
        <v>0</v>
      </c>
      <c r="F618" s="154">
        <f t="shared" si="294"/>
        <v>2048.3296679999999</v>
      </c>
      <c r="G618" s="154">
        <f t="shared" si="294"/>
        <v>3314.683141</v>
      </c>
      <c r="H618" s="154">
        <f t="shared" si="294"/>
        <v>4248.3675599999988</v>
      </c>
      <c r="I618" s="154">
        <f t="shared" si="294"/>
        <v>6532.7479418538751</v>
      </c>
      <c r="J618" s="154">
        <f t="shared" si="294"/>
        <v>2177.5826472846247</v>
      </c>
      <c r="K618" s="154">
        <f t="shared" si="294"/>
        <v>8710.3305891384989</v>
      </c>
      <c r="L618" s="154">
        <f t="shared" si="294"/>
        <v>7664.8200082305275</v>
      </c>
      <c r="M618" s="154">
        <f t="shared" si="294"/>
        <v>11405.34154728168</v>
      </c>
      <c r="N618" s="154">
        <f t="shared" si="294"/>
        <v>18352.881089581071</v>
      </c>
      <c r="O618" s="154">
        <f t="shared" si="294"/>
        <v>27816.467933164105</v>
      </c>
      <c r="P618" s="154">
        <f t="shared" si="294"/>
        <v>37291.76869912773</v>
      </c>
    </row>
    <row r="619" spans="2:16">
      <c r="C619" s="165" t="s">
        <v>479</v>
      </c>
      <c r="D619" s="165"/>
      <c r="E619" s="165">
        <f>E615-E617-E618</f>
        <v>-929.61997600000018</v>
      </c>
      <c r="F619" s="165">
        <f t="shared" ref="F619:P619" si="295">F615-F617-F618</f>
        <v>-164.10789899999963</v>
      </c>
      <c r="G619" s="165">
        <f t="shared" si="295"/>
        <v>1876.8835670000003</v>
      </c>
      <c r="H619" s="165">
        <f t="shared" si="295"/>
        <v>7964.912182</v>
      </c>
      <c r="I619" s="165">
        <f t="shared" si="295"/>
        <v>6293.0160171461248</v>
      </c>
      <c r="J619" s="165">
        <f t="shared" si="295"/>
        <v>3766.9425475804574</v>
      </c>
      <c r="K619" s="165">
        <f t="shared" si="295"/>
        <v>10059.958564726581</v>
      </c>
      <c r="L619" s="165">
        <f t="shared" si="295"/>
        <v>15713.067187680303</v>
      </c>
      <c r="M619" s="165">
        <f t="shared" si="295"/>
        <v>23195.504109775757</v>
      </c>
      <c r="N619" s="165">
        <f t="shared" si="295"/>
        <v>33967.237246905934</v>
      </c>
      <c r="O619" s="165">
        <f t="shared" si="295"/>
        <v>61293.988870394809</v>
      </c>
      <c r="P619" s="165">
        <f t="shared" si="295"/>
        <v>83425.948522245933</v>
      </c>
    </row>
    <row r="620" spans="2:16">
      <c r="C620" s="207"/>
      <c r="D620" s="207"/>
      <c r="E620" s="190">
        <f t="shared" ref="E620:I620" si="296">E619/E615</f>
        <v>-1.0913137216536606</v>
      </c>
      <c r="F620" s="190">
        <f t="shared" si="296"/>
        <v>-5.9071009933291882E-2</v>
      </c>
      <c r="G620" s="190">
        <f t="shared" si="296"/>
        <v>0.25339964265860604</v>
      </c>
      <c r="H620" s="190"/>
      <c r="I620" s="190">
        <f t="shared" si="296"/>
        <v>0.38858940231827382</v>
      </c>
      <c r="J620" s="190">
        <f>J619/J615</f>
        <v>0.52609093716101929</v>
      </c>
      <c r="K620" s="190">
        <f>K619/K615</f>
        <v>0.43074548677026042</v>
      </c>
      <c r="L620" s="190">
        <f t="shared" ref="L620:P620" si="297">L619/L615</f>
        <v>0.42370698410727703</v>
      </c>
      <c r="M620" s="190">
        <f t="shared" si="297"/>
        <v>0.3686006691812021</v>
      </c>
      <c r="N620" s="190">
        <f t="shared" si="297"/>
        <v>0.30566496185012454</v>
      </c>
      <c r="O620" s="190">
        <f t="shared" si="297"/>
        <v>0.34677604954187197</v>
      </c>
      <c r="P620" s="190">
        <f t="shared" si="297"/>
        <v>0.34415132785107438</v>
      </c>
    </row>
    <row r="621" spans="2:16">
      <c r="C621" s="154" t="s">
        <v>94</v>
      </c>
      <c r="E621" s="154">
        <f t="shared" ref="E621:P621" si="298">E498</f>
        <v>0</v>
      </c>
      <c r="F621" s="154">
        <f t="shared" si="298"/>
        <v>0</v>
      </c>
      <c r="G621" s="154">
        <f t="shared" si="298"/>
        <v>0</v>
      </c>
      <c r="H621" s="154">
        <f t="shared" si="298"/>
        <v>0</v>
      </c>
      <c r="I621" s="154">
        <f t="shared" si="298"/>
        <v>0</v>
      </c>
      <c r="J621" s="154">
        <f t="shared" si="298"/>
        <v>92.80839080158708</v>
      </c>
      <c r="K621" s="154">
        <f t="shared" si="298"/>
        <v>92.80839080158708</v>
      </c>
      <c r="L621" s="154">
        <f t="shared" si="298"/>
        <v>4025.2033668970635</v>
      </c>
      <c r="M621" s="154">
        <f t="shared" si="298"/>
        <v>12651.942351657603</v>
      </c>
      <c r="N621" s="154">
        <f t="shared" si="298"/>
        <v>28277.026671697924</v>
      </c>
      <c r="O621" s="154">
        <f t="shared" si="298"/>
        <v>51273.181007793602</v>
      </c>
      <c r="P621" s="154">
        <f t="shared" si="298"/>
        <v>79147.271810086197</v>
      </c>
    </row>
    <row r="622" spans="2:16">
      <c r="C622" s="165" t="s">
        <v>23</v>
      </c>
      <c r="D622" s="165"/>
      <c r="E622" s="165">
        <f>E619+E621</f>
        <v>-929.61997600000018</v>
      </c>
      <c r="F622" s="165">
        <f t="shared" ref="F622:P622" si="299">F619+F621</f>
        <v>-164.10789899999963</v>
      </c>
      <c r="G622" s="165">
        <f t="shared" si="299"/>
        <v>1876.8835670000003</v>
      </c>
      <c r="H622" s="165">
        <f t="shared" si="299"/>
        <v>7964.912182</v>
      </c>
      <c r="I622" s="165">
        <f t="shared" si="299"/>
        <v>6293.0160171461248</v>
      </c>
      <c r="J622" s="165">
        <f t="shared" si="299"/>
        <v>3859.7509383820443</v>
      </c>
      <c r="K622" s="165">
        <f t="shared" si="299"/>
        <v>10152.766955528168</v>
      </c>
      <c r="L622" s="165">
        <f t="shared" si="299"/>
        <v>19738.270554577364</v>
      </c>
      <c r="M622" s="165">
        <f t="shared" si="299"/>
        <v>35847.446461433356</v>
      </c>
      <c r="N622" s="165">
        <f t="shared" si="299"/>
        <v>62244.263918603858</v>
      </c>
      <c r="O622" s="165">
        <f t="shared" si="299"/>
        <v>112567.1698781884</v>
      </c>
      <c r="P622" s="165">
        <f t="shared" si="299"/>
        <v>162573.22033233213</v>
      </c>
    </row>
    <row r="623" spans="2:16">
      <c r="C623" s="207"/>
      <c r="D623" s="207"/>
      <c r="E623" s="207"/>
      <c r="F623" s="207"/>
      <c r="G623" s="207"/>
      <c r="H623" s="207"/>
      <c r="I623" s="207"/>
      <c r="J623" s="190">
        <f>J622/J615</f>
        <v>0.53905255063839341</v>
      </c>
      <c r="K623" s="190">
        <f>K622/K615</f>
        <v>0.43471933966587428</v>
      </c>
      <c r="L623" s="190">
        <f t="shared" ref="L623:P623" si="300">L622/L615</f>
        <v>0.5322476502061021</v>
      </c>
      <c r="M623" s="190">
        <f t="shared" si="300"/>
        <v>0.56965318328877623</v>
      </c>
      <c r="N623" s="190">
        <f t="shared" si="300"/>
        <v>0.56012475838912079</v>
      </c>
      <c r="O623" s="190">
        <f t="shared" si="300"/>
        <v>0.63685851088933287</v>
      </c>
      <c r="P623" s="190">
        <f t="shared" si="300"/>
        <v>0.67065212492583293</v>
      </c>
    </row>
    <row r="632" spans="2:16">
      <c r="B632" s="171" t="s">
        <v>557</v>
      </c>
      <c r="C632" s="154" t="s">
        <v>476</v>
      </c>
      <c r="E632" s="154">
        <f t="shared" ref="E632:P632" si="301">E12</f>
        <v>0</v>
      </c>
      <c r="F632" s="154">
        <f t="shared" si="301"/>
        <v>0</v>
      </c>
      <c r="G632" s="154">
        <f t="shared" si="301"/>
        <v>170.45483500000958</v>
      </c>
      <c r="H632" s="154">
        <f t="shared" si="301"/>
        <v>4034.5532449999996</v>
      </c>
      <c r="I632" s="154">
        <f t="shared" si="301"/>
        <v>13092.645149000002</v>
      </c>
      <c r="J632" s="154">
        <f t="shared" si="301"/>
        <v>5241.5704242686834</v>
      </c>
      <c r="K632" s="154">
        <f t="shared" si="301"/>
        <v>18334.215573268684</v>
      </c>
      <c r="L632" s="154">
        <f t="shared" si="301"/>
        <v>33638.150015567029</v>
      </c>
      <c r="M632" s="154">
        <f t="shared" si="301"/>
        <v>39443.426568419498</v>
      </c>
      <c r="N632" s="154">
        <f t="shared" si="301"/>
        <v>43359.074377778663</v>
      </c>
      <c r="O632" s="154">
        <f t="shared" si="301"/>
        <v>45685.917939301165</v>
      </c>
      <c r="P632" s="154">
        <f t="shared" si="301"/>
        <v>47267.984438100451</v>
      </c>
    </row>
    <row r="633" spans="2:16">
      <c r="C633" s="154" t="s">
        <v>477</v>
      </c>
      <c r="E633" s="154">
        <f t="shared" ref="E633:P633" si="302">E241</f>
        <v>0</v>
      </c>
      <c r="F633" s="154">
        <f t="shared" si="302"/>
        <v>0</v>
      </c>
      <c r="G633" s="154">
        <f t="shared" si="302"/>
        <v>400</v>
      </c>
      <c r="H633" s="154">
        <f t="shared" si="302"/>
        <v>2886.2267400000001</v>
      </c>
      <c r="I633" s="154">
        <f t="shared" si="302"/>
        <v>12202.262125142985</v>
      </c>
      <c r="J633" s="154">
        <f t="shared" si="302"/>
        <v>4732.6550305081064</v>
      </c>
      <c r="K633" s="154">
        <f t="shared" si="302"/>
        <v>16934.917155651092</v>
      </c>
      <c r="L633" s="154">
        <f t="shared" si="302"/>
        <v>28602.471677314115</v>
      </c>
      <c r="M633" s="154">
        <f t="shared" si="302"/>
        <v>33022.77046004522</v>
      </c>
      <c r="N633" s="154">
        <f t="shared" si="302"/>
        <v>36022.876497418169</v>
      </c>
      <c r="O633" s="154">
        <f t="shared" si="302"/>
        <v>37824.91394237589</v>
      </c>
      <c r="P633" s="154">
        <f t="shared" si="302"/>
        <v>39065.879266095355</v>
      </c>
    </row>
    <row r="634" spans="2:16">
      <c r="C634" s="154" t="s">
        <v>478</v>
      </c>
      <c r="E634" s="154">
        <f t="shared" ref="E634:P634" si="303">E370</f>
        <v>0</v>
      </c>
      <c r="F634" s="154">
        <f t="shared" si="303"/>
        <v>0</v>
      </c>
      <c r="G634" s="154">
        <f t="shared" si="303"/>
        <v>0</v>
      </c>
      <c r="H634" s="154">
        <f t="shared" si="303"/>
        <v>1501.6559949999998</v>
      </c>
      <c r="I634" s="154">
        <f t="shared" si="303"/>
        <v>1507.3803380587499</v>
      </c>
      <c r="J634" s="154">
        <f t="shared" si="303"/>
        <v>502.46011268624994</v>
      </c>
      <c r="K634" s="154">
        <f t="shared" si="303"/>
        <v>2009.8404507449998</v>
      </c>
      <c r="L634" s="154">
        <f t="shared" si="303"/>
        <v>2272.5210139813471</v>
      </c>
      <c r="M634" s="154">
        <f t="shared" si="303"/>
        <v>2398.2303246865627</v>
      </c>
      <c r="N634" s="154">
        <f t="shared" si="303"/>
        <v>2484.9089137782948</v>
      </c>
      <c r="O634" s="154">
        <f t="shared" si="303"/>
        <v>2548.1707954410563</v>
      </c>
      <c r="P634" s="154">
        <f t="shared" si="303"/>
        <v>2600.6124660822115</v>
      </c>
    </row>
    <row r="635" spans="2:16">
      <c r="C635" s="165" t="s">
        <v>479</v>
      </c>
      <c r="D635" s="165"/>
      <c r="E635" s="165">
        <f>E632-E633-E634</f>
        <v>0</v>
      </c>
      <c r="F635" s="165">
        <f t="shared" ref="F635:P635" si="304">F632-F633-F634</f>
        <v>0</v>
      </c>
      <c r="G635" s="165">
        <f t="shared" si="304"/>
        <v>-229.54516499999042</v>
      </c>
      <c r="H635" s="165">
        <f t="shared" si="304"/>
        <v>-353.32949000000031</v>
      </c>
      <c r="I635" s="165">
        <f t="shared" si="304"/>
        <v>-616.99731420173271</v>
      </c>
      <c r="J635" s="165">
        <f t="shared" si="304"/>
        <v>6.455281074327047</v>
      </c>
      <c r="K635" s="165">
        <f t="shared" si="304"/>
        <v>-610.54203312740742</v>
      </c>
      <c r="L635" s="165">
        <f t="shared" si="304"/>
        <v>2763.1573242715667</v>
      </c>
      <c r="M635" s="165">
        <f t="shared" si="304"/>
        <v>4022.4257836877155</v>
      </c>
      <c r="N635" s="165">
        <f t="shared" si="304"/>
        <v>4851.2889665821995</v>
      </c>
      <c r="O635" s="165">
        <f t="shared" si="304"/>
        <v>5312.8332014842199</v>
      </c>
      <c r="P635" s="165">
        <f t="shared" si="304"/>
        <v>5601.4927059228849</v>
      </c>
    </row>
    <row r="636" spans="2:16">
      <c r="C636" s="207"/>
      <c r="D636" s="207"/>
      <c r="E636" s="207"/>
      <c r="F636" s="207"/>
      <c r="G636" s="207"/>
      <c r="H636" s="207"/>
      <c r="I636" s="207"/>
      <c r="J636" s="207"/>
      <c r="K636" s="190">
        <f>K635/K632</f>
        <v>-3.3300690214288671E-2</v>
      </c>
      <c r="L636" s="190">
        <f t="shared" ref="L636:P636" si="305">L635/L632</f>
        <v>8.2143557924345884E-2</v>
      </c>
      <c r="M636" s="190">
        <f t="shared" si="305"/>
        <v>0.10197962331468137</v>
      </c>
      <c r="N636" s="190">
        <f t="shared" si="305"/>
        <v>0.11188635911168029</v>
      </c>
      <c r="O636" s="190">
        <f t="shared" si="305"/>
        <v>0.11629038971139664</v>
      </c>
      <c r="P636" s="190">
        <f t="shared" si="305"/>
        <v>0.11850500444456842</v>
      </c>
    </row>
    <row r="637" spans="2:16">
      <c r="C637" s="154" t="s">
        <v>94</v>
      </c>
    </row>
    <row r="638" spans="2:16">
      <c r="C638" s="165" t="s">
        <v>23</v>
      </c>
      <c r="D638" s="165"/>
      <c r="E638" s="165">
        <f>E635+E637</f>
        <v>0</v>
      </c>
      <c r="F638" s="165">
        <f t="shared" ref="F638:P638" si="306">F635+F637</f>
        <v>0</v>
      </c>
      <c r="G638" s="165">
        <f t="shared" si="306"/>
        <v>-229.54516499999042</v>
      </c>
      <c r="H638" s="165"/>
      <c r="I638" s="165">
        <f t="shared" si="306"/>
        <v>-616.99731420173271</v>
      </c>
      <c r="J638" s="165">
        <f t="shared" si="306"/>
        <v>6.455281074327047</v>
      </c>
      <c r="K638" s="165">
        <f t="shared" si="306"/>
        <v>-610.54203312740742</v>
      </c>
      <c r="L638" s="165">
        <f t="shared" si="306"/>
        <v>2763.1573242715667</v>
      </c>
      <c r="M638" s="165">
        <f t="shared" si="306"/>
        <v>4022.4257836877155</v>
      </c>
      <c r="N638" s="165">
        <f t="shared" si="306"/>
        <v>4851.2889665821995</v>
      </c>
      <c r="O638" s="165">
        <f t="shared" si="306"/>
        <v>5312.8332014842199</v>
      </c>
      <c r="P638" s="165">
        <f t="shared" si="306"/>
        <v>5601.4927059228849</v>
      </c>
    </row>
    <row r="639" spans="2:16">
      <c r="C639" s="207"/>
      <c r="D639" s="207"/>
      <c r="E639" s="207"/>
      <c r="F639" s="207"/>
      <c r="G639" s="207"/>
      <c r="H639" s="207"/>
      <c r="I639" s="207"/>
      <c r="J639" s="207"/>
      <c r="K639" s="190">
        <f>K638/K632</f>
        <v>-3.3300690214288671E-2</v>
      </c>
      <c r="L639" s="190">
        <f t="shared" ref="L639:P639" si="307">L638/L632</f>
        <v>8.2143557924345884E-2</v>
      </c>
      <c r="M639" s="190">
        <f t="shared" si="307"/>
        <v>0.10197962331468137</v>
      </c>
      <c r="N639" s="190">
        <f t="shared" si="307"/>
        <v>0.11188635911168029</v>
      </c>
      <c r="O639" s="190">
        <f t="shared" si="307"/>
        <v>0.11629038971139664</v>
      </c>
      <c r="P639" s="190">
        <f t="shared" si="307"/>
        <v>0.11850500444456842</v>
      </c>
    </row>
    <row r="648" spans="2:17">
      <c r="L648" s="286"/>
      <c r="M648" s="286"/>
      <c r="N648" s="286"/>
      <c r="O648" s="286"/>
    </row>
    <row r="650" spans="2:17">
      <c r="B650" s="171" t="s">
        <v>563</v>
      </c>
      <c r="C650" s="154" t="s">
        <v>476</v>
      </c>
      <c r="E650" s="154">
        <f t="shared" ref="E650:P650" si="308">E15</f>
        <v>282.932796</v>
      </c>
      <c r="F650" s="154">
        <f t="shared" si="308"/>
        <v>15864.174086999999</v>
      </c>
      <c r="G650" s="154">
        <f t="shared" si="308"/>
        <v>30209.765957000003</v>
      </c>
      <c r="H650" s="154">
        <f t="shared" si="308"/>
        <v>33591.691888000001</v>
      </c>
      <c r="I650" s="154">
        <f t="shared" si="308"/>
        <v>37332.487477000002</v>
      </c>
      <c r="J650" s="154">
        <f t="shared" si="308"/>
        <v>12444.162492333333</v>
      </c>
      <c r="K650" s="154">
        <f t="shared" si="308"/>
        <v>49776.649969333332</v>
      </c>
      <c r="L650" s="154">
        <f t="shared" si="308"/>
        <v>64231.011249456409</v>
      </c>
      <c r="M650" s="154">
        <f t="shared" si="308"/>
        <v>77036.872728608694</v>
      </c>
      <c r="N650" s="154">
        <f t="shared" si="308"/>
        <v>87707.765718445706</v>
      </c>
      <c r="O650" s="154">
        <f t="shared" si="308"/>
        <v>88795.180983228871</v>
      </c>
      <c r="P650" s="154">
        <f t="shared" si="308"/>
        <v>87922.717493714576</v>
      </c>
      <c r="Q650" s="228"/>
    </row>
    <row r="651" spans="2:17">
      <c r="C651" s="154" t="s">
        <v>477</v>
      </c>
      <c r="E651" s="154">
        <f t="shared" ref="E651:P651" si="309">E244</f>
        <v>622.09916399999997</v>
      </c>
      <c r="F651" s="154">
        <f t="shared" si="309"/>
        <v>12703.976007000001</v>
      </c>
      <c r="G651" s="154">
        <f t="shared" si="309"/>
        <v>27740.911704999999</v>
      </c>
      <c r="H651" s="154">
        <f t="shared" si="309"/>
        <v>23548.688567000001</v>
      </c>
      <c r="I651" s="154">
        <f t="shared" si="309"/>
        <v>28919.795692227191</v>
      </c>
      <c r="J651" s="154">
        <f t="shared" si="309"/>
        <v>11597.74252645496</v>
      </c>
      <c r="K651" s="154">
        <f t="shared" si="309"/>
        <v>40517.538218682152</v>
      </c>
      <c r="L651" s="154">
        <f t="shared" si="309"/>
        <v>51557.448245067506</v>
      </c>
      <c r="M651" s="154">
        <f t="shared" si="309"/>
        <v>66730.109171077886</v>
      </c>
      <c r="N651" s="154">
        <f t="shared" si="309"/>
        <v>77203.11235998277</v>
      </c>
      <c r="O651" s="154">
        <f t="shared" si="309"/>
        <v>78766.083966520921</v>
      </c>
      <c r="P651" s="154">
        <f t="shared" si="309"/>
        <v>78104.964628883055</v>
      </c>
      <c r="Q651" s="228"/>
    </row>
    <row r="652" spans="2:17">
      <c r="C652" s="154" t="s">
        <v>478</v>
      </c>
      <c r="E652" s="154">
        <f t="shared" ref="E652:P652" si="310">E373</f>
        <v>0</v>
      </c>
      <c r="F652" s="154">
        <f t="shared" si="310"/>
        <v>4544.7404029999998</v>
      </c>
      <c r="G652" s="154">
        <f t="shared" si="310"/>
        <v>5896.9124750000001</v>
      </c>
      <c r="H652" s="154">
        <f t="shared" si="310"/>
        <v>4658.9919863378764</v>
      </c>
      <c r="I652" s="154">
        <f t="shared" si="310"/>
        <v>3999.5332270753561</v>
      </c>
      <c r="J652" s="154">
        <f t="shared" si="310"/>
        <v>1333.177742358452</v>
      </c>
      <c r="K652" s="154">
        <f t="shared" si="310"/>
        <v>5332.7109694338078</v>
      </c>
      <c r="L652" s="154">
        <f t="shared" si="310"/>
        <v>5761.753256350923</v>
      </c>
      <c r="M652" s="154">
        <f t="shared" si="310"/>
        <v>6146.4260118998654</v>
      </c>
      <c r="N652" s="154">
        <f t="shared" si="310"/>
        <v>6300.1994595424412</v>
      </c>
      <c r="O652" s="154">
        <f t="shared" si="310"/>
        <v>6453.2324153179334</v>
      </c>
      <c r="P652" s="154">
        <f t="shared" si="310"/>
        <v>6502.9550574425821</v>
      </c>
      <c r="Q652" s="228"/>
    </row>
    <row r="653" spans="2:17">
      <c r="C653" s="165" t="s">
        <v>479</v>
      </c>
      <c r="D653" s="165"/>
      <c r="E653" s="165">
        <f>E650-E651-E652</f>
        <v>-339.16636799999998</v>
      </c>
      <c r="F653" s="165">
        <f t="shared" ref="F653:P653" si="311">F650-F651-F652</f>
        <v>-1384.5423230000015</v>
      </c>
      <c r="G653" s="165">
        <f t="shared" si="311"/>
        <v>-3428.0582229999955</v>
      </c>
      <c r="H653" s="165">
        <f t="shared" si="311"/>
        <v>5384.0113346621238</v>
      </c>
      <c r="I653" s="165">
        <f t="shared" si="311"/>
        <v>4413.1585576974549</v>
      </c>
      <c r="J653" s="165">
        <f t="shared" si="311"/>
        <v>-486.7577764800792</v>
      </c>
      <c r="K653" s="165">
        <f t="shared" si="311"/>
        <v>3926.4007812173722</v>
      </c>
      <c r="L653" s="165">
        <f t="shared" si="311"/>
        <v>6911.8097480379802</v>
      </c>
      <c r="M653" s="165">
        <f t="shared" si="311"/>
        <v>4160.3375456309432</v>
      </c>
      <c r="N653" s="165">
        <f t="shared" si="311"/>
        <v>4204.4538989204948</v>
      </c>
      <c r="O653" s="165">
        <f t="shared" si="311"/>
        <v>3575.864601390017</v>
      </c>
      <c r="P653" s="165">
        <f t="shared" si="311"/>
        <v>3314.7978073889381</v>
      </c>
    </row>
    <row r="654" spans="2:17">
      <c r="C654" s="207"/>
      <c r="D654" s="207"/>
      <c r="E654" s="207"/>
      <c r="F654" s="207"/>
      <c r="G654" s="207"/>
      <c r="H654" s="190">
        <f>H653/H650</f>
        <v>0.1602780637728301</v>
      </c>
      <c r="I654" s="190">
        <f>I653/I650</f>
        <v>0.11821228254389256</v>
      </c>
      <c r="J654" s="207"/>
      <c r="K654" s="190">
        <f>K653/K650</f>
        <v>7.8880374304746717E-2</v>
      </c>
      <c r="L654" s="190">
        <f t="shared" ref="L654:P654" si="312">L653/L650</f>
        <v>0.10760860857684963</v>
      </c>
      <c r="M654" s="190">
        <f t="shared" si="312"/>
        <v>5.4004496785419812E-2</v>
      </c>
      <c r="N654" s="190">
        <f t="shared" si="312"/>
        <v>4.7937076773992678E-2</v>
      </c>
      <c r="O654" s="190">
        <f t="shared" si="312"/>
        <v>4.0270930942360554E-2</v>
      </c>
      <c r="P654" s="190">
        <f t="shared" si="312"/>
        <v>3.7701266542698779E-2</v>
      </c>
    </row>
    <row r="655" spans="2:17">
      <c r="C655" s="154" t="s">
        <v>94</v>
      </c>
      <c r="E655" s="154">
        <f t="shared" ref="E655:P655" si="313">E504</f>
        <v>0</v>
      </c>
      <c r="F655" s="154">
        <f t="shared" si="313"/>
        <v>0</v>
      </c>
      <c r="G655" s="154">
        <f t="shared" si="313"/>
        <v>0</v>
      </c>
      <c r="H655" s="154">
        <f t="shared" si="313"/>
        <v>0</v>
      </c>
      <c r="I655" s="154">
        <f t="shared" si="313"/>
        <v>0</v>
      </c>
      <c r="J655" s="154">
        <f t="shared" si="313"/>
        <v>0</v>
      </c>
      <c r="K655" s="154">
        <f t="shared" si="313"/>
        <v>0</v>
      </c>
      <c r="L655" s="154">
        <f t="shared" si="313"/>
        <v>0</v>
      </c>
      <c r="M655" s="154">
        <f t="shared" si="313"/>
        <v>0</v>
      </c>
      <c r="N655" s="154">
        <f t="shared" si="313"/>
        <v>0</v>
      </c>
      <c r="O655" s="154">
        <f t="shared" si="313"/>
        <v>0</v>
      </c>
      <c r="P655" s="154">
        <f t="shared" si="313"/>
        <v>0</v>
      </c>
    </row>
    <row r="656" spans="2:17">
      <c r="C656" s="165" t="s">
        <v>23</v>
      </c>
      <c r="D656" s="165"/>
      <c r="E656" s="165">
        <f>E653+E655</f>
        <v>-339.16636799999998</v>
      </c>
      <c r="F656" s="165">
        <f t="shared" ref="F656:P656" si="314">F653+F655</f>
        <v>-1384.5423230000015</v>
      </c>
      <c r="G656" s="165">
        <f t="shared" si="314"/>
        <v>-3428.0582229999955</v>
      </c>
      <c r="H656" s="165">
        <f t="shared" si="314"/>
        <v>5384.0113346621238</v>
      </c>
      <c r="I656" s="165">
        <f t="shared" si="314"/>
        <v>4413.1585576974549</v>
      </c>
      <c r="J656" s="165">
        <f t="shared" si="314"/>
        <v>-486.7577764800792</v>
      </c>
      <c r="K656" s="165">
        <f t="shared" si="314"/>
        <v>3926.4007812173722</v>
      </c>
      <c r="L656" s="165">
        <f t="shared" si="314"/>
        <v>6911.8097480379802</v>
      </c>
      <c r="M656" s="165">
        <f t="shared" si="314"/>
        <v>4160.3375456309432</v>
      </c>
      <c r="N656" s="165">
        <f t="shared" si="314"/>
        <v>4204.4538989204948</v>
      </c>
      <c r="O656" s="165">
        <f t="shared" si="314"/>
        <v>3575.864601390017</v>
      </c>
      <c r="P656" s="165">
        <f t="shared" si="314"/>
        <v>3314.7978073889381</v>
      </c>
    </row>
    <row r="657" spans="2:16">
      <c r="C657" s="207"/>
      <c r="D657" s="207"/>
      <c r="E657" s="207"/>
      <c r="F657" s="207"/>
      <c r="G657" s="207"/>
      <c r="H657" s="207"/>
      <c r="I657" s="207"/>
      <c r="J657" s="207"/>
      <c r="K657" s="190">
        <f>K656/K650</f>
        <v>7.8880374304746717E-2</v>
      </c>
      <c r="L657" s="190">
        <f t="shared" ref="L657:P657" si="315">L656/L650</f>
        <v>0.10760860857684963</v>
      </c>
      <c r="M657" s="190">
        <f t="shared" si="315"/>
        <v>5.4004496785419812E-2</v>
      </c>
      <c r="N657" s="190">
        <f t="shared" si="315"/>
        <v>4.7937076773992678E-2</v>
      </c>
      <c r="O657" s="190">
        <f t="shared" si="315"/>
        <v>4.0270930942360554E-2</v>
      </c>
      <c r="P657" s="190">
        <f t="shared" si="315"/>
        <v>3.7701266542698779E-2</v>
      </c>
    </row>
    <row r="658" spans="2:16">
      <c r="K658" s="228"/>
      <c r="L658" s="228"/>
      <c r="M658" s="228"/>
      <c r="N658" s="228"/>
      <c r="O658" s="228"/>
      <c r="P658" s="228"/>
    </row>
    <row r="659" spans="2:16">
      <c r="H659" s="209"/>
      <c r="K659" s="228"/>
      <c r="L659" s="228"/>
      <c r="M659" s="228"/>
      <c r="N659" s="228"/>
      <c r="O659" s="228"/>
      <c r="P659" s="228"/>
    </row>
    <row r="662" spans="2:16">
      <c r="H662" s="228"/>
      <c r="I662" s="228"/>
    </row>
    <row r="666" spans="2:16">
      <c r="B666" s="171" t="s">
        <v>639</v>
      </c>
      <c r="C666" s="154" t="s">
        <v>476</v>
      </c>
      <c r="E666" s="154">
        <f t="shared" ref="E666:P666" si="316">E18</f>
        <v>0</v>
      </c>
      <c r="F666" s="154">
        <f t="shared" si="316"/>
        <v>0</v>
      </c>
      <c r="G666" s="154">
        <f t="shared" si="316"/>
        <v>0</v>
      </c>
      <c r="H666" s="154">
        <f t="shared" si="316"/>
        <v>3728.4214440000001</v>
      </c>
      <c r="I666" s="154">
        <f t="shared" si="316"/>
        <v>5429.0823350000001</v>
      </c>
      <c r="J666" s="154">
        <f t="shared" si="316"/>
        <v>1809.6941116666667</v>
      </c>
      <c r="K666" s="154">
        <f t="shared" si="316"/>
        <v>7238.7764466666667</v>
      </c>
      <c r="L666" s="154">
        <f t="shared" si="316"/>
        <v>18734.943429311377</v>
      </c>
      <c r="M666" s="154">
        <f t="shared" si="316"/>
        <v>42344.22450107387</v>
      </c>
      <c r="N666" s="154">
        <f t="shared" si="316"/>
        <v>72731.722483333855</v>
      </c>
      <c r="O666" s="154">
        <f t="shared" si="316"/>
        <v>111493.43517614262</v>
      </c>
      <c r="P666" s="154">
        <f t="shared" si="316"/>
        <v>154696.90244922863</v>
      </c>
    </row>
    <row r="667" spans="2:16">
      <c r="C667" s="154" t="s">
        <v>477</v>
      </c>
      <c r="E667" s="154">
        <f t="shared" ref="E667:P667" si="317">E252</f>
        <v>0</v>
      </c>
      <c r="F667" s="154">
        <f t="shared" si="317"/>
        <v>0</v>
      </c>
      <c r="G667" s="154">
        <f t="shared" si="317"/>
        <v>0</v>
      </c>
      <c r="H667" s="154">
        <f t="shared" si="317"/>
        <v>1647.0011571385407</v>
      </c>
      <c r="I667" s="154">
        <f t="shared" si="317"/>
        <v>1525.3981849059405</v>
      </c>
      <c r="J667" s="154">
        <f t="shared" si="317"/>
        <v>520.93646252905296</v>
      </c>
      <c r="K667" s="154">
        <f t="shared" si="317"/>
        <v>2046.3346474349935</v>
      </c>
      <c r="L667" s="154">
        <f t="shared" si="317"/>
        <v>4904.5960068857148</v>
      </c>
      <c r="M667" s="154">
        <f t="shared" si="317"/>
        <v>11241.015563654139</v>
      </c>
      <c r="N667" s="154">
        <f t="shared" si="317"/>
        <v>20109.529977161073</v>
      </c>
      <c r="O667" s="154">
        <f t="shared" si="317"/>
        <v>32086.983223118477</v>
      </c>
      <c r="P667" s="154">
        <f t="shared" si="317"/>
        <v>46410.015959360942</v>
      </c>
    </row>
    <row r="668" spans="2:16">
      <c r="C668" s="154" t="s">
        <v>478</v>
      </c>
      <c r="E668" s="154">
        <f t="shared" ref="E668:P668" si="318">E378</f>
        <v>0</v>
      </c>
      <c r="F668" s="154">
        <f t="shared" si="318"/>
        <v>0</v>
      </c>
      <c r="G668" s="154">
        <f t="shared" si="318"/>
        <v>0</v>
      </c>
      <c r="H668" s="154">
        <f t="shared" si="318"/>
        <v>0</v>
      </c>
      <c r="I668" s="154">
        <f t="shared" si="318"/>
        <v>362.19663235670333</v>
      </c>
      <c r="J668" s="154">
        <f t="shared" si="318"/>
        <v>120.73221078556777</v>
      </c>
      <c r="K668" s="154">
        <f t="shared" si="318"/>
        <v>482.92884314227109</v>
      </c>
      <c r="L668" s="154">
        <f t="shared" si="318"/>
        <v>1553.6663856751243</v>
      </c>
      <c r="M668" s="154">
        <f t="shared" si="318"/>
        <v>2835.5667633138182</v>
      </c>
      <c r="N668" s="154">
        <f t="shared" si="318"/>
        <v>4577.5178322563643</v>
      </c>
      <c r="O668" s="154">
        <f t="shared" si="318"/>
        <v>6676.0445863046007</v>
      </c>
      <c r="P668" s="154">
        <f t="shared" si="318"/>
        <v>8772.5913754732464</v>
      </c>
    </row>
    <row r="669" spans="2:16">
      <c r="C669" s="165" t="s">
        <v>479</v>
      </c>
      <c r="D669" s="165"/>
      <c r="E669" s="165">
        <f>E666-E667-E668</f>
        <v>0</v>
      </c>
      <c r="F669" s="165">
        <f t="shared" ref="F669:P669" si="319">F666-F667-F668</f>
        <v>0</v>
      </c>
      <c r="G669" s="165">
        <f t="shared" si="319"/>
        <v>0</v>
      </c>
      <c r="H669" s="165">
        <f t="shared" si="319"/>
        <v>2081.4202868614593</v>
      </c>
      <c r="I669" s="165">
        <f t="shared" si="319"/>
        <v>3541.487517737356</v>
      </c>
      <c r="J669" s="165">
        <f t="shared" si="319"/>
        <v>1168.025438352046</v>
      </c>
      <c r="K669" s="165">
        <f t="shared" si="319"/>
        <v>4709.512956089402</v>
      </c>
      <c r="L669" s="165">
        <f t="shared" si="319"/>
        <v>12276.681036750539</v>
      </c>
      <c r="M669" s="165">
        <f t="shared" si="319"/>
        <v>28267.642174105913</v>
      </c>
      <c r="N669" s="165">
        <f t="shared" si="319"/>
        <v>48044.674673916415</v>
      </c>
      <c r="O669" s="165">
        <f t="shared" si="319"/>
        <v>72730.407366719533</v>
      </c>
      <c r="P669" s="165">
        <f t="shared" si="319"/>
        <v>99514.295114394437</v>
      </c>
    </row>
    <row r="670" spans="2:16">
      <c r="C670" s="207"/>
      <c r="D670" s="207"/>
      <c r="E670" s="207"/>
      <c r="F670" s="207"/>
      <c r="G670" s="207"/>
      <c r="H670" s="190">
        <f>H669/H666</f>
        <v>0.55825778231455192</v>
      </c>
      <c r="I670" s="190">
        <f>I669/I666</f>
        <v>0.65231788711440786</v>
      </c>
      <c r="J670" s="190">
        <f>J669/J666</f>
        <v>0.64542699830986039</v>
      </c>
      <c r="K670" s="190">
        <f>K669/K666</f>
        <v>0.65059516491327096</v>
      </c>
      <c r="L670" s="190">
        <f t="shared" ref="L670:P670" si="320">L669/L666</f>
        <v>0.65528252503518669</v>
      </c>
      <c r="M670" s="190">
        <f t="shared" si="320"/>
        <v>0.66756783261880337</v>
      </c>
      <c r="N670" s="190">
        <f t="shared" si="320"/>
        <v>0.6605738601189548</v>
      </c>
      <c r="O670" s="190">
        <f t="shared" si="320"/>
        <v>0.65232905643113948</v>
      </c>
      <c r="P670" s="190">
        <f t="shared" si="320"/>
        <v>0.64328563493412505</v>
      </c>
    </row>
    <row r="671" spans="2:16">
      <c r="C671" s="154" t="s">
        <v>94</v>
      </c>
      <c r="E671" s="154">
        <f t="shared" ref="E671:P671" si="321">E501</f>
        <v>0</v>
      </c>
      <c r="F671" s="154">
        <f t="shared" si="321"/>
        <v>0</v>
      </c>
      <c r="G671" s="154">
        <f t="shared" si="321"/>
        <v>0</v>
      </c>
      <c r="H671" s="154">
        <f t="shared" si="321"/>
        <v>0</v>
      </c>
      <c r="I671" s="154">
        <f t="shared" si="321"/>
        <v>0</v>
      </c>
      <c r="J671" s="154">
        <f t="shared" si="321"/>
        <v>12.470400893739443</v>
      </c>
      <c r="K671" s="154">
        <f t="shared" si="321"/>
        <v>12.470400893739443</v>
      </c>
      <c r="L671" s="154">
        <f t="shared" si="321"/>
        <v>2341.6939826644989</v>
      </c>
      <c r="M671" s="154">
        <f t="shared" si="321"/>
        <v>7690.2864591266507</v>
      </c>
      <c r="N671" s="154">
        <f t="shared" si="321"/>
        <v>15309.688404756716</v>
      </c>
      <c r="O671" s="154">
        <f t="shared" si="321"/>
        <v>25685.364312053309</v>
      </c>
      <c r="P671" s="154">
        <f t="shared" si="321"/>
        <v>38233.335973870744</v>
      </c>
    </row>
    <row r="672" spans="2:16">
      <c r="C672" s="165" t="s">
        <v>23</v>
      </c>
      <c r="D672" s="165"/>
      <c r="E672" s="165">
        <f>E669+E671</f>
        <v>0</v>
      </c>
      <c r="F672" s="165">
        <f t="shared" ref="F672:P672" si="322">F669+F671</f>
        <v>0</v>
      </c>
      <c r="G672" s="165">
        <f t="shared" si="322"/>
        <v>0</v>
      </c>
      <c r="H672" s="165">
        <f t="shared" si="322"/>
        <v>2081.4202868614593</v>
      </c>
      <c r="I672" s="165">
        <f t="shared" si="322"/>
        <v>3541.487517737356</v>
      </c>
      <c r="J672" s="165">
        <f t="shared" si="322"/>
        <v>1180.4958392457854</v>
      </c>
      <c r="K672" s="165">
        <f t="shared" si="322"/>
        <v>4721.9833569831417</v>
      </c>
      <c r="L672" s="165">
        <f t="shared" si="322"/>
        <v>14618.375019415038</v>
      </c>
      <c r="M672" s="165">
        <f t="shared" si="322"/>
        <v>35957.928633232565</v>
      </c>
      <c r="N672" s="165">
        <f t="shared" si="322"/>
        <v>63354.36307867313</v>
      </c>
      <c r="O672" s="165">
        <f t="shared" si="322"/>
        <v>98415.771678772842</v>
      </c>
      <c r="P672" s="165">
        <f t="shared" si="322"/>
        <v>137747.63108826519</v>
      </c>
    </row>
    <row r="673" spans="3:16">
      <c r="C673" s="207"/>
      <c r="D673" s="207"/>
      <c r="E673" s="207"/>
      <c r="F673" s="207"/>
      <c r="G673" s="207"/>
      <c r="H673" s="190">
        <f>H672/H666</f>
        <v>0.55825778231455192</v>
      </c>
      <c r="I673" s="190">
        <f>I672/I666</f>
        <v>0.65231788711440786</v>
      </c>
      <c r="J673" s="190">
        <f>J672/J666</f>
        <v>0.65231788711440797</v>
      </c>
      <c r="K673" s="190">
        <f>K672/K666</f>
        <v>0.65231788711440797</v>
      </c>
      <c r="L673" s="190">
        <f t="shared" ref="L673:P673" si="323">L672/L666</f>
        <v>0.78027324045954438</v>
      </c>
      <c r="M673" s="190">
        <f t="shared" si="323"/>
        <v>0.84918141864472341</v>
      </c>
      <c r="N673" s="190">
        <f t="shared" si="323"/>
        <v>0.87106919670698701</v>
      </c>
      <c r="O673" s="190">
        <f t="shared" si="323"/>
        <v>0.88270463210045447</v>
      </c>
      <c r="P673" s="190">
        <f t="shared" si="323"/>
        <v>0.89043561252607384</v>
      </c>
    </row>
    <row r="685" spans="3:16">
      <c r="K685" s="228"/>
      <c r="L685" s="228"/>
      <c r="M685" s="228"/>
      <c r="N685" s="228"/>
      <c r="O685" s="228"/>
    </row>
    <row r="686" spans="3:16">
      <c r="K686" s="228"/>
      <c r="L686" s="228"/>
      <c r="M686" s="228"/>
      <c r="N686" s="228"/>
      <c r="O686" s="228"/>
    </row>
    <row r="687" spans="3:16">
      <c r="K687" s="228"/>
      <c r="L687" s="228"/>
      <c r="M687" s="228"/>
      <c r="N687" s="228"/>
      <c r="O687" s="228"/>
    </row>
    <row r="688" spans="3:16">
      <c r="K688" s="228"/>
      <c r="L688" s="228"/>
      <c r="M688" s="228"/>
      <c r="N688" s="228"/>
      <c r="O688" s="228"/>
    </row>
  </sheetData>
  <phoneticPr fontId="7" type="noConversion"/>
  <hyperlinks>
    <hyperlink ref="B607" r:id="rId1" xr:uid="{3EA8BF8C-4744-4517-A4A8-AB0475CF6BC1}"/>
    <hyperlink ref="B608" r:id="rId2" xr:uid="{2804AF23-538F-49AC-A62C-E6BF3F05037D}"/>
  </hyperlinks>
  <pageMargins left="0.7" right="0.7" top="0.75" bottom="0.75" header="0.3" footer="0.3"/>
  <pageSetup paperSize="9" orientation="portrait" verticalDpi="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7191-D9AC-4B74-8036-58121BCDE411}">
  <sheetPr>
    <tabColor rgb="FF92D050"/>
  </sheetPr>
  <dimension ref="A1:X243"/>
  <sheetViews>
    <sheetView showGridLines="0" zoomScale="70" zoomScaleNormal="70" workbookViewId="0">
      <pane xSplit="3" ySplit="4" topLeftCell="D5" activePane="bottomRight" state="frozen"/>
      <selection activeCell="K33" sqref="K33:O37"/>
      <selection pane="topRight" activeCell="K33" sqref="K33:O37"/>
      <selection pane="bottomLeft" activeCell="K33" sqref="K33:O37"/>
      <selection pane="bottomRight" activeCell="D5" sqref="D5"/>
    </sheetView>
  </sheetViews>
  <sheetFormatPr defaultRowHeight="15.6" outlineLevelCol="1"/>
  <cols>
    <col min="1" max="1" width="2.6640625" style="9" customWidth="1"/>
    <col min="2" max="2" width="29.21875" style="9" customWidth="1"/>
    <col min="3" max="10" width="15.33203125" style="9" customWidth="1"/>
    <col min="11" max="11" width="15.33203125" style="9" customWidth="1" outlineLevel="1"/>
    <col min="12" max="17" width="15.33203125" style="9" customWidth="1"/>
    <col min="18" max="18" width="3.109375" style="9" customWidth="1"/>
    <col min="19" max="19" width="8.88671875" style="9" customWidth="1"/>
    <col min="20" max="20" width="15.109375" style="9" customWidth="1"/>
    <col min="21" max="23" width="8.88671875" style="9"/>
    <col min="24" max="24" width="13.77734375" style="9" customWidth="1"/>
    <col min="25" max="16384" width="8.88671875" style="9"/>
  </cols>
  <sheetData>
    <row r="1" spans="2:24" s="4" customFormat="1">
      <c r="B1" s="1" t="s">
        <v>0</v>
      </c>
      <c r="C1" s="2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24" s="4" customFormat="1">
      <c r="B2" s="2" t="s">
        <v>480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24" s="4" customFormat="1">
      <c r="B3" s="5"/>
      <c r="C3" s="5"/>
      <c r="D3" s="6"/>
      <c r="E3" s="6">
        <v>2018</v>
      </c>
      <c r="F3" s="6">
        <v>2019</v>
      </c>
      <c r="G3" s="6">
        <v>2020</v>
      </c>
      <c r="H3" s="6">
        <v>2021</v>
      </c>
      <c r="I3" s="6">
        <v>2022</v>
      </c>
      <c r="J3" s="6">
        <v>2022</v>
      </c>
      <c r="K3" s="6">
        <v>2022</v>
      </c>
      <c r="L3" s="6">
        <v>2023</v>
      </c>
      <c r="M3" s="6">
        <v>2024</v>
      </c>
      <c r="N3" s="6">
        <v>2025</v>
      </c>
      <c r="O3" s="6">
        <v>2026</v>
      </c>
      <c r="P3" s="6">
        <v>2027</v>
      </c>
      <c r="Q3" s="6" t="s">
        <v>3</v>
      </c>
    </row>
    <row r="4" spans="2:24" s="4" customFormat="1">
      <c r="B4" s="7" t="s">
        <v>4</v>
      </c>
      <c r="C4" s="7"/>
      <c r="D4" s="8"/>
      <c r="E4" s="8" t="s">
        <v>5</v>
      </c>
      <c r="F4" s="8" t="s">
        <v>5</v>
      </c>
      <c r="G4" s="8" t="s">
        <v>5</v>
      </c>
      <c r="H4" s="8" t="s">
        <v>5</v>
      </c>
      <c r="I4" s="8" t="s">
        <v>6</v>
      </c>
      <c r="J4" s="8" t="s">
        <v>7</v>
      </c>
      <c r="K4" s="8" t="s">
        <v>5</v>
      </c>
      <c r="L4" s="8" t="s">
        <v>5</v>
      </c>
      <c r="M4" s="8" t="s">
        <v>5</v>
      </c>
      <c r="N4" s="8" t="s">
        <v>5</v>
      </c>
      <c r="O4" s="8" t="s">
        <v>5</v>
      </c>
      <c r="P4" s="8" t="s">
        <v>5</v>
      </c>
      <c r="Q4" s="8"/>
    </row>
    <row r="5" spans="2:24">
      <c r="D5" s="93"/>
      <c r="S5" s="4"/>
      <c r="T5" s="4"/>
      <c r="U5" s="4"/>
      <c r="V5" s="4"/>
      <c r="W5" s="4"/>
      <c r="X5" s="4"/>
    </row>
    <row r="6" spans="2:24">
      <c r="B6" s="11" t="s">
        <v>640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S6" s="4"/>
      <c r="T6" s="4"/>
      <c r="U6" s="4"/>
      <c r="V6" s="4"/>
      <c r="W6" s="4"/>
      <c r="X6" s="4"/>
    </row>
    <row r="7" spans="2:24">
      <c r="S7" s="4"/>
      <c r="T7" s="4"/>
      <c r="U7" s="4"/>
      <c r="V7" s="4"/>
      <c r="W7" s="4"/>
      <c r="X7" s="4"/>
    </row>
    <row r="8" spans="2:24">
      <c r="B8" s="12" t="s">
        <v>641</v>
      </c>
      <c r="C8" s="12"/>
      <c r="D8" s="12"/>
      <c r="E8" s="12"/>
      <c r="F8" s="12"/>
      <c r="G8" s="12"/>
      <c r="H8" s="12"/>
      <c r="I8" s="13"/>
      <c r="J8" s="12"/>
      <c r="K8" s="12"/>
      <c r="L8" s="12"/>
      <c r="M8" s="12"/>
      <c r="N8" s="12"/>
      <c r="O8" s="12"/>
      <c r="P8" s="12"/>
      <c r="Q8" s="12"/>
      <c r="S8" s="4"/>
      <c r="T8" s="4"/>
      <c r="U8" s="4"/>
      <c r="V8" s="4"/>
      <c r="W8" s="4"/>
      <c r="X8" s="4"/>
    </row>
    <row r="9" spans="2:24">
      <c r="B9" s="89" t="s">
        <v>9</v>
      </c>
      <c r="E9" s="9">
        <f t="shared" ref="E9:Q9" si="0">E84</f>
        <v>-12937.44738</v>
      </c>
      <c r="F9" s="9">
        <f t="shared" si="0"/>
        <v>-13704.660264999839</v>
      </c>
      <c r="G9" s="9">
        <f t="shared" si="0"/>
        <v>-12739.187100646319</v>
      </c>
      <c r="H9" s="9">
        <f t="shared" si="0"/>
        <v>-12607.416243389715</v>
      </c>
      <c r="I9" s="83">
        <f t="shared" si="0"/>
        <v>-6662.4960908403154</v>
      </c>
      <c r="J9" s="9">
        <f t="shared" si="0"/>
        <v>-3724.2835601729362</v>
      </c>
      <c r="K9" s="9">
        <f t="shared" si="0"/>
        <v>-10386.779651013252</v>
      </c>
      <c r="L9" s="9">
        <f t="shared" si="0"/>
        <v>-16247.707929033131</v>
      </c>
      <c r="M9" s="9">
        <f t="shared" si="0"/>
        <v>-18214.414140960096</v>
      </c>
      <c r="N9" s="9">
        <f t="shared" si="0"/>
        <v>-20418.92204213353</v>
      </c>
      <c r="O9" s="9">
        <f t="shared" si="0"/>
        <v>-22845.122050177473</v>
      </c>
      <c r="P9" s="9">
        <f t="shared" si="0"/>
        <v>-25425.370256134</v>
      </c>
      <c r="Q9" s="9">
        <f t="shared" si="0"/>
        <v>-25679.623958695338</v>
      </c>
      <c r="S9" s="4"/>
      <c r="T9" s="4"/>
      <c r="U9" s="4"/>
      <c r="V9" s="4"/>
      <c r="W9" s="4"/>
      <c r="X9" s="4"/>
    </row>
    <row r="10" spans="2:24">
      <c r="B10" s="89" t="s">
        <v>77</v>
      </c>
      <c r="E10" s="9">
        <f t="shared" ref="E10:Q10" si="1">E88</f>
        <v>-10129.123301260766</v>
      </c>
      <c r="F10" s="9">
        <f t="shared" si="1"/>
        <v>-18329.83742090642</v>
      </c>
      <c r="G10" s="9">
        <f t="shared" si="1"/>
        <v>-12186.237000238913</v>
      </c>
      <c r="H10" s="9">
        <f t="shared" si="1"/>
        <v>-10965.302723245592</v>
      </c>
      <c r="I10" s="83">
        <f t="shared" si="1"/>
        <v>-7659.0864619304957</v>
      </c>
      <c r="J10" s="9">
        <f t="shared" si="1"/>
        <v>-3195.7430241306533</v>
      </c>
      <c r="K10" s="9">
        <f t="shared" si="1"/>
        <v>-10854.82948606115</v>
      </c>
      <c r="L10" s="9">
        <f t="shared" si="1"/>
        <v>-13763.157575037829</v>
      </c>
      <c r="M10" s="9">
        <f t="shared" si="1"/>
        <v>-15317.613956554473</v>
      </c>
      <c r="N10" s="9">
        <f t="shared" si="1"/>
        <v>-16940.589776159908</v>
      </c>
      <c r="O10" s="9">
        <f t="shared" si="1"/>
        <v>-18534.769376369841</v>
      </c>
      <c r="P10" s="9">
        <f t="shared" si="1"/>
        <v>-20266.629774954112</v>
      </c>
      <c r="Q10" s="9">
        <f t="shared" si="1"/>
        <v>-20469.296072703655</v>
      </c>
      <c r="S10" s="4"/>
      <c r="T10" s="4"/>
      <c r="U10" s="4"/>
      <c r="V10" s="4"/>
      <c r="W10" s="4"/>
      <c r="X10" s="4"/>
    </row>
    <row r="11" spans="2:24">
      <c r="B11" s="89" t="s">
        <v>99</v>
      </c>
      <c r="E11" s="9">
        <f t="shared" ref="E11:Q11" si="2">E90</f>
        <v>-1454.1982297392333</v>
      </c>
      <c r="F11" s="9">
        <f t="shared" si="2"/>
        <v>-4825.0124850936554</v>
      </c>
      <c r="G11" s="9">
        <f t="shared" si="2"/>
        <v>-2889.6913674073239</v>
      </c>
      <c r="H11" s="9">
        <f t="shared" si="2"/>
        <v>-2323.3103233620513</v>
      </c>
      <c r="I11" s="83">
        <f t="shared" si="2"/>
        <v>-1638.3378161468827</v>
      </c>
      <c r="J11" s="9">
        <f t="shared" si="2"/>
        <v>-651.3344133344558</v>
      </c>
      <c r="K11" s="9">
        <f t="shared" si="2"/>
        <v>-2289.6722294813371</v>
      </c>
      <c r="L11" s="9">
        <f t="shared" si="2"/>
        <v>-2844.9923896856453</v>
      </c>
      <c r="M11" s="9">
        <f t="shared" si="2"/>
        <v>-3081.9213964152514</v>
      </c>
      <c r="N11" s="9">
        <f t="shared" si="2"/>
        <v>-3344.18003632822</v>
      </c>
      <c r="O11" s="9">
        <f t="shared" si="2"/>
        <v>-3635.2565019366521</v>
      </c>
      <c r="P11" s="9">
        <f t="shared" si="2"/>
        <v>-3912.9801946453081</v>
      </c>
      <c r="Q11" s="9">
        <f t="shared" si="2"/>
        <v>-3952.1099965917601</v>
      </c>
      <c r="S11" s="4"/>
      <c r="T11" s="4"/>
      <c r="U11" s="4"/>
      <c r="V11" s="4"/>
      <c r="W11" s="4"/>
      <c r="X11" s="4"/>
    </row>
    <row r="12" spans="2:24">
      <c r="B12" s="89" t="s">
        <v>94</v>
      </c>
      <c r="E12" s="9">
        <f t="shared" ref="E12:Q12" si="3">E92</f>
        <v>0</v>
      </c>
      <c r="F12" s="9">
        <f t="shared" si="3"/>
        <v>0</v>
      </c>
      <c r="G12" s="9">
        <f t="shared" si="3"/>
        <v>0</v>
      </c>
      <c r="H12" s="9">
        <f t="shared" si="3"/>
        <v>0</v>
      </c>
      <c r="I12" s="83">
        <f t="shared" si="3"/>
        <v>0</v>
      </c>
      <c r="J12" s="9">
        <f t="shared" si="3"/>
        <v>0</v>
      </c>
      <c r="K12" s="9">
        <f t="shared" si="3"/>
        <v>0</v>
      </c>
      <c r="L12" s="9">
        <f t="shared" si="3"/>
        <v>0</v>
      </c>
      <c r="M12" s="9">
        <f t="shared" si="3"/>
        <v>0</v>
      </c>
      <c r="N12" s="9">
        <f t="shared" si="3"/>
        <v>0</v>
      </c>
      <c r="O12" s="9">
        <f t="shared" si="3"/>
        <v>0</v>
      </c>
      <c r="P12" s="9">
        <f t="shared" si="3"/>
        <v>0</v>
      </c>
      <c r="Q12" s="9">
        <f t="shared" si="3"/>
        <v>0</v>
      </c>
      <c r="S12" s="4"/>
      <c r="T12" s="4"/>
      <c r="U12" s="4"/>
      <c r="V12" s="4"/>
      <c r="W12" s="4"/>
      <c r="X12" s="4"/>
    </row>
    <row r="13" spans="2:24">
      <c r="I13" s="86"/>
      <c r="S13" s="4"/>
      <c r="T13" s="4"/>
      <c r="U13" s="4"/>
      <c r="V13" s="4"/>
      <c r="W13" s="4"/>
      <c r="X13" s="4"/>
    </row>
    <row r="14" spans="2:24">
      <c r="B14" s="12" t="s">
        <v>99</v>
      </c>
      <c r="C14" s="12"/>
      <c r="D14" s="12"/>
      <c r="E14" s="12"/>
      <c r="F14" s="12"/>
      <c r="G14" s="12"/>
      <c r="H14" s="12"/>
      <c r="I14" s="13"/>
      <c r="J14" s="12"/>
      <c r="K14" s="12"/>
      <c r="L14" s="12"/>
      <c r="M14" s="12"/>
      <c r="N14" s="12"/>
      <c r="O14" s="12"/>
      <c r="P14" s="12"/>
      <c r="Q14" s="12"/>
      <c r="S14" s="4"/>
      <c r="T14" s="4"/>
      <c r="U14" s="4"/>
      <c r="V14" s="4"/>
      <c r="W14" s="4"/>
      <c r="X14" s="4"/>
    </row>
    <row r="15" spans="2:24">
      <c r="B15" s="89" t="s">
        <v>642</v>
      </c>
      <c r="E15" s="9">
        <f>SUM(E16,E18,E20,E22,E23,E24)</f>
        <v>0.51782742993834141</v>
      </c>
      <c r="F15" s="9">
        <f t="shared" ref="F15:Q15" si="4">SUM(F16,F18,F20,F22,F23,F24)</f>
        <v>74562.07810458701</v>
      </c>
      <c r="G15" s="9">
        <f t="shared" si="4"/>
        <v>80559.889353572857</v>
      </c>
      <c r="H15" s="9">
        <f t="shared" si="4"/>
        <v>87632.211089581077</v>
      </c>
      <c r="I15" s="83">
        <f t="shared" si="4"/>
        <v>73027.32482439671</v>
      </c>
      <c r="J15" s="9">
        <f t="shared" si="4"/>
        <v>24586.522076937119</v>
      </c>
      <c r="K15" s="9">
        <f t="shared" si="4"/>
        <v>97613.846901333833</v>
      </c>
      <c r="L15" s="9">
        <f t="shared" si="4"/>
        <v>110019.73142506251</v>
      </c>
      <c r="M15" s="9">
        <f t="shared" si="4"/>
        <v>118882.32548149131</v>
      </c>
      <c r="N15" s="9">
        <f t="shared" si="4"/>
        <v>125721.03855370225</v>
      </c>
      <c r="O15" s="9">
        <f t="shared" si="4"/>
        <v>130507.86499330649</v>
      </c>
      <c r="P15" s="9">
        <f t="shared" si="4"/>
        <v>134814.14846766228</v>
      </c>
      <c r="Q15" s="9">
        <f t="shared" si="4"/>
        <v>136162.28995233891</v>
      </c>
      <c r="S15" s="4"/>
      <c r="T15" s="4"/>
      <c r="U15" s="4"/>
      <c r="V15" s="4"/>
      <c r="W15" s="4"/>
      <c r="X15" s="4"/>
    </row>
    <row r="16" spans="2:24">
      <c r="B16" s="82" t="s">
        <v>643</v>
      </c>
      <c r="E16" s="9">
        <f>SUM(E18:E20)</f>
        <v>0.24903734275654185</v>
      </c>
      <c r="F16" s="9">
        <v>51958.619081082892</v>
      </c>
      <c r="G16" s="9">
        <v>58433.27680629948</v>
      </c>
      <c r="H16" s="9">
        <v>61002.016157348888</v>
      </c>
      <c r="I16" s="83">
        <f>K16*9/12</f>
        <v>49777.645184396708</v>
      </c>
      <c r="J16" s="9">
        <f>K16-I16</f>
        <v>16592.548394798898</v>
      </c>
      <c r="K16" s="9">
        <v>66370.193579195606</v>
      </c>
      <c r="L16" s="9">
        <f>K16*(1+L17)</f>
        <v>68759.520548046654</v>
      </c>
      <c r="M16" s="9">
        <f t="shared" ref="M16:P16" si="5">L16*(1+M17)</f>
        <v>70065.951438459539</v>
      </c>
      <c r="N16" s="9">
        <f t="shared" si="5"/>
        <v>71677.468321544104</v>
      </c>
      <c r="O16" s="9">
        <f t="shared" si="5"/>
        <v>73971.147307833511</v>
      </c>
      <c r="P16" s="9">
        <f t="shared" si="5"/>
        <v>76486.166316299859</v>
      </c>
      <c r="Q16" s="9">
        <f>P16*(1+DCF!$F$44)</f>
        <v>77251.027979462859</v>
      </c>
      <c r="S16" s="4"/>
      <c r="T16" s="4"/>
      <c r="U16" s="4"/>
      <c r="V16" s="4"/>
      <c r="W16" s="4"/>
      <c r="X16" s="4"/>
    </row>
    <row r="17" spans="2:24">
      <c r="B17" s="115" t="s">
        <v>178</v>
      </c>
      <c r="G17" s="37">
        <f>G16/F16-1</f>
        <v>0.12461181301051716</v>
      </c>
      <c r="H17" s="37">
        <f t="shared" ref="H17" si="6">H16/G16-1</f>
        <v>4.3960213964459482E-2</v>
      </c>
      <c r="I17" s="126">
        <f>I16*4/3/H16-1</f>
        <v>8.80000000000003E-2</v>
      </c>
      <c r="K17" s="37">
        <f>K16/H16-1</f>
        <v>8.80000000000003E-2</v>
      </c>
      <c r="L17" s="37">
        <v>3.6000000000000004E-2</v>
      </c>
      <c r="M17" s="37">
        <v>1.9E-2</v>
      </c>
      <c r="N17" s="37">
        <v>2.3E-2</v>
      </c>
      <c r="O17" s="37">
        <v>3.2000000000000001E-2</v>
      </c>
      <c r="P17" s="37">
        <v>3.4000000000000002E-2</v>
      </c>
      <c r="S17" s="114"/>
      <c r="T17" s="4"/>
      <c r="U17" s="4"/>
      <c r="V17" s="4"/>
      <c r="W17" s="4"/>
      <c r="X17" s="4"/>
    </row>
    <row r="18" spans="2:24">
      <c r="B18" s="82" t="s">
        <v>644</v>
      </c>
      <c r="E18" s="9">
        <f>'Physical Security'!E372</f>
        <v>0</v>
      </c>
      <c r="F18" s="9">
        <v>4070.9449119999999</v>
      </c>
      <c r="G18" s="9">
        <v>2644.7160219999996</v>
      </c>
      <c r="H18" s="9">
        <v>3059.7509690000002</v>
      </c>
      <c r="I18" s="83">
        <f>K18*9/12</f>
        <v>3750</v>
      </c>
      <c r="J18" s="9">
        <f>K18-I18</f>
        <v>1250</v>
      </c>
      <c r="K18" s="9">
        <v>5000</v>
      </c>
      <c r="L18" s="9">
        <f>K18*(1+L19)</f>
        <v>5080</v>
      </c>
      <c r="M18" s="9">
        <f t="shared" ref="M18:P18" si="7">L18*(1+M19)</f>
        <v>5100.32</v>
      </c>
      <c r="N18" s="9">
        <f t="shared" si="7"/>
        <v>5181.9251199999999</v>
      </c>
      <c r="O18" s="9">
        <f t="shared" si="7"/>
        <v>5280.3816972799996</v>
      </c>
      <c r="P18" s="9">
        <f t="shared" si="7"/>
        <v>5401.8304763174392</v>
      </c>
      <c r="Q18" s="9">
        <f>P18*(1+DCF!$F$44)</f>
        <v>5455.8487810806137</v>
      </c>
      <c r="S18" s="4"/>
      <c r="T18" s="4"/>
      <c r="U18" s="4"/>
      <c r="V18" s="4"/>
      <c r="W18" s="4"/>
      <c r="X18" s="4"/>
    </row>
    <row r="19" spans="2:24">
      <c r="B19" s="115" t="s">
        <v>178</v>
      </c>
      <c r="E19" s="9">
        <f>'Physical Security'!E374</f>
        <v>0</v>
      </c>
      <c r="G19" s="37">
        <f>G18/F18-1</f>
        <v>-0.35034345117171173</v>
      </c>
      <c r="H19" s="37">
        <f t="shared" ref="H19" si="8">H18/G18-1</f>
        <v>0.15692987207229181</v>
      </c>
      <c r="I19" s="146">
        <f>I18*4/3/H18-1</f>
        <v>0.63411991716244787</v>
      </c>
      <c r="K19" s="351">
        <f>K18/H18-1</f>
        <v>0.63411991716244787</v>
      </c>
      <c r="L19" s="351">
        <v>1.6E-2</v>
      </c>
      <c r="M19" s="351">
        <v>4.0000000000000001E-3</v>
      </c>
      <c r="N19" s="351">
        <v>1.6E-2</v>
      </c>
      <c r="O19" s="351">
        <v>1.9E-2</v>
      </c>
      <c r="P19" s="351">
        <v>2.3E-2</v>
      </c>
      <c r="Q19" s="113"/>
      <c r="S19" s="114"/>
      <c r="T19" s="4"/>
      <c r="U19" s="4"/>
      <c r="V19" s="4"/>
      <c r="W19" s="4"/>
      <c r="X19" s="4"/>
    </row>
    <row r="20" spans="2:24">
      <c r="B20" s="82" t="s">
        <v>645</v>
      </c>
      <c r="E20" s="9">
        <f>'Physical Security'!E376</f>
        <v>0.24903734275654185</v>
      </c>
      <c r="F20" s="9">
        <v>18532.514111504126</v>
      </c>
      <c r="G20" s="9">
        <v>19481.896525273383</v>
      </c>
      <c r="H20" s="9">
        <v>23570.443963232181</v>
      </c>
      <c r="I20" s="83">
        <v>17702.838639999998</v>
      </c>
      <c r="J20" s="9">
        <f>K20-I20</f>
        <v>5638.1291978742665</v>
      </c>
      <c r="K20" s="9">
        <v>23340.967837874265</v>
      </c>
      <c r="L20" s="9">
        <f>K20*(1+L21)</f>
        <v>23714.423323280254</v>
      </c>
      <c r="M20" s="9">
        <f t="shared" ref="M20:P20" si="9">L20*(1+M21)</f>
        <v>23809.281016573375</v>
      </c>
      <c r="N20" s="9">
        <f t="shared" si="9"/>
        <v>24190.229512838549</v>
      </c>
      <c r="O20" s="9">
        <f t="shared" si="9"/>
        <v>24649.843873582478</v>
      </c>
      <c r="P20" s="9">
        <f t="shared" si="9"/>
        <v>25216.790282674872</v>
      </c>
      <c r="Q20" s="9">
        <f>P20*(1+DCF!$F$44)</f>
        <v>25468.958185501622</v>
      </c>
      <c r="S20" s="4"/>
      <c r="T20" s="4"/>
      <c r="U20" s="4"/>
      <c r="V20" s="4"/>
      <c r="W20" s="4"/>
      <c r="X20" s="4"/>
    </row>
    <row r="21" spans="2:24">
      <c r="B21" s="115" t="s">
        <v>178</v>
      </c>
      <c r="G21" s="37">
        <f>G20/F20-1</f>
        <v>5.1227934216433457E-2</v>
      </c>
      <c r="H21" s="37">
        <f t="shared" ref="H21" si="10">H20/G20-1</f>
        <v>0.20986393355774302</v>
      </c>
      <c r="I21" s="146">
        <f>I20*4/3/H20-1</f>
        <v>1.4145210906149064E-3</v>
      </c>
      <c r="K21" s="37">
        <f>K20/H20-1</f>
        <v>-9.7357574475847031E-3</v>
      </c>
      <c r="L21" s="351">
        <v>1.6E-2</v>
      </c>
      <c r="M21" s="351">
        <v>4.0000000000000001E-3</v>
      </c>
      <c r="N21" s="351">
        <v>1.6E-2</v>
      </c>
      <c r="O21" s="351">
        <v>1.9E-2</v>
      </c>
      <c r="P21" s="351">
        <v>2.3E-2</v>
      </c>
      <c r="S21" s="114"/>
      <c r="T21" s="4"/>
      <c r="U21" s="4"/>
      <c r="V21" s="4"/>
      <c r="W21" s="4"/>
      <c r="X21" s="4"/>
    </row>
    <row r="22" spans="2:24">
      <c r="B22" s="82" t="s">
        <v>109</v>
      </c>
      <c r="G22" s="37"/>
      <c r="H22" s="37"/>
      <c r="I22" s="146"/>
      <c r="J22" s="9">
        <v>182.81182200000001</v>
      </c>
      <c r="K22" s="9">
        <f>SUM(I22:J22)</f>
        <v>182.81182200000001</v>
      </c>
      <c r="L22" s="9">
        <v>8113.8175444329963</v>
      </c>
      <c r="M22" s="9">
        <v>14894.597123469086</v>
      </c>
      <c r="N22" s="9">
        <v>19047.005240522605</v>
      </c>
      <c r="O22" s="9">
        <v>20358.64385070623</v>
      </c>
      <c r="P22" s="9">
        <v>20811.227364514092</v>
      </c>
      <c r="Q22" s="9">
        <f>P22*(1+DCF!$F$44)</f>
        <v>21019.339638159232</v>
      </c>
      <c r="S22" s="4"/>
      <c r="T22" s="4"/>
      <c r="U22" s="4"/>
      <c r="V22" s="4"/>
      <c r="W22" s="4"/>
      <c r="X22" s="4"/>
    </row>
    <row r="23" spans="2:24">
      <c r="B23" s="82" t="s">
        <v>110</v>
      </c>
      <c r="G23" s="37"/>
      <c r="H23" s="37"/>
      <c r="I23" s="146"/>
      <c r="J23" s="9">
        <v>0</v>
      </c>
      <c r="K23" s="9">
        <f>SUM(I23:J23)</f>
        <v>0</v>
      </c>
      <c r="L23" s="9">
        <v>325.11091999999996</v>
      </c>
      <c r="M23" s="9">
        <v>497.88505899999996</v>
      </c>
      <c r="N23" s="9">
        <v>563.75059199999998</v>
      </c>
      <c r="O23" s="9">
        <v>585.87503200000003</v>
      </c>
      <c r="P23" s="9">
        <v>596.66776800000002</v>
      </c>
      <c r="Q23" s="9">
        <f>P23*(1+DCF!$F$44)</f>
        <v>602.63444568</v>
      </c>
      <c r="S23" s="4"/>
      <c r="T23" s="4"/>
      <c r="U23" s="4"/>
      <c r="V23" s="4"/>
      <c r="W23" s="4"/>
      <c r="X23" s="4"/>
    </row>
    <row r="24" spans="2:24">
      <c r="B24" s="82" t="s">
        <v>111</v>
      </c>
      <c r="E24" s="9">
        <f>'Physical Security'!E378</f>
        <v>1.9752744425257717E-2</v>
      </c>
      <c r="F24" s="9">
        <v>0</v>
      </c>
      <c r="G24" s="9">
        <v>0</v>
      </c>
      <c r="H24" s="9">
        <v>0</v>
      </c>
      <c r="I24" s="83">
        <v>1796.8409999999999</v>
      </c>
      <c r="J24" s="9">
        <f>(총괄PL!J8-총괄PL!J35)*'Others&amp;NWC'!J25</f>
        <v>923.03266226395635</v>
      </c>
      <c r="K24" s="9">
        <f>SUM(I24:J24)</f>
        <v>2719.8736622639562</v>
      </c>
      <c r="L24" s="9">
        <f>(총괄PL!L8-총괄PL!L35)*'Others&amp;NWC'!L25</f>
        <v>4026.8590893026026</v>
      </c>
      <c r="M24" s="9">
        <f>(총괄PL!M8-총괄PL!M35)*'Others&amp;NWC'!M25</f>
        <v>4514.2908439893245</v>
      </c>
      <c r="N24" s="9">
        <f>(총괄PL!N8-총괄PL!N35)*'Others&amp;NWC'!N25</f>
        <v>5060.6597667970063</v>
      </c>
      <c r="O24" s="9">
        <f>(총괄PL!O8-총괄PL!O35)*'Others&amp;NWC'!O25</f>
        <v>5661.9732319042778</v>
      </c>
      <c r="P24" s="9">
        <f>(총괄PL!P8-총괄PL!P35)*'Others&amp;NWC'!P25</f>
        <v>6301.4662598560099</v>
      </c>
      <c r="Q24" s="9">
        <f>P24*(1+DCF!$F$44)</f>
        <v>6364.4809224545697</v>
      </c>
      <c r="S24" s="4"/>
      <c r="T24" s="4"/>
      <c r="U24" s="4"/>
      <c r="V24" s="4"/>
      <c r="W24" s="4"/>
      <c r="X24" s="4"/>
    </row>
    <row r="25" spans="2:24">
      <c r="B25" s="131" t="s">
        <v>646</v>
      </c>
      <c r="C25" s="85"/>
      <c r="D25" s="85"/>
      <c r="E25" s="85"/>
      <c r="F25" s="85"/>
      <c r="G25" s="85"/>
      <c r="H25" s="85"/>
      <c r="I25" s="352">
        <f>I24/(총괄PL!I8-총괄PL!I35)</f>
        <v>1.3852486105858164E-3</v>
      </c>
      <c r="J25" s="353">
        <v>2E-3</v>
      </c>
      <c r="K25" s="354">
        <f>K24/(총괄PL!K8-총괄PL!K35)</f>
        <v>1.5465764235174909E-3</v>
      </c>
      <c r="L25" s="354">
        <v>2E-3</v>
      </c>
      <c r="M25" s="354">
        <v>2E-3</v>
      </c>
      <c r="N25" s="354">
        <v>2E-3</v>
      </c>
      <c r="O25" s="354">
        <v>2E-3</v>
      </c>
      <c r="P25" s="354">
        <f>O25</f>
        <v>2E-3</v>
      </c>
      <c r="Q25" s="85"/>
      <c r="S25" s="114"/>
      <c r="T25" s="4"/>
      <c r="U25" s="4"/>
      <c r="V25" s="4"/>
      <c r="W25" s="4"/>
      <c r="X25" s="4"/>
    </row>
    <row r="26" spans="2:24">
      <c r="B26" s="16" t="s">
        <v>126</v>
      </c>
      <c r="C26" s="16"/>
      <c r="D26" s="16"/>
      <c r="E26" s="16">
        <f t="shared" ref="E26:Q26" si="11">SUM(E27:E30)</f>
        <v>51912.463950999998</v>
      </c>
      <c r="F26" s="16">
        <f t="shared" si="11"/>
        <v>27074.228106999995</v>
      </c>
      <c r="G26" s="16">
        <f t="shared" si="11"/>
        <v>24902.134931000004</v>
      </c>
      <c r="H26" s="16">
        <f t="shared" ref="H26:I26" si="12">SUM(H27:H30)</f>
        <v>26241.598344999999</v>
      </c>
      <c r="I26" s="17">
        <f t="shared" si="12"/>
        <v>21208.019872999997</v>
      </c>
      <c r="J26" s="16">
        <f t="shared" si="11"/>
        <v>19597.179314970137</v>
      </c>
      <c r="K26" s="16">
        <f t="shared" si="11"/>
        <v>40805.199187970138</v>
      </c>
      <c r="L26" s="16">
        <f t="shared" si="11"/>
        <v>58434.112238579633</v>
      </c>
      <c r="M26" s="16">
        <f t="shared" si="11"/>
        <v>54181.990055722235</v>
      </c>
      <c r="N26" s="16">
        <f t="shared" si="11"/>
        <v>48090.615696917041</v>
      </c>
      <c r="O26" s="16">
        <f t="shared" si="11"/>
        <v>39705.839420725497</v>
      </c>
      <c r="P26" s="16">
        <f t="shared" si="11"/>
        <v>43829.000875734324</v>
      </c>
      <c r="Q26" s="16">
        <f t="shared" si="11"/>
        <v>0</v>
      </c>
    </row>
    <row r="27" spans="2:24">
      <c r="B27" s="89" t="s">
        <v>647</v>
      </c>
      <c r="E27" s="9">
        <f t="shared" ref="E27:P30" si="13">E100</f>
        <v>0</v>
      </c>
      <c r="F27" s="9">
        <f t="shared" si="13"/>
        <v>0</v>
      </c>
      <c r="G27" s="9">
        <f t="shared" si="13"/>
        <v>0</v>
      </c>
      <c r="H27" s="9">
        <f t="shared" si="13"/>
        <v>0</v>
      </c>
      <c r="I27" s="83">
        <f t="shared" si="13"/>
        <v>0</v>
      </c>
      <c r="J27" s="9">
        <f t="shared" si="13"/>
        <v>0</v>
      </c>
      <c r="K27" s="9">
        <f t="shared" si="13"/>
        <v>0</v>
      </c>
      <c r="L27" s="9">
        <f t="shared" si="13"/>
        <v>0</v>
      </c>
      <c r="M27" s="9">
        <f t="shared" si="13"/>
        <v>0</v>
      </c>
      <c r="N27" s="9">
        <f t="shared" si="13"/>
        <v>0</v>
      </c>
      <c r="O27" s="9">
        <f t="shared" si="13"/>
        <v>0</v>
      </c>
      <c r="P27" s="9">
        <f t="shared" si="13"/>
        <v>0</v>
      </c>
    </row>
    <row r="28" spans="2:24">
      <c r="B28" s="89" t="s">
        <v>648</v>
      </c>
      <c r="E28" s="9">
        <f t="shared" si="13"/>
        <v>1272.1793769999999</v>
      </c>
      <c r="F28" s="9">
        <f t="shared" si="13"/>
        <v>4931.1331639999989</v>
      </c>
      <c r="G28" s="9">
        <f t="shared" si="13"/>
        <v>0</v>
      </c>
      <c r="H28" s="9">
        <f t="shared" si="13"/>
        <v>0</v>
      </c>
      <c r="I28" s="83">
        <f t="shared" si="13"/>
        <v>0</v>
      </c>
      <c r="J28" s="9">
        <f t="shared" si="13"/>
        <v>4700</v>
      </c>
      <c r="K28" s="9">
        <f t="shared" si="13"/>
        <v>4700</v>
      </c>
      <c r="L28" s="9">
        <f t="shared" si="13"/>
        <v>3200</v>
      </c>
      <c r="M28" s="9">
        <f t="shared" si="13"/>
        <v>3200</v>
      </c>
      <c r="N28" s="9">
        <f t="shared" si="13"/>
        <v>3200</v>
      </c>
      <c r="O28" s="9">
        <f t="shared" si="13"/>
        <v>3200</v>
      </c>
      <c r="P28" s="9">
        <f t="shared" si="13"/>
        <v>3200</v>
      </c>
    </row>
    <row r="29" spans="2:24">
      <c r="B29" s="89" t="s">
        <v>649</v>
      </c>
      <c r="E29" s="9">
        <f t="shared" si="13"/>
        <v>9960.3545740000009</v>
      </c>
      <c r="F29" s="9">
        <f t="shared" si="13"/>
        <v>5556.7149429999999</v>
      </c>
      <c r="G29" s="9">
        <f t="shared" si="13"/>
        <v>6030.7081150000004</v>
      </c>
      <c r="H29" s="9">
        <f>H102</f>
        <v>8218</v>
      </c>
      <c r="I29" s="83">
        <f>I102</f>
        <v>9780.4624320000003</v>
      </c>
      <c r="J29" s="9">
        <f t="shared" si="13"/>
        <v>3469.6218739701385</v>
      </c>
      <c r="K29" s="9">
        <f t="shared" si="13"/>
        <v>13250.084305970138</v>
      </c>
      <c r="L29" s="9">
        <f t="shared" si="13"/>
        <v>12850.419406035184</v>
      </c>
      <c r="M29" s="9">
        <f t="shared" si="13"/>
        <v>11842.864558312916</v>
      </c>
      <c r="N29" s="9">
        <f t="shared" si="13"/>
        <v>10402.975312853034</v>
      </c>
      <c r="O29" s="9">
        <f t="shared" si="13"/>
        <v>8424.4244817058843</v>
      </c>
      <c r="P29" s="9">
        <f t="shared" si="13"/>
        <v>9375.9232790156129</v>
      </c>
    </row>
    <row r="30" spans="2:24">
      <c r="B30" s="108" t="s">
        <v>650</v>
      </c>
      <c r="C30" s="85"/>
      <c r="D30" s="85"/>
      <c r="E30" s="85">
        <f t="shared" si="13"/>
        <v>40679.93</v>
      </c>
      <c r="F30" s="85">
        <f t="shared" si="13"/>
        <v>16586.379999999997</v>
      </c>
      <c r="G30" s="85">
        <f t="shared" si="13"/>
        <v>18871.426816000003</v>
      </c>
      <c r="H30" s="85">
        <f t="shared" si="13"/>
        <v>18023.598344999999</v>
      </c>
      <c r="I30" s="86">
        <f t="shared" si="13"/>
        <v>11427.557440999999</v>
      </c>
      <c r="J30" s="355">
        <f>J103</f>
        <v>11427.557440999999</v>
      </c>
      <c r="K30" s="85">
        <f t="shared" si="13"/>
        <v>22855.114881999998</v>
      </c>
      <c r="L30" s="85">
        <f t="shared" si="13"/>
        <v>42383.692832544446</v>
      </c>
      <c r="M30" s="85">
        <f t="shared" si="13"/>
        <v>39139.125497409317</v>
      </c>
      <c r="N30" s="85">
        <f t="shared" si="13"/>
        <v>34487.640384064005</v>
      </c>
      <c r="O30" s="85">
        <f t="shared" si="13"/>
        <v>28081.414939019614</v>
      </c>
      <c r="P30" s="85">
        <f t="shared" si="13"/>
        <v>31253.077596718711</v>
      </c>
      <c r="Q30" s="85"/>
    </row>
    <row r="31" spans="2:24">
      <c r="B31" s="16" t="s">
        <v>94</v>
      </c>
      <c r="C31" s="16"/>
      <c r="D31" s="16"/>
      <c r="E31" s="16"/>
      <c r="F31" s="16"/>
      <c r="G31" s="16"/>
      <c r="H31" s="16"/>
      <c r="I31" s="17"/>
      <c r="J31" s="16"/>
      <c r="K31" s="16"/>
      <c r="L31" s="16"/>
      <c r="M31" s="16"/>
      <c r="N31" s="16"/>
      <c r="O31" s="16"/>
      <c r="P31" s="16"/>
      <c r="Q31" s="16"/>
    </row>
    <row r="32" spans="2:24">
      <c r="B32" s="89" t="s">
        <v>119</v>
      </c>
      <c r="E32" s="9">
        <f>SUM(E117:E118)</f>
        <v>0</v>
      </c>
      <c r="F32" s="9">
        <f t="shared" ref="F32:P32" si="14">SUM(F117:F118)</f>
        <v>0</v>
      </c>
      <c r="G32" s="9">
        <f t="shared" si="14"/>
        <v>0</v>
      </c>
      <c r="I32" s="83">
        <f t="shared" si="14"/>
        <v>0</v>
      </c>
      <c r="J32" s="9">
        <f t="shared" si="14"/>
        <v>64212.117755556465</v>
      </c>
      <c r="K32" s="9">
        <f t="shared" si="14"/>
        <v>0</v>
      </c>
      <c r="L32" s="9">
        <f t="shared" si="14"/>
        <v>203055.51103934814</v>
      </c>
      <c r="M32" s="9">
        <f>SUM(M117:M118)</f>
        <v>160345.29182430246</v>
      </c>
      <c r="N32" s="9">
        <f t="shared" si="14"/>
        <v>113060.76322860349</v>
      </c>
      <c r="O32" s="9">
        <f t="shared" si="14"/>
        <v>63669.9970809921</v>
      </c>
      <c r="P32" s="9">
        <f t="shared" si="14"/>
        <v>17671.655556773338</v>
      </c>
    </row>
    <row r="33" spans="2:24">
      <c r="B33" s="89" t="s">
        <v>651</v>
      </c>
      <c r="E33" s="9">
        <f>E119</f>
        <v>0</v>
      </c>
      <c r="F33" s="9">
        <f t="shared" ref="F33:P35" si="15">F119</f>
        <v>0</v>
      </c>
      <c r="G33" s="9">
        <f t="shared" si="15"/>
        <v>0</v>
      </c>
      <c r="I33" s="83">
        <f t="shared" si="15"/>
        <v>0</v>
      </c>
      <c r="J33" s="9">
        <f t="shared" si="15"/>
        <v>86.740546849253462</v>
      </c>
      <c r="K33" s="9">
        <f t="shared" si="15"/>
        <v>0</v>
      </c>
      <c r="L33" s="9">
        <f t="shared" si="15"/>
        <v>1978.9663153975462</v>
      </c>
      <c r="M33" s="9">
        <f t="shared" si="15"/>
        <v>4448.2947118323564</v>
      </c>
      <c r="N33" s="9">
        <f t="shared" si="15"/>
        <v>6672.8786989489508</v>
      </c>
      <c r="O33" s="9">
        <f t="shared" si="15"/>
        <v>8555.6186784048423</v>
      </c>
      <c r="P33" s="9">
        <f t="shared" si="15"/>
        <v>10248.912907627739</v>
      </c>
    </row>
    <row r="34" spans="2:24">
      <c r="B34" s="89" t="s">
        <v>121</v>
      </c>
      <c r="I34" s="83"/>
      <c r="J34" s="9">
        <f t="shared" si="15"/>
        <v>117.5</v>
      </c>
      <c r="K34" s="9">
        <f t="shared" si="15"/>
        <v>0</v>
      </c>
      <c r="L34" s="9">
        <f t="shared" si="15"/>
        <v>1260</v>
      </c>
      <c r="M34" s="9">
        <f t="shared" si="15"/>
        <v>1900</v>
      </c>
      <c r="N34" s="9">
        <f t="shared" si="15"/>
        <v>2540</v>
      </c>
      <c r="O34" s="9">
        <f t="shared" si="15"/>
        <v>3180</v>
      </c>
      <c r="P34" s="9">
        <f t="shared" si="15"/>
        <v>3702.5</v>
      </c>
    </row>
    <row r="35" spans="2:24">
      <c r="B35" s="89" t="s">
        <v>122</v>
      </c>
      <c r="I35" s="83"/>
      <c r="J35" s="9">
        <f t="shared" si="15"/>
        <v>285.68893602499998</v>
      </c>
      <c r="K35" s="9">
        <f t="shared" si="15"/>
        <v>0</v>
      </c>
      <c r="L35" s="9">
        <f t="shared" si="15"/>
        <v>6523.8807714544446</v>
      </c>
      <c r="M35" s="9">
        <f t="shared" si="15"/>
        <v>14676.162604449821</v>
      </c>
      <c r="N35" s="9">
        <f t="shared" si="15"/>
        <v>22038.839192597152</v>
      </c>
      <c r="O35" s="9">
        <f t="shared" si="15"/>
        <v>28295.744724905511</v>
      </c>
      <c r="P35" s="9">
        <f t="shared" si="15"/>
        <v>33943.505042454344</v>
      </c>
    </row>
    <row r="36" spans="2:24">
      <c r="B36" s="89" t="s">
        <v>124</v>
      </c>
      <c r="E36" s="9">
        <f>E122</f>
        <v>0</v>
      </c>
      <c r="F36" s="9">
        <f t="shared" ref="F36:P36" si="16">F122</f>
        <v>0</v>
      </c>
      <c r="G36" s="9">
        <f t="shared" si="16"/>
        <v>0</v>
      </c>
      <c r="I36" s="83">
        <f t="shared" si="16"/>
        <v>0</v>
      </c>
      <c r="J36" s="9">
        <f t="shared" si="16"/>
        <v>0</v>
      </c>
      <c r="K36" s="9">
        <f t="shared" si="16"/>
        <v>32633.063988999998</v>
      </c>
      <c r="L36" s="9">
        <f t="shared" si="16"/>
        <v>0</v>
      </c>
      <c r="M36" s="9">
        <f t="shared" si="16"/>
        <v>0</v>
      </c>
      <c r="N36" s="9">
        <f t="shared" si="16"/>
        <v>0</v>
      </c>
      <c r="O36" s="9">
        <f t="shared" si="16"/>
        <v>0</v>
      </c>
      <c r="P36" s="9">
        <f t="shared" si="16"/>
        <v>0</v>
      </c>
    </row>
    <row r="37" spans="2:24">
      <c r="B37" s="356" t="s">
        <v>641</v>
      </c>
      <c r="C37" s="357"/>
      <c r="D37" s="357"/>
      <c r="E37" s="357"/>
      <c r="F37" s="357"/>
      <c r="G37" s="357"/>
      <c r="H37" s="357"/>
      <c r="I37" s="358"/>
      <c r="J37" s="357"/>
      <c r="K37" s="357"/>
      <c r="L37" s="357"/>
      <c r="M37" s="357"/>
      <c r="N37" s="357"/>
      <c r="O37" s="357"/>
      <c r="P37" s="357"/>
      <c r="Q37" s="357"/>
    </row>
    <row r="38" spans="2:24">
      <c r="B38" s="89" t="s">
        <v>77</v>
      </c>
      <c r="C38" s="359">
        <v>1</v>
      </c>
      <c r="I38" s="83"/>
      <c r="J38" s="9">
        <f t="shared" ref="J38:P39" si="17">SUM(J$32:J$37)*$C38</f>
        <v>64702.047238430714</v>
      </c>
      <c r="K38" s="9">
        <f t="shared" si="17"/>
        <v>32633.063988999998</v>
      </c>
      <c r="L38" s="9">
        <f t="shared" si="17"/>
        <v>212818.35812620015</v>
      </c>
      <c r="M38" s="9">
        <f t="shared" si="17"/>
        <v>181369.74914058464</v>
      </c>
      <c r="N38" s="9">
        <f t="shared" si="17"/>
        <v>144312.4811201496</v>
      </c>
      <c r="O38" s="9">
        <f t="shared" si="17"/>
        <v>103701.36048430245</v>
      </c>
      <c r="P38" s="9">
        <f t="shared" si="17"/>
        <v>65566.57350685542</v>
      </c>
    </row>
    <row r="39" spans="2:24">
      <c r="B39" s="108" t="s">
        <v>99</v>
      </c>
      <c r="C39" s="107">
        <f>1-C38</f>
        <v>0</v>
      </c>
      <c r="D39" s="85"/>
      <c r="E39" s="85"/>
      <c r="F39" s="85"/>
      <c r="G39" s="85"/>
      <c r="H39" s="85"/>
      <c r="I39" s="86"/>
      <c r="J39" s="85">
        <f t="shared" si="17"/>
        <v>0</v>
      </c>
      <c r="K39" s="85">
        <f t="shared" si="17"/>
        <v>0</v>
      </c>
      <c r="L39" s="85">
        <f t="shared" si="17"/>
        <v>0</v>
      </c>
      <c r="M39" s="85">
        <f t="shared" si="17"/>
        <v>0</v>
      </c>
      <c r="N39" s="85">
        <f t="shared" si="17"/>
        <v>0</v>
      </c>
      <c r="O39" s="85">
        <f t="shared" si="17"/>
        <v>0</v>
      </c>
      <c r="P39" s="85">
        <f t="shared" si="17"/>
        <v>0</v>
      </c>
      <c r="Q39" s="85"/>
    </row>
    <row r="45" spans="2:24">
      <c r="B45" s="11" t="s">
        <v>652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S45" s="4"/>
      <c r="T45" s="4"/>
      <c r="U45" s="4"/>
      <c r="V45" s="4"/>
      <c r="W45" s="4"/>
      <c r="X45" s="4"/>
    </row>
    <row r="47" spans="2:24">
      <c r="B47" s="12" t="s">
        <v>653</v>
      </c>
      <c r="C47" s="12"/>
      <c r="D47" s="12"/>
      <c r="E47" s="12"/>
      <c r="F47" s="12"/>
      <c r="G47" s="12"/>
      <c r="H47" s="12"/>
      <c r="I47" s="13"/>
      <c r="J47" s="12"/>
      <c r="K47" s="12"/>
      <c r="L47" s="12"/>
      <c r="M47" s="12"/>
      <c r="N47" s="12"/>
      <c r="O47" s="12"/>
      <c r="P47" s="12"/>
      <c r="Q47" s="12"/>
    </row>
    <row r="48" spans="2:24">
      <c r="B48" s="360" t="s">
        <v>654</v>
      </c>
      <c r="C48" s="16"/>
      <c r="D48" s="16"/>
      <c r="E48" s="16">
        <f t="shared" ref="E48:Q48" si="18">SUM(E49:E53)</f>
        <v>128897.88548899998</v>
      </c>
      <c r="F48" s="16">
        <f t="shared" si="18"/>
        <v>167647.17609599998</v>
      </c>
      <c r="G48" s="16">
        <f t="shared" si="18"/>
        <v>233625.504739</v>
      </c>
      <c r="H48" s="16">
        <f t="shared" si="18"/>
        <v>290547.90899999999</v>
      </c>
      <c r="I48" s="17">
        <f t="shared" si="18"/>
        <v>337268.61699999997</v>
      </c>
      <c r="J48" s="16">
        <f t="shared" si="18"/>
        <v>300623.28864502109</v>
      </c>
      <c r="K48" s="16">
        <f t="shared" si="18"/>
        <v>300623.28864502109</v>
      </c>
      <c r="L48" s="16">
        <f t="shared" si="18"/>
        <v>341658.035697766</v>
      </c>
      <c r="M48" s="16">
        <f t="shared" si="18"/>
        <v>382117.72746040841</v>
      </c>
      <c r="N48" s="16">
        <f t="shared" si="18"/>
        <v>426967.01058585796</v>
      </c>
      <c r="O48" s="16">
        <f t="shared" si="18"/>
        <v>475550.42751597986</v>
      </c>
      <c r="P48" s="16">
        <f t="shared" si="18"/>
        <v>527237.5205183879</v>
      </c>
      <c r="Q48" s="16">
        <f t="shared" si="18"/>
        <v>532509.89572357177</v>
      </c>
    </row>
    <row r="49" spans="2:17">
      <c r="B49" s="82" t="s">
        <v>655</v>
      </c>
      <c r="E49" s="9">
        <f>E186</f>
        <v>98164.459768999994</v>
      </c>
      <c r="F49" s="9">
        <f t="shared" ref="F49:Q49" si="19">F186</f>
        <v>130684.696971</v>
      </c>
      <c r="G49" s="9">
        <f t="shared" si="19"/>
        <v>185836.55459099999</v>
      </c>
      <c r="H49" s="9">
        <f t="shared" si="19"/>
        <v>228162.34400000001</v>
      </c>
      <c r="I49" s="83">
        <f t="shared" si="19"/>
        <v>269085.03999999998</v>
      </c>
      <c r="J49" s="9">
        <f t="shared" si="19"/>
        <v>238237.32274600078</v>
      </c>
      <c r="K49" s="9">
        <f>J49</f>
        <v>238237.32274600078</v>
      </c>
      <c r="L49" s="9">
        <f t="shared" si="19"/>
        <v>272158.98028917605</v>
      </c>
      <c r="M49" s="9">
        <f t="shared" si="19"/>
        <v>305102.50435449829</v>
      </c>
      <c r="N49" s="9">
        <f t="shared" si="19"/>
        <v>342029.3512084285</v>
      </c>
      <c r="O49" s="9">
        <f t="shared" si="19"/>
        <v>382669.6755576196</v>
      </c>
      <c r="P49" s="9">
        <f t="shared" si="19"/>
        <v>425890.40082504461</v>
      </c>
      <c r="Q49" s="9">
        <f t="shared" si="19"/>
        <v>430149.304833295</v>
      </c>
    </row>
    <row r="50" spans="2:17">
      <c r="B50" s="82" t="s">
        <v>656</v>
      </c>
      <c r="E50" s="9">
        <f t="shared" ref="E50:J50" si="20">E192</f>
        <v>6492.1031919999996</v>
      </c>
      <c r="F50" s="9">
        <f t="shared" si="20"/>
        <v>1030.2170329999999</v>
      </c>
      <c r="G50" s="9">
        <f t="shared" si="20"/>
        <v>1477.7326640000001</v>
      </c>
      <c r="H50" s="9">
        <f t="shared" si="20"/>
        <v>1044.4010000000001</v>
      </c>
      <c r="I50" s="83">
        <f t="shared" si="20"/>
        <v>970.53499999999997</v>
      </c>
      <c r="J50" s="9">
        <f t="shared" si="20"/>
        <v>1319.5262253622402</v>
      </c>
      <c r="K50" s="9">
        <f>J50</f>
        <v>1319.5262253622402</v>
      </c>
      <c r="L50" s="9">
        <f t="shared" ref="L50:Q50" si="21">L192</f>
        <v>1507.4082760000344</v>
      </c>
      <c r="M50" s="9">
        <f t="shared" si="21"/>
        <v>1689.8727339573236</v>
      </c>
      <c r="N50" s="9">
        <f t="shared" si="21"/>
        <v>1894.399641337179</v>
      </c>
      <c r="O50" s="9">
        <f t="shared" si="21"/>
        <v>2119.4944046927899</v>
      </c>
      <c r="P50" s="9">
        <f t="shared" si="21"/>
        <v>2358.8812472420063</v>
      </c>
      <c r="Q50" s="9">
        <f t="shared" si="21"/>
        <v>2382.470059714426</v>
      </c>
    </row>
    <row r="51" spans="2:17">
      <c r="B51" s="82" t="s">
        <v>657</v>
      </c>
      <c r="E51" s="9">
        <f t="shared" ref="E51:J51" si="22">E198</f>
        <v>2812.6774359999999</v>
      </c>
      <c r="F51" s="9">
        <f t="shared" si="22"/>
        <v>588.67406900000003</v>
      </c>
      <c r="G51" s="9">
        <f t="shared" si="22"/>
        <v>633.21313799999996</v>
      </c>
      <c r="H51" s="9">
        <f t="shared" si="22"/>
        <v>2688.0140000000001</v>
      </c>
      <c r="I51" s="83">
        <f t="shared" si="22"/>
        <v>1902.826</v>
      </c>
      <c r="J51" s="9">
        <f t="shared" si="22"/>
        <v>1266.8023911801406</v>
      </c>
      <c r="K51" s="9">
        <f>J51</f>
        <v>1266.8023911801406</v>
      </c>
      <c r="L51" s="9">
        <f t="shared" ref="L51:Q51" si="23">L198</f>
        <v>1410.4634497792006</v>
      </c>
      <c r="M51" s="9">
        <f t="shared" si="23"/>
        <v>1562.5986135365522</v>
      </c>
      <c r="N51" s="9">
        <f t="shared" si="23"/>
        <v>1722.7040018587261</v>
      </c>
      <c r="O51" s="9">
        <f t="shared" si="23"/>
        <v>1882.8112251171483</v>
      </c>
      <c r="P51" s="9">
        <f t="shared" si="23"/>
        <v>2053.4771280652139</v>
      </c>
      <c r="Q51" s="9">
        <f t="shared" si="23"/>
        <v>2074.0118993458664</v>
      </c>
    </row>
    <row r="52" spans="2:17">
      <c r="B52" s="82" t="s">
        <v>658</v>
      </c>
      <c r="E52" s="9">
        <f t="shared" ref="E52:J52" si="24">E204</f>
        <v>17409.562646999999</v>
      </c>
      <c r="F52" s="9">
        <f t="shared" si="24"/>
        <v>30587.830936999999</v>
      </c>
      <c r="G52" s="9">
        <f t="shared" si="24"/>
        <v>39412.065558000002</v>
      </c>
      <c r="H52" s="9">
        <f t="shared" si="24"/>
        <v>47649.436000000002</v>
      </c>
      <c r="I52" s="83">
        <f t="shared" si="24"/>
        <v>46190.856</v>
      </c>
      <c r="J52" s="9">
        <f t="shared" si="24"/>
        <v>49568.827118212226</v>
      </c>
      <c r="K52" s="9">
        <f>J52</f>
        <v>49568.827118212226</v>
      </c>
      <c r="L52" s="9">
        <f t="shared" ref="L52:Q52" si="25">L204</f>
        <v>55190.153875167744</v>
      </c>
      <c r="M52" s="9">
        <f t="shared" si="25"/>
        <v>61143.064671194741</v>
      </c>
      <c r="N52" s="9">
        <f t="shared" si="25"/>
        <v>67407.843116270742</v>
      </c>
      <c r="O52" s="9">
        <f t="shared" si="25"/>
        <v>73672.69336073572</v>
      </c>
      <c r="P52" s="9">
        <f t="shared" si="25"/>
        <v>80350.695152574219</v>
      </c>
      <c r="Q52" s="9">
        <f t="shared" si="25"/>
        <v>81154.202104099968</v>
      </c>
    </row>
    <row r="53" spans="2:17">
      <c r="B53" s="82" t="s">
        <v>659</v>
      </c>
      <c r="E53" s="9">
        <f t="shared" ref="E53:J53" si="26">E210</f>
        <v>4019.082445</v>
      </c>
      <c r="F53" s="9">
        <f t="shared" si="26"/>
        <v>4755.7570859999996</v>
      </c>
      <c r="G53" s="9">
        <f t="shared" si="26"/>
        <v>6265.9387880000004</v>
      </c>
      <c r="H53" s="9">
        <f t="shared" si="26"/>
        <v>11003.714</v>
      </c>
      <c r="I53" s="83">
        <f t="shared" si="26"/>
        <v>19119.36</v>
      </c>
      <c r="J53" s="9">
        <f t="shared" si="26"/>
        <v>10230.810164265722</v>
      </c>
      <c r="K53" s="9">
        <f>J53</f>
        <v>10230.810164265722</v>
      </c>
      <c r="L53" s="9">
        <f t="shared" ref="L53:Q53" si="27">L210</f>
        <v>11391.029807642944</v>
      </c>
      <c r="M53" s="9">
        <f t="shared" si="27"/>
        <v>12619.687087221455</v>
      </c>
      <c r="N53" s="9">
        <f t="shared" si="27"/>
        <v>13912.712617962881</v>
      </c>
      <c r="O53" s="9">
        <f t="shared" si="27"/>
        <v>15205.752967814649</v>
      </c>
      <c r="P53" s="9">
        <f t="shared" si="27"/>
        <v>16584.066165461882</v>
      </c>
      <c r="Q53" s="9">
        <f t="shared" si="27"/>
        <v>16749.906827116502</v>
      </c>
    </row>
    <row r="54" spans="2:17">
      <c r="B54" s="360" t="s">
        <v>660</v>
      </c>
      <c r="C54" s="16"/>
      <c r="D54" s="16"/>
      <c r="E54" s="16">
        <f t="shared" ref="E54:Q54" si="28">SUM(E55:E59)</f>
        <v>295508.463995</v>
      </c>
      <c r="F54" s="16">
        <f t="shared" si="28"/>
        <v>315760.90914200002</v>
      </c>
      <c r="G54" s="16">
        <f t="shared" si="28"/>
        <v>347274.177019</v>
      </c>
      <c r="H54" s="16">
        <f t="shared" si="28"/>
        <v>413429.79399999999</v>
      </c>
      <c r="I54" s="17">
        <f t="shared" si="28"/>
        <v>420477.97</v>
      </c>
      <c r="J54" s="16">
        <f t="shared" si="28"/>
        <v>452860.53150847281</v>
      </c>
      <c r="K54" s="16">
        <f t="shared" si="28"/>
        <v>452860.53150847281</v>
      </c>
      <c r="L54" s="16">
        <f t="shared" si="28"/>
        <v>505610.65155334014</v>
      </c>
      <c r="M54" s="16">
        <f t="shared" si="28"/>
        <v>560870.99057834363</v>
      </c>
      <c r="N54" s="16">
        <f t="shared" si="28"/>
        <v>619482.04689834442</v>
      </c>
      <c r="O54" s="16">
        <f t="shared" si="28"/>
        <v>678843.27679332811</v>
      </c>
      <c r="P54" s="16">
        <f t="shared" si="28"/>
        <v>742099.10368392011</v>
      </c>
      <c r="Q54" s="16">
        <f t="shared" si="28"/>
        <v>749520.0947207592</v>
      </c>
    </row>
    <row r="55" spans="2:17">
      <c r="B55" s="82" t="s">
        <v>661</v>
      </c>
      <c r="E55" s="9">
        <f>E216</f>
        <v>97713.748991999993</v>
      </c>
      <c r="F55" s="9">
        <f t="shared" ref="F55:Q55" si="29">F216</f>
        <v>118584.148396</v>
      </c>
      <c r="G55" s="9">
        <f t="shared" si="29"/>
        <v>130554.04244400001</v>
      </c>
      <c r="H55" s="9">
        <f t="shared" si="29"/>
        <v>141244.75</v>
      </c>
      <c r="I55" s="83">
        <f t="shared" si="29"/>
        <v>130508.883</v>
      </c>
      <c r="J55" s="9">
        <f t="shared" si="29"/>
        <v>158727.06903969115</v>
      </c>
      <c r="K55" s="9">
        <f>J55</f>
        <v>158727.06903969115</v>
      </c>
      <c r="L55" s="9">
        <f t="shared" si="29"/>
        <v>176727.42878429595</v>
      </c>
      <c r="M55" s="9">
        <f t="shared" si="29"/>
        <v>195789.57202715948</v>
      </c>
      <c r="N55" s="9">
        <f t="shared" si="29"/>
        <v>215850.36383081696</v>
      </c>
      <c r="O55" s="9">
        <f t="shared" si="29"/>
        <v>235911.38554724897</v>
      </c>
      <c r="P55" s="9">
        <f t="shared" si="29"/>
        <v>257295.38256885449</v>
      </c>
      <c r="Q55" s="9">
        <f t="shared" si="29"/>
        <v>259868.33639454306</v>
      </c>
    </row>
    <row r="56" spans="2:17">
      <c r="B56" s="82" t="s">
        <v>662</v>
      </c>
      <c r="E56" s="9">
        <f t="shared" ref="E56:J56" si="30">E222</f>
        <v>77413.470159000004</v>
      </c>
      <c r="F56" s="9">
        <f t="shared" si="30"/>
        <v>80029.598918000003</v>
      </c>
      <c r="G56" s="9">
        <f t="shared" si="30"/>
        <v>89440.730448999995</v>
      </c>
      <c r="H56" s="9">
        <f t="shared" si="30"/>
        <v>115044.336</v>
      </c>
      <c r="I56" s="83">
        <f t="shared" si="30"/>
        <v>104534.834</v>
      </c>
      <c r="J56" s="9">
        <f t="shared" si="30"/>
        <v>118196.27732277407</v>
      </c>
      <c r="K56" s="9">
        <f>J56</f>
        <v>118196.27732277407</v>
      </c>
      <c r="L56" s="9">
        <f t="shared" ref="L56:Q56" si="31">L222</f>
        <v>131600.26395942637</v>
      </c>
      <c r="M56" s="9">
        <f t="shared" si="31"/>
        <v>145794.90878422646</v>
      </c>
      <c r="N56" s="9">
        <f t="shared" si="31"/>
        <v>160733.19830021707</v>
      </c>
      <c r="O56" s="9">
        <f t="shared" si="31"/>
        <v>175671.65902099473</v>
      </c>
      <c r="P56" s="9">
        <f t="shared" si="31"/>
        <v>191595.27468104978</v>
      </c>
      <c r="Q56" s="9">
        <f t="shared" si="31"/>
        <v>193511.22742786026</v>
      </c>
    </row>
    <row r="57" spans="2:17">
      <c r="B57" s="82" t="s">
        <v>663</v>
      </c>
      <c r="E57" s="9">
        <f t="shared" ref="E57:J57" si="32">E228</f>
        <v>70845.171726999994</v>
      </c>
      <c r="F57" s="9">
        <f t="shared" si="32"/>
        <v>80037.061264999997</v>
      </c>
      <c r="G57" s="9">
        <f t="shared" si="32"/>
        <v>88461.474505000006</v>
      </c>
      <c r="H57" s="9">
        <f t="shared" si="32"/>
        <v>116470.871</v>
      </c>
      <c r="I57" s="83">
        <f t="shared" si="32"/>
        <v>143142.29499999998</v>
      </c>
      <c r="J57" s="9">
        <f t="shared" si="32"/>
        <v>127847.58037672391</v>
      </c>
      <c r="K57" s="9">
        <f>J57</f>
        <v>127847.58037672391</v>
      </c>
      <c r="L57" s="9">
        <f t="shared" ref="L57:Q57" si="33">L228</f>
        <v>142346.06795783615</v>
      </c>
      <c r="M57" s="9">
        <f t="shared" si="33"/>
        <v>157699.77482799333</v>
      </c>
      <c r="N57" s="9">
        <f t="shared" si="33"/>
        <v>173857.84860870111</v>
      </c>
      <c r="O57" s="9">
        <f t="shared" si="33"/>
        <v>190016.10757390258</v>
      </c>
      <c r="P57" s="9">
        <f t="shared" si="33"/>
        <v>207239.96418850249</v>
      </c>
      <c r="Q57" s="9">
        <f t="shared" si="33"/>
        <v>209312.36383038751</v>
      </c>
    </row>
    <row r="58" spans="2:17">
      <c r="B58" s="82" t="s">
        <v>664</v>
      </c>
      <c r="E58" s="9">
        <f t="shared" ref="E58:J58" si="34">E234</f>
        <v>11531.055095</v>
      </c>
      <c r="F58" s="9">
        <f t="shared" si="34"/>
        <v>9711.7261369999997</v>
      </c>
      <c r="G58" s="9">
        <f t="shared" si="34"/>
        <v>8634.9040550000009</v>
      </c>
      <c r="H58" s="9">
        <f t="shared" si="34"/>
        <v>8245.866</v>
      </c>
      <c r="I58" s="83">
        <f t="shared" si="34"/>
        <v>7793.3450000000003</v>
      </c>
      <c r="J58" s="9">
        <f t="shared" si="34"/>
        <v>10225.789575255405</v>
      </c>
      <c r="K58" s="9">
        <f>J58</f>
        <v>10225.789575255405</v>
      </c>
      <c r="L58" s="9">
        <f t="shared" ref="L58:Q58" si="35">L234</f>
        <v>11681.79876845059</v>
      </c>
      <c r="M58" s="9">
        <f t="shared" si="35"/>
        <v>13095.823830000283</v>
      </c>
      <c r="N58" s="9">
        <f t="shared" si="35"/>
        <v>14680.823868002561</v>
      </c>
      <c r="O58" s="9">
        <f t="shared" si="35"/>
        <v>16425.21639338378</v>
      </c>
      <c r="P58" s="9">
        <f t="shared" si="35"/>
        <v>18280.366698047921</v>
      </c>
      <c r="Q58" s="9">
        <f t="shared" si="35"/>
        <v>18463.1703650284</v>
      </c>
    </row>
    <row r="59" spans="2:17">
      <c r="B59" s="82" t="s">
        <v>665</v>
      </c>
      <c r="E59" s="9">
        <f t="shared" ref="E59:J59" si="36">E240</f>
        <v>38005.018021999997</v>
      </c>
      <c r="F59" s="9">
        <f t="shared" si="36"/>
        <v>27398.374425999998</v>
      </c>
      <c r="G59" s="9">
        <f t="shared" si="36"/>
        <v>30183.025566</v>
      </c>
      <c r="H59" s="9">
        <f t="shared" si="36"/>
        <v>32423.971000000001</v>
      </c>
      <c r="I59" s="83">
        <f t="shared" si="36"/>
        <v>34498.612999999998</v>
      </c>
      <c r="J59" s="9">
        <f t="shared" si="36"/>
        <v>37863.815194028241</v>
      </c>
      <c r="K59" s="9">
        <f>J59</f>
        <v>37863.815194028241</v>
      </c>
      <c r="L59" s="9">
        <f t="shared" ref="L59:Q59" si="37">L240</f>
        <v>43255.092083331103</v>
      </c>
      <c r="M59" s="9">
        <f t="shared" si="37"/>
        <v>48490.911108964116</v>
      </c>
      <c r="N59" s="9">
        <f t="shared" si="37"/>
        <v>54359.812290606809</v>
      </c>
      <c r="O59" s="9">
        <f t="shared" si="37"/>
        <v>60818.908257798088</v>
      </c>
      <c r="P59" s="9">
        <f t="shared" si="37"/>
        <v>67688.115547465379</v>
      </c>
      <c r="Q59" s="9">
        <f t="shared" si="37"/>
        <v>68364.996702940014</v>
      </c>
    </row>
    <row r="60" spans="2:17" ht="16.2" thickBot="1">
      <c r="B60" s="361" t="s">
        <v>653</v>
      </c>
      <c r="C60" s="361"/>
      <c r="D60" s="361"/>
      <c r="E60" s="361">
        <f t="shared" ref="E60:Q60" si="38">E48-E54</f>
        <v>-166610.57850600002</v>
      </c>
      <c r="F60" s="361">
        <f t="shared" si="38"/>
        <v>-148113.73304600004</v>
      </c>
      <c r="G60" s="361">
        <f t="shared" si="38"/>
        <v>-113648.67228</v>
      </c>
      <c r="H60" s="361">
        <f t="shared" si="38"/>
        <v>-122881.88500000001</v>
      </c>
      <c r="I60" s="362">
        <f t="shared" si="38"/>
        <v>-83209.353000000003</v>
      </c>
      <c r="J60" s="361">
        <f t="shared" si="38"/>
        <v>-152237.24286345171</v>
      </c>
      <c r="K60" s="361">
        <f t="shared" si="38"/>
        <v>-152237.24286345171</v>
      </c>
      <c r="L60" s="361">
        <f t="shared" si="38"/>
        <v>-163952.61585557414</v>
      </c>
      <c r="M60" s="361">
        <f t="shared" si="38"/>
        <v>-178753.26311793522</v>
      </c>
      <c r="N60" s="361">
        <f t="shared" si="38"/>
        <v>-192515.03631248645</v>
      </c>
      <c r="O60" s="361">
        <f t="shared" si="38"/>
        <v>-203292.84927734826</v>
      </c>
      <c r="P60" s="361">
        <f t="shared" si="38"/>
        <v>-214861.58316553221</v>
      </c>
      <c r="Q60" s="361">
        <f t="shared" si="38"/>
        <v>-217010.19899718743</v>
      </c>
    </row>
    <row r="61" spans="2:17" ht="16.2" thickBot="1">
      <c r="B61" s="87" t="s">
        <v>666</v>
      </c>
      <c r="C61" s="87"/>
      <c r="D61" s="87"/>
      <c r="E61" s="87"/>
      <c r="F61" s="87">
        <f>E60-F60</f>
        <v>-18496.845459999982</v>
      </c>
      <c r="G61" s="87">
        <f t="shared" ref="G61:H61" si="39">F60-G60</f>
        <v>-34465.060766000039</v>
      </c>
      <c r="H61" s="87">
        <f t="shared" si="39"/>
        <v>9233.2127200000104</v>
      </c>
      <c r="I61" s="88">
        <f>H60-I60</f>
        <v>-39672.532000000007</v>
      </c>
      <c r="J61" s="87">
        <f>I60-J60</f>
        <v>69027.88986345171</v>
      </c>
      <c r="K61" s="87">
        <f>H60-K60</f>
        <v>29355.357863451703</v>
      </c>
      <c r="L61" s="87">
        <f>K60-L60</f>
        <v>11715.372992122429</v>
      </c>
      <c r="M61" s="87">
        <f t="shared" ref="M61:Q61" si="40">L60-M60</f>
        <v>14800.647262361075</v>
      </c>
      <c r="N61" s="87">
        <f t="shared" si="40"/>
        <v>13761.773194551235</v>
      </c>
      <c r="O61" s="87">
        <f t="shared" si="40"/>
        <v>10777.812964861805</v>
      </c>
      <c r="P61" s="87">
        <f t="shared" si="40"/>
        <v>11568.733888183953</v>
      </c>
      <c r="Q61" s="87">
        <f t="shared" si="40"/>
        <v>2148.6158316552173</v>
      </c>
    </row>
    <row r="65" spans="1:17">
      <c r="A65" s="9" t="s">
        <v>667</v>
      </c>
      <c r="B65" s="16" t="s">
        <v>668</v>
      </c>
    </row>
    <row r="67" spans="1:17">
      <c r="B67" s="9" t="s">
        <v>669</v>
      </c>
      <c r="F67" s="9" t="s">
        <v>670</v>
      </c>
      <c r="G67" s="9" t="s">
        <v>670</v>
      </c>
      <c r="H67" s="9" t="s">
        <v>671</v>
      </c>
      <c r="I67" s="9" t="s">
        <v>671</v>
      </c>
    </row>
    <row r="68" spans="1:17">
      <c r="B68" s="9" t="s">
        <v>616</v>
      </c>
      <c r="E68" s="9">
        <v>1091384.4701719999</v>
      </c>
      <c r="F68" s="9">
        <v>1179454.4448230001</v>
      </c>
      <c r="G68" s="9">
        <v>1327150.42298</v>
      </c>
      <c r="H68" s="9">
        <v>1549714.140559</v>
      </c>
      <c r="I68" s="9">
        <v>1290462.7897739999</v>
      </c>
    </row>
    <row r="69" spans="1:17">
      <c r="B69" s="9" t="s">
        <v>672</v>
      </c>
      <c r="E69" s="9">
        <v>1007568.0464239999</v>
      </c>
      <c r="F69" s="9">
        <v>1046813.274816</v>
      </c>
      <c r="G69" s="9">
        <v>1214429.3415059999</v>
      </c>
      <c r="H69" s="9">
        <v>1427821.0826590001</v>
      </c>
      <c r="I69" s="9">
        <v>1189380.8409259999</v>
      </c>
    </row>
    <row r="70" spans="1:17">
      <c r="F70" s="9">
        <f>F68-F69</f>
        <v>132641.1700070001</v>
      </c>
      <c r="G70" s="9">
        <f>G68-G69</f>
        <v>112721.08147400012</v>
      </c>
    </row>
    <row r="71" spans="1:17">
      <c r="B71" s="9" t="s">
        <v>673</v>
      </c>
    </row>
    <row r="72" spans="1:17">
      <c r="B72" s="89" t="s">
        <v>77</v>
      </c>
      <c r="E72" s="9">
        <f>E79</f>
        <v>727633.83599100006</v>
      </c>
      <c r="F72" s="9">
        <f t="shared" ref="F72:Q72" si="41">F79</f>
        <v>847007.94223780627</v>
      </c>
      <c r="G72" s="9">
        <f t="shared" si="41"/>
        <v>993838.80357758806</v>
      </c>
      <c r="H72" s="9">
        <f t="shared" si="41"/>
        <v>1189153.7525694121</v>
      </c>
      <c r="I72" s="9">
        <f t="shared" si="41"/>
        <v>987454.1807113681</v>
      </c>
      <c r="J72" s="9">
        <f t="shared" si="41"/>
        <v>346568.61787648557</v>
      </c>
      <c r="K72" s="9">
        <f t="shared" si="41"/>
        <v>1334022.7985878536</v>
      </c>
      <c r="L72" s="9">
        <f t="shared" si="41"/>
        <v>1492572.6074907747</v>
      </c>
      <c r="M72" s="9">
        <f t="shared" si="41"/>
        <v>1661148.6774762697</v>
      </c>
      <c r="N72" s="9">
        <f t="shared" si="41"/>
        <v>1837155.4722656042</v>
      </c>
      <c r="O72" s="9">
        <f t="shared" si="41"/>
        <v>2010039.4045842679</v>
      </c>
      <c r="P72" s="9">
        <f t="shared" si="41"/>
        <v>2197854.4010218009</v>
      </c>
      <c r="Q72" s="9">
        <f t="shared" si="41"/>
        <v>2219832.9450320192</v>
      </c>
    </row>
    <row r="73" spans="1:17">
      <c r="B73" s="89"/>
      <c r="E73" s="144">
        <f>E72/SUM(E$72,E$74)</f>
        <v>0.87445757886911635</v>
      </c>
      <c r="F73" s="144">
        <f>F72/SUM(F$72,F$74)</f>
        <v>0.79161979003615313</v>
      </c>
      <c r="G73" s="144">
        <f>G72/SUM(G$72,G$74)</f>
        <v>0.80832415112765066</v>
      </c>
      <c r="H73" s="144">
        <f>H72/SUM(H$72,H$74)</f>
        <v>0.82516532649318486</v>
      </c>
      <c r="I73" s="144">
        <f t="shared" ref="I73:Q73" si="42">I72/SUM(I$72,I$74)</f>
        <v>0.82378583926626225</v>
      </c>
      <c r="J73" s="144">
        <f t="shared" si="42"/>
        <v>0.83069370868613746</v>
      </c>
      <c r="K73" s="144">
        <f t="shared" si="42"/>
        <v>0.82556937886828685</v>
      </c>
      <c r="L73" s="144">
        <f t="shared" si="42"/>
        <v>0.82869901851027661</v>
      </c>
      <c r="M73" s="144">
        <f t="shared" si="42"/>
        <v>0.83250004213188877</v>
      </c>
      <c r="N73" s="144">
        <f t="shared" si="42"/>
        <v>0.83513837883092923</v>
      </c>
      <c r="O73" s="144">
        <f t="shared" si="42"/>
        <v>0.83602831490179841</v>
      </c>
      <c r="P73" s="144">
        <f t="shared" si="42"/>
        <v>0.83817025173007231</v>
      </c>
      <c r="Q73" s="144">
        <f t="shared" si="42"/>
        <v>0.83817025173007231</v>
      </c>
    </row>
    <row r="74" spans="1:17">
      <c r="B74" s="89" t="s">
        <v>674</v>
      </c>
      <c r="E74" s="9">
        <f>E80</f>
        <v>104463.51621218552</v>
      </c>
      <c r="F74" s="9">
        <f t="shared" ref="F74:Q74" si="43">F80</f>
        <v>222960.18248419382</v>
      </c>
      <c r="G74" s="9">
        <f t="shared" si="43"/>
        <v>235666.46629605809</v>
      </c>
      <c r="H74" s="9">
        <f t="shared" si="43"/>
        <v>251955.94313619559</v>
      </c>
      <c r="I74" s="9">
        <f t="shared" si="43"/>
        <v>211224.0844927092</v>
      </c>
      <c r="J74" s="9">
        <f t="shared" si="43"/>
        <v>70635.237470672524</v>
      </c>
      <c r="K74" s="9">
        <f t="shared" si="43"/>
        <v>281859.32196338172</v>
      </c>
      <c r="L74" s="9">
        <f t="shared" si="43"/>
        <v>308530.77763682016</v>
      </c>
      <c r="M74" s="9">
        <f t="shared" si="43"/>
        <v>334225.00829839404</v>
      </c>
      <c r="N74" s="9">
        <f t="shared" si="43"/>
        <v>362666.16069221951</v>
      </c>
      <c r="O74" s="9">
        <f t="shared" si="43"/>
        <v>394232.51869427727</v>
      </c>
      <c r="P74" s="9">
        <f t="shared" si="43"/>
        <v>424350.80905955954</v>
      </c>
      <c r="Q74" s="9">
        <f t="shared" si="43"/>
        <v>428594.31715015514</v>
      </c>
    </row>
    <row r="75" spans="1:17">
      <c r="E75" s="144">
        <f>1-E73</f>
        <v>0.12554242113088365</v>
      </c>
      <c r="F75" s="144">
        <f>1-F73</f>
        <v>0.20838020996384687</v>
      </c>
      <c r="G75" s="144">
        <f>1-G73</f>
        <v>0.19167584887234934</v>
      </c>
      <c r="H75" s="144">
        <f t="shared" ref="H75:Q75" si="44">1-H73</f>
        <v>0.17483467350681514</v>
      </c>
      <c r="I75" s="144">
        <f t="shared" si="44"/>
        <v>0.17621416073373775</v>
      </c>
      <c r="J75" s="144">
        <f t="shared" si="44"/>
        <v>0.16930629131386254</v>
      </c>
      <c r="K75" s="144">
        <f t="shared" si="44"/>
        <v>0.17443062113171315</v>
      </c>
      <c r="L75" s="144">
        <f t="shared" si="44"/>
        <v>0.17130098148972339</v>
      </c>
      <c r="M75" s="144">
        <f t="shared" si="44"/>
        <v>0.16749995786811123</v>
      </c>
      <c r="N75" s="144">
        <f t="shared" si="44"/>
        <v>0.16486162116907077</v>
      </c>
      <c r="O75" s="144">
        <f t="shared" si="44"/>
        <v>0.16397168509820159</v>
      </c>
      <c r="P75" s="144">
        <f t="shared" si="44"/>
        <v>0.16182974826992769</v>
      </c>
      <c r="Q75" s="144">
        <f t="shared" si="44"/>
        <v>0.16182974826992769</v>
      </c>
    </row>
    <row r="77" spans="1:17">
      <c r="B77" s="9" t="s">
        <v>673</v>
      </c>
    </row>
    <row r="78" spans="1:17">
      <c r="B78" s="89" t="s">
        <v>9</v>
      </c>
      <c r="E78" s="9">
        <f>SUM(총괄PL!E9,총괄PL!E12,총괄PL!E19,총괄PL!E23,총괄PL!E29)</f>
        <v>1016381.447683</v>
      </c>
      <c r="F78" s="9">
        <f>SUM(총괄PL!F9,총괄PL!F12,총괄PL!F19,총괄PL!F23,총괄PL!F29)</f>
        <v>1193159.105088</v>
      </c>
      <c r="G78" s="9">
        <f>SUM(총괄PL!G9,총괄PL!G12,총괄PL!G19,총괄PL!G23,총괄PL!G29)</f>
        <v>1339889.6100806464</v>
      </c>
      <c r="H78" s="9">
        <f>SUM(총괄PL!H9,총괄PL!H12,총괄PL!H19,총괄PL!H23,총괄PL!H29)</f>
        <v>1562321.5568023897</v>
      </c>
      <c r="I78" s="9">
        <f>SUM(총괄PL!I9,총괄PL!I12,총괄PL!I19,총괄PL!I23,총괄PL!I29)</f>
        <v>1297125.2858648403</v>
      </c>
      <c r="J78" s="9">
        <f>SUM(총괄PL!J9,총괄PL!J12,총괄PL!J19,총괄PL!J23,총괄PL!J29)</f>
        <v>461516.33113197819</v>
      </c>
      <c r="K78" s="9">
        <f>SUM(총괄PL!K9,총괄PL!K12,총괄PL!K19,총괄PL!K23,총괄PL!K29)</f>
        <v>1758641.6169968185</v>
      </c>
      <c r="L78" s="9">
        <f>SUM(총괄PL!L9,총괄PL!L12,총괄PL!L19,총괄PL!L23,총괄PL!L29)</f>
        <v>2013429.5446513013</v>
      </c>
      <c r="M78" s="9">
        <f>SUM(총괄PL!M9,총괄PL!M12,총괄PL!M19,총괄PL!M23,총괄PL!M29)</f>
        <v>2257145.4219946624</v>
      </c>
      <c r="N78" s="9">
        <f>SUM(총괄PL!N9,총괄PL!N12,총괄PL!N19,총괄PL!N23,총괄PL!N29)</f>
        <v>2530329.8833985031</v>
      </c>
      <c r="O78" s="9">
        <f>SUM(총괄PL!O9,총괄PL!O12,총괄PL!O19,총괄PL!O23,총괄PL!O29)</f>
        <v>2830986.6159521388</v>
      </c>
      <c r="P78" s="9">
        <f>SUM(총괄PL!P9,총괄PL!P12,총괄PL!P19,총괄PL!P23,총괄PL!P29)</f>
        <v>3150733.1299280049</v>
      </c>
      <c r="Q78" s="9">
        <f>SUM(총괄PL!Q9,총괄PL!Q12,총괄PL!Q19,총괄PL!Q23,총괄PL!Q29)</f>
        <v>3182240.4612272847</v>
      </c>
    </row>
    <row r="79" spans="1:17">
      <c r="B79" s="89" t="s">
        <v>77</v>
      </c>
      <c r="E79" s="9">
        <f>SUM(총괄PL!E37,총괄PL!E43,총괄PL!E49,총괄PL!E55,총괄PL!E64,총괄PL!E67)</f>
        <v>727633.83599100006</v>
      </c>
      <c r="F79" s="9">
        <f>SUM(총괄PL!F37,총괄PL!F43,총괄PL!F49,총괄PL!F55,총괄PL!F64,총괄PL!F67)</f>
        <v>847007.94223780627</v>
      </c>
      <c r="G79" s="9">
        <f>SUM(총괄PL!G37,총괄PL!G43,총괄PL!G49,총괄PL!G55,총괄PL!G64,총괄PL!G67)</f>
        <v>993838.80357758806</v>
      </c>
      <c r="H79" s="9">
        <f>SUM(총괄PL!H37,총괄PL!H43,총괄PL!H49,총괄PL!H55,총괄PL!H64,총괄PL!H67)</f>
        <v>1189153.7525694121</v>
      </c>
      <c r="I79" s="9">
        <f>SUM(총괄PL!I37,총괄PL!I43,총괄PL!I49,총괄PL!I55,총괄PL!I64,총괄PL!I67)</f>
        <v>987454.1807113681</v>
      </c>
      <c r="J79" s="9">
        <f>SUM(총괄PL!J37,총괄PL!J43,총괄PL!J49,총괄PL!J55,총괄PL!J64,총괄PL!J67)</f>
        <v>346568.61787648557</v>
      </c>
      <c r="K79" s="9">
        <f>SUM(총괄PL!K37,총괄PL!K43,총괄PL!K49,총괄PL!K55,총괄PL!K64,총괄PL!K67)</f>
        <v>1334022.7985878536</v>
      </c>
      <c r="L79" s="9">
        <f>SUM(총괄PL!L37,총괄PL!L43,총괄PL!L49,총괄PL!L55,총괄PL!L64,총괄PL!L67)</f>
        <v>1492572.6074907747</v>
      </c>
      <c r="M79" s="9">
        <f>SUM(총괄PL!M37,총괄PL!M43,총괄PL!M49,총괄PL!M55,총괄PL!M64,총괄PL!M67)</f>
        <v>1661148.6774762697</v>
      </c>
      <c r="N79" s="9">
        <f>SUM(총괄PL!N37,총괄PL!N43,총괄PL!N49,총괄PL!N55,총괄PL!N64,총괄PL!N67)</f>
        <v>1837155.4722656042</v>
      </c>
      <c r="O79" s="9">
        <f>SUM(총괄PL!O37,총괄PL!O43,총괄PL!O49,총괄PL!O55,총괄PL!O64,총괄PL!O67)</f>
        <v>2010039.4045842679</v>
      </c>
      <c r="P79" s="9">
        <f>SUM(총괄PL!P37,총괄PL!P43,총괄PL!P49,총괄PL!P55,총괄PL!P64,총괄PL!P67)</f>
        <v>2197854.4010218009</v>
      </c>
      <c r="Q79" s="9">
        <f>SUM(총괄PL!Q37,총괄PL!Q43,총괄PL!Q49,총괄PL!Q55,총괄PL!Q64,총괄PL!Q67)</f>
        <v>2219832.9450320192</v>
      </c>
    </row>
    <row r="80" spans="1:17">
      <c r="B80" s="89" t="s">
        <v>99</v>
      </c>
      <c r="E80" s="9">
        <f>SUM(총괄PL!E72,총괄PL!E77,총괄PL!E81,총괄PL!E85,총괄PL!E90)</f>
        <v>104463.51621218552</v>
      </c>
      <c r="F80" s="9">
        <f>SUM(총괄PL!F72,총괄PL!F77,총괄PL!F81,총괄PL!F85,총괄PL!F90)</f>
        <v>222960.18248419382</v>
      </c>
      <c r="G80" s="9">
        <f>SUM(총괄PL!G72,총괄PL!G77,총괄PL!G81,총괄PL!G85,총괄PL!G90)</f>
        <v>235666.46629605809</v>
      </c>
      <c r="H80" s="9">
        <f>SUM(총괄PL!H72,총괄PL!H77,총괄PL!H81,총괄PL!H85,총괄PL!H90)</f>
        <v>251955.94313619559</v>
      </c>
      <c r="I80" s="9">
        <f>SUM(총괄PL!I72,총괄PL!I77,총괄PL!I81,총괄PL!I85,총괄PL!I90)</f>
        <v>211224.0844927092</v>
      </c>
      <c r="J80" s="9">
        <f>SUM(총괄PL!J72,총괄PL!J77,총괄PL!J81,총괄PL!J85,총괄PL!J90)</f>
        <v>70635.237470672524</v>
      </c>
      <c r="K80" s="9">
        <f>SUM(총괄PL!K72,총괄PL!K77,총괄PL!K81,총괄PL!K85,총괄PL!K90)</f>
        <v>281859.32196338172</v>
      </c>
      <c r="L80" s="9">
        <f>SUM(총괄PL!L72,총괄PL!L77,총괄PL!L81,총괄PL!L85,총괄PL!L90)</f>
        <v>308530.77763682016</v>
      </c>
      <c r="M80" s="9">
        <f>SUM(총괄PL!M72,총괄PL!M77,총괄PL!M81,총괄PL!M85,총괄PL!M90)</f>
        <v>334225.00829839404</v>
      </c>
      <c r="N80" s="9">
        <f>SUM(총괄PL!N72,총괄PL!N77,총괄PL!N81,총괄PL!N85,총괄PL!N90)</f>
        <v>362666.16069221951</v>
      </c>
      <c r="O80" s="9">
        <f>SUM(총괄PL!O72,총괄PL!O77,총괄PL!O81,총괄PL!O85,총괄PL!O90)</f>
        <v>394232.51869427727</v>
      </c>
      <c r="P80" s="9">
        <f>SUM(총괄PL!P72,총괄PL!P77,총괄PL!P81,총괄PL!P85,총괄PL!P90)</f>
        <v>424350.80905955954</v>
      </c>
      <c r="Q80" s="9">
        <f>SUM(총괄PL!Q72,총괄PL!Q77,총괄PL!Q81,총괄PL!Q85,총괄PL!Q90)</f>
        <v>428594.31715015514</v>
      </c>
    </row>
    <row r="81" spans="2:17">
      <c r="B81" s="89" t="s">
        <v>94</v>
      </c>
      <c r="E81" s="9">
        <f>총괄PL!E100</f>
        <v>187220.736538</v>
      </c>
      <c r="F81" s="9">
        <f>총괄PL!F100</f>
        <v>223867.06245799997</v>
      </c>
      <c r="G81" s="9">
        <f>총괄PL!G100</f>
        <v>241326.024045</v>
      </c>
      <c r="I81" s="9">
        <f>총괄PL!I100</f>
        <v>200681.67199999999</v>
      </c>
      <c r="J81" s="9">
        <f>SUM(총괄PL!J101:J109)</f>
        <v>66185.585244678805</v>
      </c>
      <c r="K81" s="9">
        <f>SUM(총괄PL!K101:K109)</f>
        <v>34116.601995248078</v>
      </c>
      <c r="L81" s="9">
        <f>SUM(총괄PL!L101:L109)</f>
        <v>251935.17235350865</v>
      </c>
      <c r="M81" s="9">
        <f>SUM(총괄PL!M101:M109)</f>
        <v>278631.25877340027</v>
      </c>
      <c r="N81" s="9">
        <f>SUM(총괄PL!N101:N109)</f>
        <v>310461.05684144923</v>
      </c>
      <c r="O81" s="9">
        <f>SUM(총괄PL!O101:O109)</f>
        <v>350392.3425810078</v>
      </c>
      <c r="P81" s="9">
        <f>SUM(총괄PL!P101:P109)</f>
        <v>399981.79626512522</v>
      </c>
      <c r="Q81" s="9">
        <f>SUM(총괄PL!Q101:Q109)</f>
        <v>403981.61422777647</v>
      </c>
    </row>
    <row r="83" spans="2:17">
      <c r="B83" s="9" t="s">
        <v>675</v>
      </c>
    </row>
    <row r="84" spans="2:17">
      <c r="B84" s="89" t="s">
        <v>9</v>
      </c>
      <c r="E84" s="9">
        <v>-12937.44738</v>
      </c>
      <c r="F84" s="9">
        <f t="shared" ref="F84:H84" si="45">F68-F78</f>
        <v>-13704.660264999839</v>
      </c>
      <c r="G84" s="9">
        <f t="shared" si="45"/>
        <v>-12739.187100646319</v>
      </c>
      <c r="H84" s="9">
        <f t="shared" si="45"/>
        <v>-12607.416243389715</v>
      </c>
      <c r="I84" s="9">
        <f>I68-I78</f>
        <v>-6662.4960908403154</v>
      </c>
      <c r="J84" s="9">
        <f t="shared" ref="J84:Q84" si="46">J78*J85</f>
        <v>-3724.2835601729362</v>
      </c>
      <c r="K84" s="9">
        <f>SUM(I84:J84)</f>
        <v>-10386.779651013252</v>
      </c>
      <c r="L84" s="9">
        <f t="shared" si="46"/>
        <v>-16247.707929033131</v>
      </c>
      <c r="M84" s="9">
        <f t="shared" si="46"/>
        <v>-18214.414140960096</v>
      </c>
      <c r="N84" s="9">
        <f t="shared" si="46"/>
        <v>-20418.92204213353</v>
      </c>
      <c r="O84" s="9">
        <f t="shared" si="46"/>
        <v>-22845.122050177473</v>
      </c>
      <c r="P84" s="9">
        <f t="shared" si="46"/>
        <v>-25425.370256134</v>
      </c>
      <c r="Q84" s="9">
        <f t="shared" si="46"/>
        <v>-25679.623958695338</v>
      </c>
    </row>
    <row r="85" spans="2:17">
      <c r="B85" s="82" t="s">
        <v>676</v>
      </c>
      <c r="D85" s="363">
        <f>H85</f>
        <v>-8.0696679812786859E-3</v>
      </c>
      <c r="E85" s="10">
        <f>E84/E78</f>
        <v>-1.2728929093986248E-2</v>
      </c>
      <c r="F85" s="10">
        <f t="shared" ref="F85:K85" si="47">F84/F78</f>
        <v>-1.1486029152825405E-2</v>
      </c>
      <c r="G85" s="10">
        <f t="shared" si="47"/>
        <v>-9.5076392896871285E-3</v>
      </c>
      <c r="H85" s="10">
        <f t="shared" si="47"/>
        <v>-8.0696679812786859E-3</v>
      </c>
      <c r="I85" s="10">
        <f t="shared" si="47"/>
        <v>-5.136355110368686E-3</v>
      </c>
      <c r="J85" s="10">
        <f t="shared" ref="J85:Q87" si="48">$D85</f>
        <v>-8.0696679812786859E-3</v>
      </c>
      <c r="K85" s="10">
        <f t="shared" si="47"/>
        <v>-5.906137754632724E-3</v>
      </c>
      <c r="L85" s="10">
        <f t="shared" si="48"/>
        <v>-8.0696679812786859E-3</v>
      </c>
      <c r="M85" s="10">
        <f t="shared" si="48"/>
        <v>-8.0696679812786859E-3</v>
      </c>
      <c r="N85" s="10">
        <f t="shared" si="48"/>
        <v>-8.0696679812786859E-3</v>
      </c>
      <c r="O85" s="10">
        <f t="shared" si="48"/>
        <v>-8.0696679812786859E-3</v>
      </c>
      <c r="P85" s="10">
        <f t="shared" si="48"/>
        <v>-8.0696679812786859E-3</v>
      </c>
      <c r="Q85" s="10">
        <f t="shared" si="48"/>
        <v>-8.0696679812786859E-3</v>
      </c>
    </row>
    <row r="86" spans="2:17">
      <c r="B86" s="89" t="s">
        <v>677</v>
      </c>
      <c r="E86" s="9">
        <v>-11583.321531</v>
      </c>
      <c r="F86" s="9">
        <f t="shared" ref="F86:H86" si="49">F69-F79-F80</f>
        <v>-23154.849906000076</v>
      </c>
      <c r="G86" s="9">
        <f t="shared" si="49"/>
        <v>-15075.928367646236</v>
      </c>
      <c r="H86" s="9">
        <f t="shared" si="49"/>
        <v>-13288.613046607643</v>
      </c>
      <c r="I86" s="9">
        <f>I69-I79-I80</f>
        <v>-9297.4242780773784</v>
      </c>
      <c r="J86" s="9">
        <f>SUM(J79:J80)*J87</f>
        <v>-3847.0774374651091</v>
      </c>
      <c r="K86" s="9">
        <f>SUM(I86:J86)</f>
        <v>-13144.501715542487</v>
      </c>
      <c r="L86" s="9">
        <f t="shared" ref="L86:Q86" si="50">SUM(L79:L80)*L87</f>
        <v>-16608.149964723474</v>
      </c>
      <c r="M86" s="9">
        <f t="shared" si="50"/>
        <v>-18399.535352969724</v>
      </c>
      <c r="N86" s="9">
        <f t="shared" si="50"/>
        <v>-20284.769812488128</v>
      </c>
      <c r="O86" s="9">
        <f t="shared" si="50"/>
        <v>-22170.025878306493</v>
      </c>
      <c r="P86" s="9">
        <f t="shared" si="50"/>
        <v>-24179.60996959942</v>
      </c>
      <c r="Q86" s="9">
        <f t="shared" si="50"/>
        <v>-24421.406069295415</v>
      </c>
    </row>
    <row r="87" spans="2:17">
      <c r="B87" s="82" t="s">
        <v>676</v>
      </c>
      <c r="D87" s="363">
        <f>H87</f>
        <v>-9.2210975238086676E-3</v>
      </c>
      <c r="E87" s="10">
        <f>E86/SUM(E79:E80)</f>
        <v>-1.3920632604262306E-2</v>
      </c>
      <c r="F87" s="10">
        <f t="shared" ref="F87:I87" si="51">F86/SUM(F79:F80)</f>
        <v>-2.1640691316870943E-2</v>
      </c>
      <c r="G87" s="10">
        <f t="shared" si="51"/>
        <v>-1.2261784261563645E-2</v>
      </c>
      <c r="H87" s="10">
        <f t="shared" si="51"/>
        <v>-9.2210975238086676E-3</v>
      </c>
      <c r="I87" s="10">
        <f t="shared" si="51"/>
        <v>-7.7563968146986241E-3</v>
      </c>
      <c r="J87" s="10">
        <f t="shared" si="48"/>
        <v>-9.2210975238086676E-3</v>
      </c>
      <c r="K87" s="10">
        <f t="shared" si="48"/>
        <v>-9.2210975238086676E-3</v>
      </c>
      <c r="L87" s="10">
        <f t="shared" si="48"/>
        <v>-9.2210975238086676E-3</v>
      </c>
      <c r="M87" s="10">
        <f t="shared" si="48"/>
        <v>-9.2210975238086676E-3</v>
      </c>
      <c r="N87" s="10">
        <f t="shared" si="48"/>
        <v>-9.2210975238086676E-3</v>
      </c>
      <c r="O87" s="10">
        <f t="shared" si="48"/>
        <v>-9.2210975238086676E-3</v>
      </c>
      <c r="P87" s="10">
        <f t="shared" si="48"/>
        <v>-9.2210975238086676E-3</v>
      </c>
      <c r="Q87" s="10">
        <f t="shared" si="48"/>
        <v>-9.2210975238086676E-3</v>
      </c>
    </row>
    <row r="88" spans="2:17">
      <c r="B88" s="82" t="s">
        <v>77</v>
      </c>
      <c r="E88" s="9">
        <f t="shared" ref="E88:J88" si="52">E86*E$73</f>
        <v>-10129.123301260766</v>
      </c>
      <c r="F88" s="9">
        <f t="shared" si="52"/>
        <v>-18329.83742090642</v>
      </c>
      <c r="G88" s="9">
        <f t="shared" si="52"/>
        <v>-12186.237000238913</v>
      </c>
      <c r="H88" s="9">
        <f t="shared" si="52"/>
        <v>-10965.302723245592</v>
      </c>
      <c r="I88" s="9">
        <f t="shared" si="52"/>
        <v>-7659.0864619304957</v>
      </c>
      <c r="J88" s="9">
        <f t="shared" si="52"/>
        <v>-3195.7430241306533</v>
      </c>
      <c r="K88" s="9">
        <f>SUM(I88:J88)</f>
        <v>-10854.82948606115</v>
      </c>
      <c r="L88" s="9">
        <f t="shared" ref="L88:Q88" si="53">L86*L$73</f>
        <v>-13763.157575037829</v>
      </c>
      <c r="M88" s="9">
        <f t="shared" si="53"/>
        <v>-15317.613956554473</v>
      </c>
      <c r="N88" s="9">
        <f t="shared" si="53"/>
        <v>-16940.589776159908</v>
      </c>
      <c r="O88" s="9">
        <f t="shared" si="53"/>
        <v>-18534.769376369841</v>
      </c>
      <c r="P88" s="9">
        <f t="shared" si="53"/>
        <v>-20266.629774954112</v>
      </c>
      <c r="Q88" s="9">
        <f t="shared" si="53"/>
        <v>-20469.296072703655</v>
      </c>
    </row>
    <row r="89" spans="2:17">
      <c r="B89" s="82" t="s">
        <v>678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2:17">
      <c r="B90" s="82" t="s">
        <v>99</v>
      </c>
      <c r="E90" s="9">
        <f>E86-E88</f>
        <v>-1454.1982297392333</v>
      </c>
      <c r="F90" s="9">
        <f t="shared" ref="F90:Q90" si="54">F86-F88</f>
        <v>-4825.0124850936554</v>
      </c>
      <c r="G90" s="9">
        <f t="shared" si="54"/>
        <v>-2889.6913674073239</v>
      </c>
      <c r="H90" s="9">
        <f t="shared" si="54"/>
        <v>-2323.3103233620513</v>
      </c>
      <c r="I90" s="9">
        <f t="shared" si="54"/>
        <v>-1638.3378161468827</v>
      </c>
      <c r="J90" s="9">
        <f t="shared" si="54"/>
        <v>-651.3344133344558</v>
      </c>
      <c r="K90" s="9">
        <f t="shared" si="54"/>
        <v>-2289.6722294813371</v>
      </c>
      <c r="L90" s="9">
        <f t="shared" si="54"/>
        <v>-2844.9923896856453</v>
      </c>
      <c r="M90" s="9">
        <f t="shared" si="54"/>
        <v>-3081.9213964152514</v>
      </c>
      <c r="N90" s="9">
        <f t="shared" si="54"/>
        <v>-3344.18003632822</v>
      </c>
      <c r="O90" s="9">
        <f t="shared" si="54"/>
        <v>-3635.2565019366521</v>
      </c>
      <c r="P90" s="9">
        <f t="shared" si="54"/>
        <v>-3912.9801946453081</v>
      </c>
      <c r="Q90" s="9">
        <f t="shared" si="54"/>
        <v>-3952.1099965917601</v>
      </c>
    </row>
    <row r="91" spans="2:17">
      <c r="B91" s="82" t="s">
        <v>678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2:17">
      <c r="B92" s="89" t="s">
        <v>94</v>
      </c>
    </row>
    <row r="93" spans="2:17">
      <c r="B93" s="82" t="s">
        <v>676</v>
      </c>
      <c r="D93" s="363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8" spans="1:17">
      <c r="A98" s="9" t="s">
        <v>667</v>
      </c>
      <c r="B98" s="16" t="s">
        <v>679</v>
      </c>
    </row>
    <row r="100" spans="1:17">
      <c r="B100" s="281" t="s">
        <v>680</v>
      </c>
      <c r="C100" s="281"/>
      <c r="D100" s="281"/>
      <c r="E100" s="281"/>
      <c r="F100" s="281"/>
      <c r="G100" s="281"/>
      <c r="H100" s="281"/>
      <c r="I100" s="137"/>
      <c r="J100" s="281"/>
      <c r="K100" s="281"/>
      <c r="L100" s="281"/>
      <c r="M100" s="281"/>
      <c r="N100" s="281"/>
      <c r="O100" s="281"/>
      <c r="P100" s="281"/>
      <c r="Q100" s="281"/>
    </row>
    <row r="101" spans="1:17">
      <c r="B101" s="9" t="s">
        <v>121</v>
      </c>
      <c r="E101" s="9">
        <v>1272.1793769999999</v>
      </c>
      <c r="F101" s="9">
        <v>4931.1331639999989</v>
      </c>
      <c r="G101" s="9">
        <v>0</v>
      </c>
      <c r="H101" s="9">
        <v>0</v>
      </c>
      <c r="I101" s="83">
        <v>0</v>
      </c>
      <c r="J101" s="9">
        <f>K101</f>
        <v>4700</v>
      </c>
      <c r="K101" s="9">
        <v>4700</v>
      </c>
      <c r="L101" s="9">
        <v>3200</v>
      </c>
      <c r="M101" s="9">
        <v>3200</v>
      </c>
      <c r="N101" s="9">
        <v>3200</v>
      </c>
      <c r="O101" s="9">
        <v>3200</v>
      </c>
      <c r="P101" s="9">
        <f>O101</f>
        <v>3200</v>
      </c>
    </row>
    <row r="102" spans="1:17">
      <c r="B102" s="9" t="s">
        <v>681</v>
      </c>
      <c r="E102" s="9">
        <f>E105</f>
        <v>9960.3545740000009</v>
      </c>
      <c r="F102" s="9">
        <f t="shared" ref="F102:P102" si="55">F105</f>
        <v>5556.7149429999999</v>
      </c>
      <c r="G102" s="9">
        <f t="shared" si="55"/>
        <v>6030.7081150000004</v>
      </c>
      <c r="H102" s="9">
        <f t="shared" si="55"/>
        <v>8218</v>
      </c>
      <c r="I102" s="83">
        <f t="shared" si="55"/>
        <v>9780.4624320000003</v>
      </c>
      <c r="J102" s="9">
        <f t="shared" si="55"/>
        <v>3469.6218739701385</v>
      </c>
      <c r="K102" s="9">
        <f t="shared" si="55"/>
        <v>13250.084305970138</v>
      </c>
      <c r="L102" s="9">
        <f t="shared" si="55"/>
        <v>12850.419406035184</v>
      </c>
      <c r="M102" s="9">
        <f t="shared" si="55"/>
        <v>11842.864558312916</v>
      </c>
      <c r="N102" s="9">
        <f t="shared" si="55"/>
        <v>10402.975312853034</v>
      </c>
      <c r="O102" s="9">
        <f t="shared" si="55"/>
        <v>8424.4244817058843</v>
      </c>
      <c r="P102" s="9">
        <f t="shared" si="55"/>
        <v>9375.9232790156129</v>
      </c>
    </row>
    <row r="103" spans="1:17">
      <c r="B103" s="85" t="s">
        <v>650</v>
      </c>
      <c r="C103" s="85"/>
      <c r="D103" s="85"/>
      <c r="E103" s="85">
        <v>40679.93</v>
      </c>
      <c r="F103" s="85">
        <v>16586.379999999997</v>
      </c>
      <c r="G103" s="85">
        <v>18871.426816000003</v>
      </c>
      <c r="H103" s="85">
        <v>18023.598344999999</v>
      </c>
      <c r="I103" s="86">
        <v>11427.557440999999</v>
      </c>
      <c r="J103" s="85">
        <f>J108</f>
        <v>11427.557440999999</v>
      </c>
      <c r="K103" s="85">
        <f t="shared" ref="K103:P103" si="56">K108</f>
        <v>22855.114881999998</v>
      </c>
      <c r="L103" s="85">
        <f>L108</f>
        <v>42383.692832544446</v>
      </c>
      <c r="M103" s="85">
        <f t="shared" si="56"/>
        <v>39139.125497409317</v>
      </c>
      <c r="N103" s="85">
        <f t="shared" si="56"/>
        <v>34487.640384064005</v>
      </c>
      <c r="O103" s="85">
        <f t="shared" si="56"/>
        <v>28081.414939019614</v>
      </c>
      <c r="P103" s="85">
        <f t="shared" si="56"/>
        <v>31253.077596718711</v>
      </c>
      <c r="Q103" s="85"/>
    </row>
    <row r="105" spans="1:17">
      <c r="B105" s="9" t="s">
        <v>682</v>
      </c>
      <c r="E105" s="9">
        <v>9960.3545740000009</v>
      </c>
      <c r="F105" s="9">
        <v>5556.7149429999999</v>
      </c>
      <c r="G105" s="9">
        <v>6030.7081150000004</v>
      </c>
      <c r="H105" s="9">
        <v>8218</v>
      </c>
      <c r="I105" s="9">
        <v>9780.4624320000003</v>
      </c>
      <c r="J105" s="9">
        <f>총괄PL!J8*J106</f>
        <v>3469.6218739701385</v>
      </c>
      <c r="K105" s="9">
        <f>SUM(I105:J105)</f>
        <v>13250.084305970138</v>
      </c>
      <c r="L105" s="9">
        <f>총괄PL!L8*L106</f>
        <v>12850.419406035184</v>
      </c>
      <c r="M105" s="9">
        <f>총괄PL!M8*M106</f>
        <v>11842.864558312916</v>
      </c>
      <c r="N105" s="9">
        <f>총괄PL!N8*N106</f>
        <v>10402.975312853034</v>
      </c>
      <c r="O105" s="9">
        <f>총괄PL!O8*O106</f>
        <v>8424.4244817058843</v>
      </c>
      <c r="P105" s="9">
        <f>총괄PL!P8*P106</f>
        <v>9375.9232790156129</v>
      </c>
    </row>
    <row r="106" spans="1:17">
      <c r="C106" s="9" t="s">
        <v>212</v>
      </c>
      <c r="D106" s="125">
        <f>(O106-K106)/4</f>
        <v>-1.1447587077874717E-3</v>
      </c>
      <c r="E106" s="144">
        <f>E105/총괄PL!E8</f>
        <v>9.9261688454885099E-3</v>
      </c>
      <c r="F106" s="144">
        <f>F105/총괄PL!F8</f>
        <v>4.7112586394414679E-3</v>
      </c>
      <c r="G106" s="144">
        <f>G105/총괄PL!G8</f>
        <v>4.5441029220022952E-3</v>
      </c>
      <c r="H106" s="144">
        <f>H105/총괄PL!H8</f>
        <v>5.3029134760528623E-3</v>
      </c>
      <c r="I106" s="144">
        <f>I105/총괄PL!I8</f>
        <v>7.5790348311498877E-3</v>
      </c>
      <c r="J106" s="144">
        <f>I106</f>
        <v>7.5790348311498877E-3</v>
      </c>
      <c r="K106" s="144">
        <f>K105/총괄PL!K8</f>
        <v>7.5790348311498869E-3</v>
      </c>
      <c r="L106" s="144">
        <f>K106+$D106</f>
        <v>6.434276123362415E-3</v>
      </c>
      <c r="M106" s="144">
        <f t="shared" ref="M106:N106" si="57">L106+$D106</f>
        <v>5.289517415574943E-3</v>
      </c>
      <c r="N106" s="144">
        <f t="shared" si="57"/>
        <v>4.1447587077874711E-3</v>
      </c>
      <c r="O106" s="144">
        <v>3.0000000000000001E-3</v>
      </c>
      <c r="P106" s="144">
        <f t="shared" ref="P106" si="58">O106</f>
        <v>3.0000000000000001E-3</v>
      </c>
    </row>
    <row r="108" spans="1:17">
      <c r="B108" s="9" t="s">
        <v>122</v>
      </c>
      <c r="E108" s="9">
        <f>E103</f>
        <v>40679.93</v>
      </c>
      <c r="F108" s="9">
        <f t="shared" ref="F108:H108" si="59">F103</f>
        <v>16586.379999999997</v>
      </c>
      <c r="G108" s="9">
        <f t="shared" si="59"/>
        <v>18871.426816000003</v>
      </c>
      <c r="H108" s="9">
        <f t="shared" si="59"/>
        <v>18023.598344999999</v>
      </c>
      <c r="I108" s="9">
        <f>I103</f>
        <v>11427.557440999999</v>
      </c>
      <c r="J108" s="9">
        <f>총괄PL!J8*J109</f>
        <v>11427.557440999999</v>
      </c>
      <c r="K108" s="9">
        <f>SUM(I108:J108)</f>
        <v>22855.114881999998</v>
      </c>
      <c r="L108" s="9">
        <f>총괄PL!L8*L109</f>
        <v>42383.692832544446</v>
      </c>
      <c r="M108" s="9">
        <f>총괄PL!M8*M109</f>
        <v>39139.125497409317</v>
      </c>
      <c r="N108" s="9">
        <f>총괄PL!N8*N109</f>
        <v>34487.640384064005</v>
      </c>
      <c r="O108" s="9">
        <f>총괄PL!O8*O109</f>
        <v>28081.414939019614</v>
      </c>
      <c r="P108" s="9">
        <f>총괄PL!P8*P109</f>
        <v>31253.077596718711</v>
      </c>
    </row>
    <row r="109" spans="1:17">
      <c r="C109" s="9" t="s">
        <v>212</v>
      </c>
      <c r="D109" s="125">
        <f>(O109-K109)/4</f>
        <v>-3.7405831979898979E-3</v>
      </c>
      <c r="E109" s="10">
        <f>E108/총괄PL!E8</f>
        <v>4.054030916295906E-2</v>
      </c>
      <c r="F109" s="10">
        <f>F108/총괄PL!F8</f>
        <v>1.406275594008983E-2</v>
      </c>
      <c r="G109" s="10">
        <f>G108/총괄PL!G8</f>
        <v>1.4219508572077207E-2</v>
      </c>
      <c r="H109" s="10">
        <f>H108/총괄PL!I8</f>
        <v>1.3966771059052767E-2</v>
      </c>
      <c r="I109" s="10">
        <f>I108/총괄PL!J8</f>
        <v>2.4962332791959592E-2</v>
      </c>
      <c r="J109" s="364">
        <f t="shared" ref="J109:P109" si="60">I109</f>
        <v>2.4962332791959592E-2</v>
      </c>
      <c r="K109" s="364">
        <f t="shared" si="60"/>
        <v>2.4962332791959592E-2</v>
      </c>
      <c r="L109" s="144">
        <f>K109+$D109</f>
        <v>2.1221749593969694E-2</v>
      </c>
      <c r="M109" s="144">
        <f t="shared" ref="M109:N109" si="61">L109+$D109</f>
        <v>1.7481166395979797E-2</v>
      </c>
      <c r="N109" s="144">
        <f t="shared" si="61"/>
        <v>1.3740583197989899E-2</v>
      </c>
      <c r="O109" s="10">
        <v>0.01</v>
      </c>
      <c r="P109" s="10">
        <f t="shared" si="60"/>
        <v>0.01</v>
      </c>
    </row>
    <row r="111" spans="1:17">
      <c r="E111" s="9">
        <f>E108-27000</f>
        <v>13679.93</v>
      </c>
    </row>
    <row r="112" spans="1:17">
      <c r="E112" s="10">
        <f>E111/총괄PL!E8</f>
        <v>1.363297801956981E-2</v>
      </c>
    </row>
    <row r="114" spans="1:17">
      <c r="A114" s="9" t="s">
        <v>667</v>
      </c>
      <c r="B114" s="16" t="s">
        <v>683</v>
      </c>
    </row>
    <row r="116" spans="1:17">
      <c r="B116" s="281" t="s">
        <v>119</v>
      </c>
      <c r="C116" s="281"/>
      <c r="D116" s="281"/>
      <c r="E116" s="281"/>
      <c r="F116" s="281"/>
      <c r="G116" s="281"/>
      <c r="H116" s="281"/>
      <c r="I116" s="137"/>
      <c r="J116" s="281"/>
      <c r="K116" s="281"/>
      <c r="L116" s="281"/>
      <c r="M116" s="281"/>
      <c r="N116" s="281"/>
      <c r="O116" s="281"/>
      <c r="P116" s="281"/>
      <c r="Q116" s="281"/>
    </row>
    <row r="117" spans="1:17">
      <c r="B117" s="89" t="s">
        <v>684</v>
      </c>
      <c r="I117" s="83"/>
      <c r="J117" s="9">
        <f>J125</f>
        <v>61889.366095673133</v>
      </c>
      <c r="K117" s="9">
        <f t="shared" ref="K117:P117" si="62">K125</f>
        <v>0</v>
      </c>
      <c r="L117" s="9">
        <f t="shared" si="62"/>
        <v>190877.95297956481</v>
      </c>
      <c r="M117" s="9">
        <f t="shared" si="62"/>
        <v>150414.53292420247</v>
      </c>
      <c r="N117" s="9">
        <f t="shared" si="62"/>
        <v>104586.98749657016</v>
      </c>
      <c r="O117" s="9">
        <f t="shared" si="62"/>
        <v>57510.2605360421</v>
      </c>
      <c r="P117" s="9">
        <f t="shared" si="62"/>
        <v>13758.232123523339</v>
      </c>
    </row>
    <row r="118" spans="1:17">
      <c r="B118" s="89" t="s">
        <v>685</v>
      </c>
      <c r="E118" s="9">
        <f>E142</f>
        <v>0</v>
      </c>
      <c r="F118" s="9">
        <f t="shared" ref="F118:P118" si="63">F142</f>
        <v>0</v>
      </c>
      <c r="G118" s="9">
        <f t="shared" si="63"/>
        <v>0</v>
      </c>
      <c r="I118" s="83">
        <f t="shared" si="63"/>
        <v>0</v>
      </c>
      <c r="J118" s="377">
        <f t="shared" si="63"/>
        <v>2322.7516598833336</v>
      </c>
      <c r="K118" s="377">
        <f t="shared" si="63"/>
        <v>0</v>
      </c>
      <c r="L118" s="9">
        <f t="shared" si="63"/>
        <v>12177.558059783334</v>
      </c>
      <c r="M118" s="9">
        <f t="shared" si="63"/>
        <v>9930.7589001000015</v>
      </c>
      <c r="N118" s="9">
        <f t="shared" si="63"/>
        <v>8473.775732033333</v>
      </c>
      <c r="O118" s="9">
        <f t="shared" si="63"/>
        <v>6159.7365449500003</v>
      </c>
      <c r="P118" s="9">
        <f t="shared" si="63"/>
        <v>3913.42343325</v>
      </c>
    </row>
    <row r="119" spans="1:17">
      <c r="B119" s="9" t="s">
        <v>651</v>
      </c>
      <c r="I119" s="83"/>
      <c r="J119" s="377">
        <f>K160</f>
        <v>86.740546849253462</v>
      </c>
      <c r="K119" s="377"/>
      <c r="L119" s="9">
        <f t="shared" ref="L119:P119" si="64">L160</f>
        <v>1978.9663153975462</v>
      </c>
      <c r="M119" s="9">
        <f t="shared" si="64"/>
        <v>4448.2947118323564</v>
      </c>
      <c r="N119" s="9">
        <f t="shared" si="64"/>
        <v>6672.8786989489508</v>
      </c>
      <c r="O119" s="9">
        <f t="shared" si="64"/>
        <v>8555.6186784048423</v>
      </c>
      <c r="P119" s="9">
        <f t="shared" si="64"/>
        <v>10248.912907627739</v>
      </c>
    </row>
    <row r="120" spans="1:17">
      <c r="B120" s="9" t="s">
        <v>121</v>
      </c>
      <c r="I120" s="83"/>
      <c r="J120" s="377">
        <f>K169</f>
        <v>117.5</v>
      </c>
      <c r="K120" s="377"/>
      <c r="L120" s="9">
        <f t="shared" ref="L120:P120" si="65">L169</f>
        <v>1260</v>
      </c>
      <c r="M120" s="9">
        <f t="shared" si="65"/>
        <v>1900</v>
      </c>
      <c r="N120" s="9">
        <f t="shared" si="65"/>
        <v>2540</v>
      </c>
      <c r="O120" s="9">
        <f t="shared" si="65"/>
        <v>3180</v>
      </c>
      <c r="P120" s="9">
        <f t="shared" si="65"/>
        <v>3702.5</v>
      </c>
    </row>
    <row r="121" spans="1:17">
      <c r="B121" s="9" t="s">
        <v>122</v>
      </c>
      <c r="I121" s="83"/>
      <c r="J121" s="377">
        <f>K178</f>
        <v>285.68893602499998</v>
      </c>
      <c r="K121" s="377"/>
      <c r="L121" s="9">
        <f t="shared" ref="L121:P121" si="66">L178</f>
        <v>6523.8807714544446</v>
      </c>
      <c r="M121" s="9">
        <f t="shared" si="66"/>
        <v>14676.162604449821</v>
      </c>
      <c r="N121" s="9">
        <f t="shared" si="66"/>
        <v>22038.839192597152</v>
      </c>
      <c r="O121" s="9">
        <f t="shared" si="66"/>
        <v>28295.744724905511</v>
      </c>
      <c r="P121" s="9">
        <f t="shared" si="66"/>
        <v>33943.505042454344</v>
      </c>
    </row>
    <row r="122" spans="1:17">
      <c r="B122" s="85" t="s">
        <v>123</v>
      </c>
      <c r="C122" s="85"/>
      <c r="D122" s="85"/>
      <c r="E122" s="85"/>
      <c r="F122" s="85"/>
      <c r="G122" s="85"/>
      <c r="H122" s="85"/>
      <c r="I122" s="86"/>
      <c r="J122" s="85">
        <f>J150</f>
        <v>0</v>
      </c>
      <c r="K122" s="365">
        <v>32633.063988999998</v>
      </c>
      <c r="L122" s="366">
        <f>L150</f>
        <v>0</v>
      </c>
      <c r="M122" s="366">
        <f>M150</f>
        <v>0</v>
      </c>
      <c r="N122" s="366">
        <f>N150</f>
        <v>0</v>
      </c>
      <c r="O122" s="366">
        <f>O150</f>
        <v>0</v>
      </c>
      <c r="P122" s="366">
        <f>P150</f>
        <v>0</v>
      </c>
      <c r="Q122" s="85"/>
    </row>
    <row r="123" spans="1:17">
      <c r="K123" s="367"/>
      <c r="L123" s="367"/>
      <c r="M123" s="367"/>
      <c r="N123" s="367"/>
      <c r="O123" s="367"/>
      <c r="P123" s="367"/>
    </row>
    <row r="124" spans="1:17">
      <c r="B124" s="9" t="s">
        <v>151</v>
      </c>
    </row>
    <row r="125" spans="1:17">
      <c r="B125" s="89" t="s">
        <v>684</v>
      </c>
      <c r="J125" s="9">
        <f>SUM(J126:J141)</f>
        <v>61889.366095673133</v>
      </c>
      <c r="L125" s="9">
        <f>SUM(L126:L141)</f>
        <v>190877.95297956481</v>
      </c>
      <c r="M125" s="9">
        <f>SUM(M126:M141)</f>
        <v>150414.53292420247</v>
      </c>
      <c r="N125" s="9">
        <f>SUM(N126:N141)</f>
        <v>104586.98749657016</v>
      </c>
      <c r="O125" s="9">
        <f>SUM(O126:O141)</f>
        <v>57510.2605360421</v>
      </c>
      <c r="P125" s="9">
        <f>SUM(P126:P141)</f>
        <v>13758.232123523339</v>
      </c>
    </row>
    <row r="126" spans="1:17">
      <c r="B126" s="82" t="s">
        <v>686</v>
      </c>
      <c r="J126" s="9">
        <v>61.359202456018515</v>
      </c>
      <c r="L126" s="9">
        <v>245.43680982407406</v>
      </c>
      <c r="M126" s="9">
        <v>245.43680982407406</v>
      </c>
      <c r="N126" s="9">
        <v>245.43680982407406</v>
      </c>
      <c r="O126" s="9">
        <v>245.43680982407406</v>
      </c>
      <c r="P126" s="9">
        <v>245.43680982407406</v>
      </c>
    </row>
    <row r="127" spans="1:17">
      <c r="B127" s="82" t="s">
        <v>687</v>
      </c>
      <c r="J127" s="9">
        <v>38200.701044800058</v>
      </c>
      <c r="L127" s="9">
        <v>108115.84148819983</v>
      </c>
      <c r="M127" s="9">
        <v>89281.215775149831</v>
      </c>
      <c r="N127" s="9">
        <v>62096.6297721999</v>
      </c>
      <c r="O127" s="9">
        <v>32447.539626200007</v>
      </c>
      <c r="P127" s="9">
        <v>6879.1193194499965</v>
      </c>
    </row>
    <row r="128" spans="1:17">
      <c r="B128" s="82" t="s">
        <v>688</v>
      </c>
      <c r="J128" s="9">
        <v>3.4944449999999995E-2</v>
      </c>
      <c r="L128" s="9">
        <v>5.1046300000000003E-2</v>
      </c>
      <c r="M128" s="9">
        <v>2.7178250000000001E-2</v>
      </c>
      <c r="N128" s="9">
        <v>0</v>
      </c>
      <c r="O128" s="9">
        <v>0</v>
      </c>
      <c r="P128" s="9">
        <v>0</v>
      </c>
    </row>
    <row r="129" spans="2:16">
      <c r="B129" s="82" t="s">
        <v>689</v>
      </c>
      <c r="J129" s="9">
        <v>16.508958500000009</v>
      </c>
      <c r="L129" s="9">
        <v>60.555854000000039</v>
      </c>
      <c r="M129" s="9">
        <v>57.353178550000038</v>
      </c>
      <c r="N129" s="9">
        <v>38.623061699999987</v>
      </c>
      <c r="O129" s="9">
        <v>9.04391225</v>
      </c>
      <c r="P129" s="9">
        <v>2.710833</v>
      </c>
    </row>
    <row r="130" spans="2:16">
      <c r="B130" s="82" t="s">
        <v>690</v>
      </c>
      <c r="J130" s="9">
        <v>1444.4319117874986</v>
      </c>
      <c r="L130" s="9">
        <v>4700.5496208999939</v>
      </c>
      <c r="M130" s="9">
        <v>3142.5332025999974</v>
      </c>
      <c r="N130" s="9">
        <v>2203.8801467124995</v>
      </c>
      <c r="O130" s="9">
        <v>1461.1511131999998</v>
      </c>
      <c r="P130" s="9">
        <v>281.10842480000002</v>
      </c>
    </row>
    <row r="131" spans="2:16">
      <c r="B131" s="82" t="s">
        <v>691</v>
      </c>
      <c r="J131" s="9">
        <v>-2.6520000000000001</v>
      </c>
      <c r="L131" s="9">
        <v>-10.608000000000001</v>
      </c>
      <c r="M131" s="9">
        <v>-10.608000000000001</v>
      </c>
      <c r="N131" s="9">
        <v>-10.608000000000001</v>
      </c>
      <c r="O131" s="9">
        <v>-5.707999</v>
      </c>
      <c r="P131" s="9">
        <v>-1.3799980000000001</v>
      </c>
    </row>
    <row r="132" spans="2:16">
      <c r="B132" s="82" t="s">
        <v>692</v>
      </c>
      <c r="J132" s="9">
        <v>179.78320134999998</v>
      </c>
      <c r="L132" s="9">
        <v>659.67957264999995</v>
      </c>
      <c r="M132" s="9">
        <v>411.54373239999995</v>
      </c>
      <c r="N132" s="9">
        <v>246.87825655</v>
      </c>
      <c r="O132" s="9">
        <v>129.62402705</v>
      </c>
      <c r="P132" s="9">
        <v>20.828623</v>
      </c>
    </row>
    <row r="133" spans="2:16">
      <c r="B133" s="82" t="s">
        <v>693</v>
      </c>
      <c r="J133" s="9">
        <v>16.108485000000002</v>
      </c>
      <c r="L133" s="9">
        <v>36.412230999999998</v>
      </c>
      <c r="M133" s="9">
        <v>9.3873359999999995</v>
      </c>
      <c r="N133" s="9">
        <v>3.0446840000000002</v>
      </c>
      <c r="O133" s="9">
        <v>0.93534200000000001</v>
      </c>
      <c r="P133" s="9">
        <v>0</v>
      </c>
    </row>
    <row r="134" spans="2:16">
      <c r="B134" s="82" t="s">
        <v>694</v>
      </c>
      <c r="J134" s="9">
        <v>15325.397822599998</v>
      </c>
      <c r="L134" s="9">
        <v>56430.130063649987</v>
      </c>
      <c r="M134" s="9">
        <v>47508.397692999992</v>
      </c>
      <c r="N134" s="9">
        <v>35657.835182450006</v>
      </c>
      <c r="O134" s="9">
        <v>21016.89236355</v>
      </c>
      <c r="P134" s="9">
        <v>4561.1614717500006</v>
      </c>
    </row>
    <row r="135" spans="2:16">
      <c r="B135" s="82" t="s">
        <v>695</v>
      </c>
      <c r="C135" s="9">
        <v>8060.5103909999998</v>
      </c>
      <c r="J135" s="9">
        <v>0</v>
      </c>
      <c r="L135" s="9">
        <v>1612.1020782000001</v>
      </c>
      <c r="M135" s="9">
        <v>1612.1020782000001</v>
      </c>
      <c r="N135" s="9">
        <v>1612.1020782000001</v>
      </c>
      <c r="O135" s="9">
        <v>1612.1020782000001</v>
      </c>
      <c r="P135" s="9">
        <v>1612.1020782000001</v>
      </c>
    </row>
    <row r="136" spans="2:16">
      <c r="B136" s="82" t="s">
        <v>696</v>
      </c>
      <c r="J136" s="9">
        <v>6374.0679749999999</v>
      </c>
      <c r="L136" s="9">
        <v>18298.365220963195</v>
      </c>
      <c r="M136" s="9">
        <v>7682.842541015827</v>
      </c>
      <c r="N136" s="9">
        <v>2210.6153320209787</v>
      </c>
      <c r="O136" s="9">
        <v>368.27701200000001</v>
      </c>
      <c r="P136" s="9">
        <v>0</v>
      </c>
    </row>
    <row r="137" spans="2:16">
      <c r="B137" s="82" t="s">
        <v>697</v>
      </c>
      <c r="J137" s="9">
        <v>5.9342948</v>
      </c>
      <c r="L137" s="9">
        <v>22.856363699999999</v>
      </c>
      <c r="M137" s="9">
        <v>21.204138850000003</v>
      </c>
      <c r="N137" s="9">
        <v>8.9631691</v>
      </c>
      <c r="O137" s="9">
        <v>4.9662545999999992</v>
      </c>
      <c r="P137" s="9">
        <v>2.3613939500000023</v>
      </c>
    </row>
    <row r="138" spans="2:16">
      <c r="B138" s="82" t="s">
        <v>698</v>
      </c>
      <c r="J138" s="9">
        <v>80.616877099999996</v>
      </c>
      <c r="L138" s="9">
        <v>282.70493214999999</v>
      </c>
      <c r="M138" s="9">
        <v>196.76072540000001</v>
      </c>
      <c r="N138" s="9">
        <v>78.77663785</v>
      </c>
      <c r="O138" s="9">
        <v>48.244167450000006</v>
      </c>
      <c r="P138" s="9">
        <v>10.086854050000001</v>
      </c>
    </row>
    <row r="139" spans="2:16">
      <c r="B139" s="82" t="s">
        <v>699</v>
      </c>
      <c r="J139" s="9">
        <v>7.3065878295616615</v>
      </c>
      <c r="L139" s="9">
        <v>25.174449027720176</v>
      </c>
      <c r="M139" s="9">
        <v>21.81005496271559</v>
      </c>
      <c r="N139" s="9">
        <v>21.81005496271559</v>
      </c>
      <c r="O139" s="9">
        <v>19.297729718016459</v>
      </c>
      <c r="P139" s="9">
        <v>1.8979574992705215</v>
      </c>
    </row>
    <row r="140" spans="2:16">
      <c r="B140" s="82" t="s">
        <v>700</v>
      </c>
      <c r="J140" s="9">
        <v>0</v>
      </c>
      <c r="L140" s="9">
        <v>2.4</v>
      </c>
      <c r="M140" s="9">
        <v>2.4</v>
      </c>
      <c r="N140" s="9">
        <v>2.4</v>
      </c>
      <c r="O140" s="9">
        <v>2.4</v>
      </c>
      <c r="P140" s="9">
        <v>2.4</v>
      </c>
    </row>
    <row r="141" spans="2:16">
      <c r="B141" s="82" t="s">
        <v>701</v>
      </c>
      <c r="J141" s="9">
        <v>179.76679000000001</v>
      </c>
      <c r="L141" s="9">
        <v>396.30124899999998</v>
      </c>
      <c r="M141" s="9">
        <v>232.12648000000002</v>
      </c>
      <c r="N141" s="9">
        <v>170.60031099999998</v>
      </c>
      <c r="O141" s="9">
        <v>150.058099</v>
      </c>
      <c r="P141" s="9">
        <v>140.39835600000001</v>
      </c>
    </row>
    <row r="142" spans="2:16">
      <c r="B142" s="89" t="s">
        <v>685</v>
      </c>
      <c r="E142" s="16"/>
      <c r="F142" s="16"/>
      <c r="G142" s="16"/>
      <c r="H142" s="16"/>
      <c r="I142" s="16"/>
      <c r="J142" s="9">
        <f>SUM(J143:J148)</f>
        <v>2322.7516598833336</v>
      </c>
      <c r="K142" s="9">
        <f t="shared" ref="K142:P142" si="67">SUM(K143:K148)</f>
        <v>0</v>
      </c>
      <c r="L142" s="9">
        <f t="shared" si="67"/>
        <v>12177.558059783334</v>
      </c>
      <c r="M142" s="9">
        <f t="shared" si="67"/>
        <v>9930.7589001000015</v>
      </c>
      <c r="N142" s="9">
        <f t="shared" si="67"/>
        <v>8473.775732033333</v>
      </c>
      <c r="O142" s="9">
        <f t="shared" si="67"/>
        <v>6159.7365449500003</v>
      </c>
      <c r="P142" s="9">
        <f t="shared" si="67"/>
        <v>3913.42343325</v>
      </c>
    </row>
    <row r="143" spans="2:16">
      <c r="B143" s="82" t="s">
        <v>702</v>
      </c>
      <c r="J143" s="9">
        <v>1968.1530477500003</v>
      </c>
      <c r="L143" s="9">
        <v>7020.2315887500008</v>
      </c>
      <c r="M143" s="9">
        <v>5691.3379696000002</v>
      </c>
      <c r="N143" s="9">
        <v>4446.6473196999996</v>
      </c>
      <c r="O143" s="9">
        <v>2523.7157109499999</v>
      </c>
      <c r="P143" s="9">
        <v>333.42343325000002</v>
      </c>
    </row>
    <row r="144" spans="2:16">
      <c r="B144" s="82" t="s">
        <v>703</v>
      </c>
      <c r="C144" s="9">
        <v>17900</v>
      </c>
      <c r="J144" s="9">
        <v>0</v>
      </c>
      <c r="L144" s="9">
        <v>3580</v>
      </c>
      <c r="M144" s="9">
        <v>3580</v>
      </c>
      <c r="N144" s="9">
        <v>3580</v>
      </c>
      <c r="O144" s="9">
        <v>3580</v>
      </c>
      <c r="P144" s="9">
        <v>3580</v>
      </c>
    </row>
    <row r="145" spans="2:16">
      <c r="B145" s="82" t="s">
        <v>704</v>
      </c>
      <c r="J145" s="9">
        <v>33.916815</v>
      </c>
      <c r="L145" s="9">
        <v>134.56126</v>
      </c>
      <c r="M145" s="9">
        <v>131.877859</v>
      </c>
      <c r="N145" s="9">
        <v>113.620836</v>
      </c>
      <c r="O145" s="9">
        <v>56.020834000000001</v>
      </c>
      <c r="P145" s="9">
        <v>0</v>
      </c>
    </row>
    <row r="146" spans="2:16">
      <c r="B146" s="82" t="s">
        <v>705</v>
      </c>
      <c r="J146" s="9">
        <v>320.51255613333331</v>
      </c>
      <c r="L146" s="9">
        <v>1109.2576346999997</v>
      </c>
      <c r="M146" s="9">
        <v>194.03549516666675</v>
      </c>
      <c r="N146" s="9">
        <v>0</v>
      </c>
      <c r="O146" s="9">
        <v>0</v>
      </c>
      <c r="P146" s="9">
        <v>0</v>
      </c>
    </row>
    <row r="147" spans="2:16">
      <c r="B147" s="82" t="s">
        <v>706</v>
      </c>
      <c r="C147" s="9">
        <v>1000.522729</v>
      </c>
      <c r="J147" s="9">
        <v>0</v>
      </c>
      <c r="L147" s="9">
        <v>333.5075763333333</v>
      </c>
      <c r="M147" s="9">
        <v>333.5075763333333</v>
      </c>
      <c r="N147" s="9">
        <v>333.5075763333333</v>
      </c>
      <c r="O147" s="9">
        <v>0</v>
      </c>
      <c r="P147" s="9">
        <v>0</v>
      </c>
    </row>
    <row r="148" spans="2:16">
      <c r="B148" s="82" t="s">
        <v>707</v>
      </c>
      <c r="J148" s="9">
        <v>0.169241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</row>
    <row r="149" spans="2:16">
      <c r="B149" s="89" t="s">
        <v>708</v>
      </c>
    </row>
    <row r="150" spans="2:16">
      <c r="B150" s="82" t="s">
        <v>709</v>
      </c>
      <c r="D150" s="377"/>
    </row>
    <row r="151" spans="2:16">
      <c r="B151" s="82" t="s">
        <v>710</v>
      </c>
      <c r="D151" s="377"/>
    </row>
    <row r="152" spans="2:16">
      <c r="D152" s="377"/>
    </row>
    <row r="153" spans="2:16">
      <c r="B153" s="9" t="s">
        <v>651</v>
      </c>
      <c r="D153" s="377" t="s">
        <v>126</v>
      </c>
      <c r="E153" s="9" t="s">
        <v>475</v>
      </c>
    </row>
    <row r="154" spans="2:16">
      <c r="C154" s="9">
        <v>2022</v>
      </c>
      <c r="D154" s="377">
        <f>J102</f>
        <v>3469.6218739701385</v>
      </c>
      <c r="E154" s="9">
        <v>5</v>
      </c>
      <c r="K154" s="9">
        <f>$D154/$E$154/4/2</f>
        <v>86.740546849253462</v>
      </c>
      <c r="L154" s="9">
        <f>MIN($D154/$E$154,$D154-SUM($K154:K154))</f>
        <v>693.9243747940277</v>
      </c>
      <c r="M154" s="9">
        <f>MIN($D154/$E$154,$D154-SUM($K154:L154))</f>
        <v>693.9243747940277</v>
      </c>
      <c r="N154" s="9">
        <f>MIN($D154/$E$154,$D154-SUM($K154:M154))</f>
        <v>693.9243747940277</v>
      </c>
      <c r="O154" s="9">
        <f>MIN($D154/$E$154,$D154-SUM($K154:N154))</f>
        <v>693.9243747940277</v>
      </c>
      <c r="P154" s="9">
        <f>MIN($D154/$E$154,$D154-SUM($K154:O154))</f>
        <v>607.18382794477429</v>
      </c>
    </row>
    <row r="155" spans="2:16">
      <c r="C155" s="9">
        <f t="shared" ref="C155:C159" si="68">C154+1</f>
        <v>2023</v>
      </c>
      <c r="D155" s="377">
        <f t="array" ref="D155:D159">TRANSPOSE(L102:P102)</f>
        <v>12850.419406035184</v>
      </c>
      <c r="L155" s="9">
        <f>$D155/$E$154/2</f>
        <v>1285.0419406035185</v>
      </c>
      <c r="M155" s="9">
        <f>MIN($D155/$E$154,$D155-SUM($K155:L155))</f>
        <v>2570.0838812070369</v>
      </c>
      <c r="N155" s="9">
        <f>MIN($D155/$E$154,$D155-SUM($K155:M155))</f>
        <v>2570.0838812070369</v>
      </c>
      <c r="O155" s="9">
        <f>MIN($D155/$E$154,$D155-SUM($K155:N155))</f>
        <v>2570.0838812070369</v>
      </c>
      <c r="P155" s="9">
        <f>MIN($D155/$E$154,$D155-SUM($K155:O155))</f>
        <v>2570.0838812070369</v>
      </c>
    </row>
    <row r="156" spans="2:16">
      <c r="C156" s="9">
        <f t="shared" si="68"/>
        <v>2024</v>
      </c>
      <c r="D156" s="377">
        <v>11842.864558312916</v>
      </c>
      <c r="M156" s="9">
        <f>$D156/$E$154/2</f>
        <v>1184.2864558312917</v>
      </c>
      <c r="N156" s="9">
        <f>MIN($D156/$E$154,$D156-SUM($K156:M156))</f>
        <v>2368.5729116625835</v>
      </c>
      <c r="O156" s="9">
        <f>MIN($D156/$E$154,$D156-SUM($K156:N156))</f>
        <v>2368.5729116625835</v>
      </c>
      <c r="P156" s="9">
        <f>MIN($D156/$E$154,$D156-SUM($K156:O156))</f>
        <v>2368.5729116625835</v>
      </c>
    </row>
    <row r="157" spans="2:16">
      <c r="C157" s="9">
        <f t="shared" si="68"/>
        <v>2025</v>
      </c>
      <c r="D157" s="377">
        <v>10402.975312853034</v>
      </c>
      <c r="N157" s="9">
        <f>$D157/$E$154/2</f>
        <v>1040.2975312853034</v>
      </c>
      <c r="O157" s="9">
        <f>MIN($D157/$E$154,$D157-SUM($K157:N157))</f>
        <v>2080.5950625706068</v>
      </c>
      <c r="P157" s="9">
        <f>MIN($D157/$E$154,$D157-SUM($K157:O157))</f>
        <v>2080.5950625706068</v>
      </c>
    </row>
    <row r="158" spans="2:16">
      <c r="C158" s="9">
        <f t="shared" si="68"/>
        <v>2026</v>
      </c>
      <c r="D158" s="377">
        <v>8424.4244817058843</v>
      </c>
      <c r="O158" s="9">
        <f>$D158/$E$154/2</f>
        <v>842.44244817058848</v>
      </c>
      <c r="P158" s="9">
        <f>MIN($D158/$E$154,$D158-SUM($K158:O158))</f>
        <v>1684.884896341177</v>
      </c>
    </row>
    <row r="159" spans="2:16">
      <c r="C159" s="9">
        <f t="shared" si="68"/>
        <v>2027</v>
      </c>
      <c r="D159" s="377">
        <v>9375.9232790156129</v>
      </c>
      <c r="P159" s="9">
        <f>$D159/$E$154/2</f>
        <v>937.59232790156125</v>
      </c>
    </row>
    <row r="160" spans="2:16" ht="16.2" thickBot="1">
      <c r="D160" s="377"/>
      <c r="K160" s="87">
        <f>SUM(K154:K159)</f>
        <v>86.740546849253462</v>
      </c>
      <c r="L160" s="87">
        <f t="shared" ref="L160:P160" si="69">SUM(L154:L159)</f>
        <v>1978.9663153975462</v>
      </c>
      <c r="M160" s="87">
        <f t="shared" si="69"/>
        <v>4448.2947118323564</v>
      </c>
      <c r="N160" s="87">
        <f t="shared" si="69"/>
        <v>6672.8786989489508</v>
      </c>
      <c r="O160" s="87">
        <f t="shared" si="69"/>
        <v>8555.6186784048423</v>
      </c>
      <c r="P160" s="87">
        <f t="shared" si="69"/>
        <v>10248.912907627739</v>
      </c>
    </row>
    <row r="161" spans="2:16">
      <c r="D161" s="377"/>
    </row>
    <row r="162" spans="2:16">
      <c r="B162" s="9" t="s">
        <v>121</v>
      </c>
      <c r="D162" s="377" t="s">
        <v>126</v>
      </c>
      <c r="E162" s="9" t="s">
        <v>475</v>
      </c>
    </row>
    <row r="163" spans="2:16">
      <c r="C163" s="9">
        <v>2022</v>
      </c>
      <c r="D163" s="377">
        <f t="array" ref="D163:D168">TRANSPOSE(K101:P101)</f>
        <v>4700</v>
      </c>
      <c r="E163" s="9">
        <v>5</v>
      </c>
      <c r="K163" s="9">
        <f>$D163/$E$163/4/2</f>
        <v>117.5</v>
      </c>
      <c r="L163" s="9">
        <f>MIN($D163/$E$154,$D163-SUM($K163:K163))</f>
        <v>940</v>
      </c>
      <c r="M163" s="9">
        <f>MIN($D163/$E$154,$D163-SUM($K163:L163))</f>
        <v>940</v>
      </c>
      <c r="N163" s="9">
        <f>MIN($D163/$E$154,$D163-SUM($K163:M163))</f>
        <v>940</v>
      </c>
      <c r="O163" s="9">
        <f>MIN($D163/$E$154,$D163-SUM($K163:N163))</f>
        <v>940</v>
      </c>
      <c r="P163" s="9">
        <f>MIN($D163/$E$154,$D163-SUM($K163:O163))</f>
        <v>822.5</v>
      </c>
    </row>
    <row r="164" spans="2:16">
      <c r="C164" s="9">
        <f t="shared" ref="C164:C168" si="70">C163+1</f>
        <v>2023</v>
      </c>
      <c r="D164" s="377">
        <v>3200</v>
      </c>
      <c r="L164" s="9">
        <f>$D164/$E$154/2</f>
        <v>320</v>
      </c>
      <c r="M164" s="9">
        <f>MIN($D164/$E$154,$D164-SUM($K164:L164))</f>
        <v>640</v>
      </c>
      <c r="N164" s="9">
        <f>MIN($D164/$E$154,$D164-SUM($K164:M164))</f>
        <v>640</v>
      </c>
      <c r="O164" s="9">
        <f>MIN($D164/$E$154,$D164-SUM($K164:N164))</f>
        <v>640</v>
      </c>
      <c r="P164" s="9">
        <f>MIN($D164/$E$154,$D164-SUM($K164:O164))</f>
        <v>640</v>
      </c>
    </row>
    <row r="165" spans="2:16">
      <c r="C165" s="9">
        <f t="shared" si="70"/>
        <v>2024</v>
      </c>
      <c r="D165" s="377">
        <v>3200</v>
      </c>
      <c r="M165" s="9">
        <f>$D165/$E$154/2</f>
        <v>320</v>
      </c>
      <c r="N165" s="9">
        <f>MIN($D165/$E$154,$D165-SUM($K165:M165))</f>
        <v>640</v>
      </c>
      <c r="O165" s="9">
        <f>MIN($D165/$E$154,$D165-SUM($K165:N165))</f>
        <v>640</v>
      </c>
      <c r="P165" s="9">
        <f>MIN($D165/$E$154,$D165-SUM($K165:O165))</f>
        <v>640</v>
      </c>
    </row>
    <row r="166" spans="2:16">
      <c r="C166" s="9">
        <f t="shared" si="70"/>
        <v>2025</v>
      </c>
      <c r="D166" s="377">
        <v>3200</v>
      </c>
      <c r="N166" s="9">
        <f>$D166/$E$154/2</f>
        <v>320</v>
      </c>
      <c r="O166" s="9">
        <f>MIN($D166/$E$154,$D166-SUM($K166:N166))</f>
        <v>640</v>
      </c>
      <c r="P166" s="9">
        <f>MIN($D166/$E$154,$D166-SUM($K166:O166))</f>
        <v>640</v>
      </c>
    </row>
    <row r="167" spans="2:16">
      <c r="C167" s="9">
        <f t="shared" si="70"/>
        <v>2026</v>
      </c>
      <c r="D167" s="377">
        <v>3200</v>
      </c>
      <c r="O167" s="9">
        <f>$D167/$E$154/2</f>
        <v>320</v>
      </c>
      <c r="P167" s="9">
        <f>MIN($D167/$E$154,$D167-SUM($K167:O167))</f>
        <v>640</v>
      </c>
    </row>
    <row r="168" spans="2:16">
      <c r="C168" s="9">
        <f t="shared" si="70"/>
        <v>2027</v>
      </c>
      <c r="D168" s="377">
        <v>3200</v>
      </c>
      <c r="P168" s="9">
        <f>$D168/$E$154/2</f>
        <v>320</v>
      </c>
    </row>
    <row r="169" spans="2:16" ht="16.2" thickBot="1">
      <c r="D169" s="377"/>
      <c r="K169" s="87">
        <f>SUM(K163:K168)</f>
        <v>117.5</v>
      </c>
      <c r="L169" s="87">
        <f t="shared" ref="L169:P169" si="71">SUM(L163:L168)</f>
        <v>1260</v>
      </c>
      <c r="M169" s="87">
        <f t="shared" si="71"/>
        <v>1900</v>
      </c>
      <c r="N169" s="87">
        <f t="shared" si="71"/>
        <v>2540</v>
      </c>
      <c r="O169" s="87">
        <f t="shared" si="71"/>
        <v>3180</v>
      </c>
      <c r="P169" s="87">
        <f t="shared" si="71"/>
        <v>3702.5</v>
      </c>
    </row>
    <row r="170" spans="2:16">
      <c r="D170" s="377"/>
    </row>
    <row r="171" spans="2:16">
      <c r="B171" s="9" t="s">
        <v>650</v>
      </c>
      <c r="D171" s="377" t="s">
        <v>126</v>
      </c>
      <c r="E171" s="9" t="s">
        <v>475</v>
      </c>
    </row>
    <row r="172" spans="2:16">
      <c r="C172" s="9">
        <v>2021</v>
      </c>
      <c r="D172" s="377">
        <f>J103</f>
        <v>11427.557440999999</v>
      </c>
      <c r="E172" s="9">
        <v>5</v>
      </c>
      <c r="K172" s="9">
        <f>$D172/$E$154/4/2</f>
        <v>285.68893602499998</v>
      </c>
      <c r="L172" s="9">
        <f>MIN($D172/$E$154,$D172-SUM($K172:K172))</f>
        <v>2285.5114881999998</v>
      </c>
      <c r="M172" s="9">
        <f>MIN($D172/$E$154,$D172-SUM($K172:L172))</f>
        <v>2285.5114881999998</v>
      </c>
      <c r="N172" s="9">
        <f>MIN($D172/$E$154,$D172-SUM($K172:M172))</f>
        <v>2285.5114881999998</v>
      </c>
      <c r="O172" s="9">
        <f>MIN($D172/$E$154,$D172-SUM($K172:N172))</f>
        <v>2285.5114881999998</v>
      </c>
      <c r="P172" s="9">
        <f>MIN($D172/$E$154,$D172-SUM($K172:O172))</f>
        <v>1999.822552175001</v>
      </c>
    </row>
    <row r="173" spans="2:16">
      <c r="C173" s="9">
        <f t="shared" ref="C173:C177" si="72">C172+1</f>
        <v>2022</v>
      </c>
      <c r="D173" s="377">
        <f t="array" ref="D173:D177">TRANSPOSE(L103:P103)</f>
        <v>42383.692832544446</v>
      </c>
      <c r="L173" s="9">
        <f>$D173/$E$154/2</f>
        <v>4238.3692832544448</v>
      </c>
      <c r="M173" s="9">
        <f>MIN($D173/$E$154,$D173-SUM($K173:L173))</f>
        <v>8476.7385665088896</v>
      </c>
      <c r="N173" s="9">
        <f>MIN($D173/$E$154,$D173-SUM($K173:M173))</f>
        <v>8476.7385665088896</v>
      </c>
      <c r="O173" s="9">
        <f>MIN($D173/$E$154,$D173-SUM($K173:N173))</f>
        <v>8476.7385665088896</v>
      </c>
      <c r="P173" s="9">
        <f>MIN($D173/$E$154,$D173-SUM($K173:O173))</f>
        <v>8476.7385665088896</v>
      </c>
    </row>
    <row r="174" spans="2:16">
      <c r="C174" s="9">
        <f t="shared" si="72"/>
        <v>2023</v>
      </c>
      <c r="D174" s="377">
        <v>39139.125497409317</v>
      </c>
      <c r="M174" s="9">
        <f>$D174/$E$154/2</f>
        <v>3913.9125497409318</v>
      </c>
      <c r="N174" s="9">
        <f>MIN($D174/$E$154,$D174-SUM($K174:M174))</f>
        <v>7827.8250994818636</v>
      </c>
      <c r="O174" s="9">
        <f>MIN($D174/$E$154,$D174-SUM($K174:N174))</f>
        <v>7827.8250994818636</v>
      </c>
      <c r="P174" s="9">
        <f>MIN($D174/$E$154,$D174-SUM($K174:O174))</f>
        <v>7827.8250994818636</v>
      </c>
    </row>
    <row r="175" spans="2:16">
      <c r="C175" s="9">
        <f t="shared" si="72"/>
        <v>2024</v>
      </c>
      <c r="D175" s="377">
        <v>34487.640384064005</v>
      </c>
      <c r="N175" s="9">
        <f>$D175/$E$154/2</f>
        <v>3448.7640384064007</v>
      </c>
      <c r="O175" s="9">
        <f>MIN($D175/$E$154,$D175-SUM($K175:N175))</f>
        <v>6897.5280768128014</v>
      </c>
      <c r="P175" s="9">
        <f>MIN($D175/$E$154,$D175-SUM($K175:O175))</f>
        <v>6897.5280768128014</v>
      </c>
    </row>
    <row r="176" spans="2:16">
      <c r="C176" s="9">
        <f t="shared" si="72"/>
        <v>2025</v>
      </c>
      <c r="D176" s="377">
        <v>28081.414939019614</v>
      </c>
      <c r="O176" s="9">
        <f>$D176/$E$154/2</f>
        <v>2808.1414939019614</v>
      </c>
      <c r="P176" s="9">
        <f>MIN($D176/$E$154,$D176-SUM($K176:O176))</f>
        <v>5616.2829878039229</v>
      </c>
    </row>
    <row r="177" spans="1:19">
      <c r="C177" s="9">
        <f t="shared" si="72"/>
        <v>2026</v>
      </c>
      <c r="D177" s="377">
        <v>31253.077596718711</v>
      </c>
      <c r="P177" s="9">
        <f>$D177/$E$154/2</f>
        <v>3125.3077596718713</v>
      </c>
    </row>
    <row r="178" spans="1:19" ht="16.2" thickBot="1">
      <c r="D178" s="377"/>
      <c r="K178" s="87">
        <f>SUM(K172:K177)</f>
        <v>285.68893602499998</v>
      </c>
      <c r="L178" s="87">
        <f t="shared" ref="L178:P178" si="73">SUM(L172:L177)</f>
        <v>6523.8807714544446</v>
      </c>
      <c r="M178" s="87">
        <f t="shared" si="73"/>
        <v>14676.162604449821</v>
      </c>
      <c r="N178" s="87">
        <f t="shared" si="73"/>
        <v>22038.839192597152</v>
      </c>
      <c r="O178" s="87">
        <f t="shared" si="73"/>
        <v>28295.744724905511</v>
      </c>
      <c r="P178" s="87">
        <f t="shared" si="73"/>
        <v>33943.505042454344</v>
      </c>
    </row>
    <row r="179" spans="1:19">
      <c r="D179" s="377"/>
    </row>
    <row r="182" spans="1:19">
      <c r="A182" s="9" t="s">
        <v>667</v>
      </c>
      <c r="B182" s="16" t="s">
        <v>711</v>
      </c>
      <c r="J182" s="9" t="s">
        <v>712</v>
      </c>
    </row>
    <row r="183" spans="1:19">
      <c r="J183" s="368" t="str">
        <f>LEFT(K183,1)</f>
        <v>3</v>
      </c>
      <c r="K183" s="9" t="s">
        <v>713</v>
      </c>
    </row>
    <row r="184" spans="1:19">
      <c r="H184" s="9" t="s">
        <v>714</v>
      </c>
      <c r="I184" s="9" t="s">
        <v>141</v>
      </c>
    </row>
    <row r="185" spans="1:19" ht="17.399999999999999">
      <c r="B185" s="369" t="s">
        <v>715</v>
      </c>
      <c r="C185" s="369"/>
      <c r="D185" s="370"/>
      <c r="E185" s="370"/>
      <c r="F185" s="370"/>
      <c r="G185" s="370"/>
      <c r="H185" s="370"/>
      <c r="I185" s="370"/>
      <c r="J185" s="370"/>
      <c r="K185" s="370"/>
      <c r="L185" s="370"/>
      <c r="M185" s="370"/>
      <c r="N185" s="370"/>
      <c r="O185" s="370"/>
      <c r="P185" s="370"/>
      <c r="Q185" s="370"/>
    </row>
    <row r="186" spans="1:19" ht="17.399999999999999">
      <c r="B186" s="369"/>
      <c r="C186" s="369" t="s">
        <v>716</v>
      </c>
      <c r="D186" s="370"/>
      <c r="E186" s="370">
        <v>98164.459768999994</v>
      </c>
      <c r="F186" s="370">
        <v>130684.696971</v>
      </c>
      <c r="G186" s="370">
        <v>185836.55459099999</v>
      </c>
      <c r="H186" s="370">
        <f>205946.654+22215.69</f>
        <v>228162.34400000001</v>
      </c>
      <c r="I186" s="370">
        <f>244807.201+24277.839</f>
        <v>269085.03999999998</v>
      </c>
      <c r="J186" s="370">
        <f>SUM(I187:J187)/J188</f>
        <v>238237.32274600078</v>
      </c>
      <c r="K186" s="370">
        <f>J186</f>
        <v>238237.32274600078</v>
      </c>
      <c r="L186" s="370">
        <f>L187/L188</f>
        <v>272158.98028917605</v>
      </c>
      <c r="M186" s="370">
        <f t="shared" ref="M186:Q186" si="74">M187/M188</f>
        <v>305102.50435449829</v>
      </c>
      <c r="N186" s="370">
        <f t="shared" si="74"/>
        <v>342029.3512084285</v>
      </c>
      <c r="O186" s="370">
        <f t="shared" si="74"/>
        <v>382669.6755576196</v>
      </c>
      <c r="P186" s="370">
        <f t="shared" si="74"/>
        <v>425890.40082504461</v>
      </c>
      <c r="Q186" s="370">
        <f t="shared" si="74"/>
        <v>430149.304833295</v>
      </c>
    </row>
    <row r="187" spans="1:19" ht="17.399999999999999">
      <c r="B187" s="369"/>
      <c r="C187" s="369" t="s">
        <v>616</v>
      </c>
      <c r="D187" s="370"/>
      <c r="E187" s="370">
        <v>1091384.4701719999</v>
      </c>
      <c r="F187" s="370">
        <v>1179454.4448230001</v>
      </c>
      <c r="G187" s="370">
        <v>1327150.42298</v>
      </c>
      <c r="H187" s="370">
        <f>총괄PL!H8</f>
        <v>1549714.140559</v>
      </c>
      <c r="I187" s="370">
        <f>총괄PL!I8</f>
        <v>1290462.7897739999</v>
      </c>
      <c r="J187" s="370">
        <f>총괄PL!J8</f>
        <v>457792.04757180525</v>
      </c>
      <c r="K187" s="370">
        <f>총괄PL!K8</f>
        <v>1748254.8373458053</v>
      </c>
      <c r="L187" s="370">
        <f>총괄PL!L8</f>
        <v>1997181.8367222683</v>
      </c>
      <c r="M187" s="370">
        <f>총괄PL!M8</f>
        <v>2238931.0078537022</v>
      </c>
      <c r="N187" s="370">
        <f>총괄PL!N8</f>
        <v>2509910.9613563693</v>
      </c>
      <c r="O187" s="370">
        <f>총괄PL!O8</f>
        <v>2808141.4939019615</v>
      </c>
      <c r="P187" s="370">
        <f>총괄PL!P8</f>
        <v>3125307.7596718711</v>
      </c>
      <c r="Q187" s="370">
        <f>총괄PL!Q8</f>
        <v>3156560.8372685895</v>
      </c>
    </row>
    <row r="188" spans="1:19" ht="17.399999999999999">
      <c r="B188" s="369"/>
      <c r="C188" s="369" t="s">
        <v>717</v>
      </c>
      <c r="D188" s="370"/>
      <c r="E188" s="371">
        <f>E187/E186</f>
        <v>11.117918569920715</v>
      </c>
      <c r="F188" s="371">
        <f t="shared" ref="F188:H188" si="75">F187/F186</f>
        <v>9.025191718390186</v>
      </c>
      <c r="G188" s="371">
        <f t="shared" si="75"/>
        <v>7.1414928343934845</v>
      </c>
      <c r="H188" s="371">
        <f t="shared" si="75"/>
        <v>6.7921555914546525</v>
      </c>
      <c r="I188" s="371">
        <f>I187*12/9/I186</f>
        <v>6.3943244597767315</v>
      </c>
      <c r="J188" s="371">
        <f>CHOOSE($J$183,I188,AVERAGE(H188:I188),AVERAGE(F188:I188))</f>
        <v>7.3382911510037641</v>
      </c>
      <c r="K188" s="370"/>
      <c r="L188" s="371">
        <f t="shared" ref="L188:Q188" si="76">$S188</f>
        <v>7.3382911510037641</v>
      </c>
      <c r="M188" s="371">
        <f t="shared" si="76"/>
        <v>7.3382911510037641</v>
      </c>
      <c r="N188" s="371">
        <f t="shared" si="76"/>
        <v>7.3382911510037641</v>
      </c>
      <c r="O188" s="371">
        <f t="shared" si="76"/>
        <v>7.3382911510037641</v>
      </c>
      <c r="P188" s="371">
        <f t="shared" si="76"/>
        <v>7.3382911510037641</v>
      </c>
      <c r="Q188" s="371">
        <f t="shared" si="76"/>
        <v>7.3382911510037641</v>
      </c>
      <c r="S188" s="372">
        <f>J188</f>
        <v>7.3382911510037641</v>
      </c>
    </row>
    <row r="189" spans="1:19" ht="17.399999999999999">
      <c r="B189" s="369"/>
      <c r="C189" s="369" t="s">
        <v>718</v>
      </c>
      <c r="D189" s="370"/>
      <c r="E189" s="370">
        <f>365/E188</f>
        <v>32.829886071256134</v>
      </c>
      <c r="F189" s="370">
        <f t="shared" ref="F189:J189" si="77">365/F188</f>
        <v>40.442354178056689</v>
      </c>
      <c r="G189" s="370">
        <f t="shared" si="77"/>
        <v>51.109762127346428</v>
      </c>
      <c r="H189" s="370">
        <f t="shared" si="77"/>
        <v>53.73846271413656</v>
      </c>
      <c r="I189" s="370">
        <f t="shared" si="77"/>
        <v>57.081870383027855</v>
      </c>
      <c r="J189" s="371">
        <f t="shared" si="77"/>
        <v>49.739100355819716</v>
      </c>
      <c r="K189" s="370"/>
      <c r="L189" s="370">
        <f t="shared" ref="L189:Q189" si="78">365/L188</f>
        <v>49.739100355819716</v>
      </c>
      <c r="M189" s="370">
        <f t="shared" si="78"/>
        <v>49.739100355819716</v>
      </c>
      <c r="N189" s="370">
        <f t="shared" si="78"/>
        <v>49.739100355819716</v>
      </c>
      <c r="O189" s="370">
        <f t="shared" si="78"/>
        <v>49.739100355819716</v>
      </c>
      <c r="P189" s="370">
        <f t="shared" si="78"/>
        <v>49.739100355819716</v>
      </c>
      <c r="Q189" s="370">
        <f t="shared" si="78"/>
        <v>49.739100355819716</v>
      </c>
    </row>
    <row r="191" spans="1:19" ht="17.399999999999999">
      <c r="B191" s="369" t="s">
        <v>719</v>
      </c>
      <c r="C191" s="369"/>
      <c r="D191" s="370"/>
      <c r="E191" s="370"/>
      <c r="F191" s="370"/>
      <c r="G191" s="370"/>
      <c r="H191" s="370"/>
      <c r="I191" s="370"/>
      <c r="J191" s="370"/>
      <c r="K191" s="370"/>
      <c r="L191" s="370"/>
      <c r="M191" s="370"/>
      <c r="N191" s="370"/>
      <c r="O191" s="370"/>
      <c r="P191" s="370"/>
      <c r="Q191" s="370"/>
    </row>
    <row r="192" spans="1:19" ht="17.399999999999999">
      <c r="B192" s="369"/>
      <c r="C192" s="369" t="s">
        <v>720</v>
      </c>
      <c r="D192" s="370"/>
      <c r="E192" s="370">
        <v>6492.1031919999996</v>
      </c>
      <c r="F192" s="370">
        <v>1030.2170329999999</v>
      </c>
      <c r="G192" s="370">
        <v>1477.7326640000001</v>
      </c>
      <c r="H192" s="370">
        <f>1045.996-1.595</f>
        <v>1044.4010000000001</v>
      </c>
      <c r="I192" s="370">
        <f>972.13-1.595</f>
        <v>970.53499999999997</v>
      </c>
      <c r="J192" s="370">
        <f>SUM(I193:J193)/J194</f>
        <v>1319.5262253622402</v>
      </c>
      <c r="K192" s="370">
        <f>J192</f>
        <v>1319.5262253622402</v>
      </c>
      <c r="L192" s="370">
        <f>L193/L194</f>
        <v>1507.4082760000344</v>
      </c>
      <c r="M192" s="370">
        <f t="shared" ref="M192:Q192" si="79">M193/M194</f>
        <v>1689.8727339573236</v>
      </c>
      <c r="N192" s="370">
        <f t="shared" si="79"/>
        <v>1894.399641337179</v>
      </c>
      <c r="O192" s="370">
        <f t="shared" si="79"/>
        <v>2119.4944046927899</v>
      </c>
      <c r="P192" s="370">
        <f t="shared" si="79"/>
        <v>2358.8812472420063</v>
      </c>
      <c r="Q192" s="370">
        <f t="shared" si="79"/>
        <v>2382.470059714426</v>
      </c>
    </row>
    <row r="193" spans="2:19" ht="17.399999999999999">
      <c r="B193" s="369"/>
      <c r="C193" s="369" t="s">
        <v>616</v>
      </c>
      <c r="D193" s="370"/>
      <c r="E193" s="370">
        <v>1091384.4701719999</v>
      </c>
      <c r="F193" s="370">
        <v>1179454.4448230001</v>
      </c>
      <c r="G193" s="370">
        <v>1327150.42298</v>
      </c>
      <c r="H193" s="370">
        <f>총괄PL!H8</f>
        <v>1549714.140559</v>
      </c>
      <c r="I193" s="370">
        <f>총괄PL!I8</f>
        <v>1290462.7897739999</v>
      </c>
      <c r="J193" s="370">
        <f>총괄PL!J8</f>
        <v>457792.04757180525</v>
      </c>
      <c r="K193" s="370">
        <f>총괄PL!K8</f>
        <v>1748254.8373458053</v>
      </c>
      <c r="L193" s="370">
        <f>총괄PL!L8</f>
        <v>1997181.8367222683</v>
      </c>
      <c r="M193" s="370">
        <f>총괄PL!M8</f>
        <v>2238931.0078537022</v>
      </c>
      <c r="N193" s="370">
        <f>총괄PL!N8</f>
        <v>2509910.9613563693</v>
      </c>
      <c r="O193" s="370">
        <f>총괄PL!O8</f>
        <v>2808141.4939019615</v>
      </c>
      <c r="P193" s="370">
        <f>총괄PL!P8</f>
        <v>3125307.7596718711</v>
      </c>
      <c r="Q193" s="370">
        <f>총괄PL!Q8</f>
        <v>3156560.8372685895</v>
      </c>
    </row>
    <row r="194" spans="2:19" ht="17.399999999999999">
      <c r="B194" s="369"/>
      <c r="C194" s="369" t="s">
        <v>717</v>
      </c>
      <c r="D194" s="370"/>
      <c r="E194" s="371">
        <f>E193/E192</f>
        <v>168.10953829521321</v>
      </c>
      <c r="F194" s="371">
        <f t="shared" ref="F194:H194" si="80">F193/F192</f>
        <v>1144.8601673653363</v>
      </c>
      <c r="G194" s="371">
        <f t="shared" si="80"/>
        <v>898.09913207684224</v>
      </c>
      <c r="H194" s="371">
        <f t="shared" si="80"/>
        <v>1483.8305790199356</v>
      </c>
      <c r="I194" s="371">
        <f>I193*12/9/I192</f>
        <v>1772.8542020967818</v>
      </c>
      <c r="J194" s="371">
        <f>CHOOSE($J$183,I194,AVERAGE(H194:I194),AVERAGE(F194:I194))</f>
        <v>1324.9110201397241</v>
      </c>
      <c r="K194" s="370"/>
      <c r="L194" s="371">
        <f t="shared" ref="L194:Q194" si="81">$S194</f>
        <v>1324.9110201397241</v>
      </c>
      <c r="M194" s="371">
        <f t="shared" si="81"/>
        <v>1324.9110201397241</v>
      </c>
      <c r="N194" s="371">
        <f t="shared" si="81"/>
        <v>1324.9110201397241</v>
      </c>
      <c r="O194" s="371">
        <f t="shared" si="81"/>
        <v>1324.9110201397241</v>
      </c>
      <c r="P194" s="371">
        <f t="shared" si="81"/>
        <v>1324.9110201397241</v>
      </c>
      <c r="Q194" s="371">
        <f t="shared" si="81"/>
        <v>1324.9110201397241</v>
      </c>
      <c r="S194" s="372">
        <f>J194</f>
        <v>1324.9110201397241</v>
      </c>
    </row>
    <row r="195" spans="2:19" ht="17.399999999999999">
      <c r="B195" s="369"/>
      <c r="C195" s="369" t="s">
        <v>718</v>
      </c>
      <c r="D195" s="370"/>
      <c r="E195" s="370">
        <f>365/E194</f>
        <v>2.1712033933436428</v>
      </c>
      <c r="F195" s="370">
        <f t="shared" ref="F195:J195" si="82">365/F194</f>
        <v>0.31881622787171776</v>
      </c>
      <c r="G195" s="370">
        <f t="shared" si="82"/>
        <v>0.40641393245302709</v>
      </c>
      <c r="H195" s="370">
        <f t="shared" si="82"/>
        <v>0.24598495620779098</v>
      </c>
      <c r="I195" s="370">
        <f t="shared" si="82"/>
        <v>0.20588269445299501</v>
      </c>
      <c r="J195" s="371">
        <f t="shared" si="82"/>
        <v>0.27549019855047124</v>
      </c>
      <c r="K195" s="370"/>
      <c r="L195" s="370">
        <f t="shared" ref="L195:Q195" si="83">365/L194</f>
        <v>0.27549019855047124</v>
      </c>
      <c r="M195" s="370">
        <f t="shared" si="83"/>
        <v>0.27549019855047124</v>
      </c>
      <c r="N195" s="370">
        <f t="shared" si="83"/>
        <v>0.27549019855047124</v>
      </c>
      <c r="O195" s="370">
        <f t="shared" si="83"/>
        <v>0.27549019855047124</v>
      </c>
      <c r="P195" s="370">
        <f t="shared" si="83"/>
        <v>0.27549019855047124</v>
      </c>
      <c r="Q195" s="370">
        <f t="shared" si="83"/>
        <v>0.27549019855047124</v>
      </c>
    </row>
    <row r="197" spans="2:19" ht="17.399999999999999">
      <c r="B197" s="369" t="s">
        <v>721</v>
      </c>
      <c r="C197" s="369"/>
      <c r="D197" s="370"/>
      <c r="E197" s="370"/>
      <c r="F197" s="370"/>
      <c r="G197" s="370"/>
      <c r="H197" s="370"/>
      <c r="I197" s="370"/>
      <c r="J197" s="370"/>
      <c r="K197" s="370"/>
      <c r="L197" s="370"/>
      <c r="M197" s="370"/>
      <c r="N197" s="370"/>
      <c r="O197" s="370"/>
      <c r="P197" s="370"/>
      <c r="Q197" s="370"/>
    </row>
    <row r="198" spans="2:19" ht="17.399999999999999">
      <c r="B198" s="369"/>
      <c r="C198" s="369" t="s">
        <v>722</v>
      </c>
      <c r="D198" s="370"/>
      <c r="E198" s="370">
        <v>2812.6774359999999</v>
      </c>
      <c r="F198" s="370">
        <v>588.67406900000003</v>
      </c>
      <c r="G198" s="370">
        <v>633.21313799999996</v>
      </c>
      <c r="H198" s="370">
        <f>2688.014</f>
        <v>2688.0140000000001</v>
      </c>
      <c r="I198" s="370">
        <v>1902.826</v>
      </c>
      <c r="J198" s="370">
        <f>SUM(I199:J199)/J200</f>
        <v>1266.8023911801406</v>
      </c>
      <c r="K198" s="370">
        <f>J198</f>
        <v>1266.8023911801406</v>
      </c>
      <c r="L198" s="370">
        <f>L199/L200</f>
        <v>1410.4634497792006</v>
      </c>
      <c r="M198" s="370">
        <f t="shared" ref="M198:Q198" si="84">M199/M200</f>
        <v>1562.5986135365522</v>
      </c>
      <c r="N198" s="370">
        <f t="shared" si="84"/>
        <v>1722.7040018587261</v>
      </c>
      <c r="O198" s="370">
        <f t="shared" si="84"/>
        <v>1882.8112251171483</v>
      </c>
      <c r="P198" s="370">
        <f t="shared" si="84"/>
        <v>2053.4771280652139</v>
      </c>
      <c r="Q198" s="370">
        <f t="shared" si="84"/>
        <v>2074.0118993458664</v>
      </c>
    </row>
    <row r="199" spans="2:19" ht="17.399999999999999">
      <c r="B199" s="369"/>
      <c r="C199" s="369" t="s">
        <v>723</v>
      </c>
      <c r="D199" s="370"/>
      <c r="E199" s="370">
        <v>1007568.0464239999</v>
      </c>
      <c r="F199" s="370">
        <v>1046813.274816</v>
      </c>
      <c r="G199" s="370">
        <v>1214429.3415059999</v>
      </c>
      <c r="H199" s="370">
        <f>총괄PL!H36+총괄PL!H71</f>
        <v>1427821.0826590001</v>
      </c>
      <c r="I199" s="370">
        <f>총괄PL!I36+총괄PL!I71</f>
        <v>1189380.8409259999</v>
      </c>
      <c r="J199" s="370">
        <f>총괄PL!J36+총괄PL!J71</f>
        <v>413356.77790969302</v>
      </c>
      <c r="K199" s="370">
        <f>총괄PL!K36+총괄PL!K71</f>
        <v>1602737.6188356928</v>
      </c>
      <c r="L199" s="370">
        <f>총괄PL!L36+총괄PL!L71</f>
        <v>1784495.2351628714</v>
      </c>
      <c r="M199" s="370">
        <f>총괄PL!M36+총괄PL!M71</f>
        <v>1976974.1504216939</v>
      </c>
      <c r="N199" s="370">
        <f>총괄PL!N36+총괄PL!N71</f>
        <v>2179536.8631453356</v>
      </c>
      <c r="O199" s="370">
        <f>총괄PL!O36+총괄PL!O71</f>
        <v>2382101.8974002386</v>
      </c>
      <c r="P199" s="370">
        <f>총괄PL!P36+총괄PL!P71</f>
        <v>2598025.6001117611</v>
      </c>
      <c r="Q199" s="370">
        <f>총괄PL!Q36+총괄PL!Q71</f>
        <v>2624005.8561128788</v>
      </c>
    </row>
    <row r="200" spans="2:19" ht="17.399999999999999">
      <c r="B200" s="369"/>
      <c r="C200" s="369" t="s">
        <v>717</v>
      </c>
      <c r="D200" s="370"/>
      <c r="E200" s="371">
        <f>E199/E198</f>
        <v>358.22381675479119</v>
      </c>
      <c r="F200" s="371">
        <f t="shared" ref="F200:H200" si="85">F199/F198</f>
        <v>1778.2561351721438</v>
      </c>
      <c r="G200" s="371">
        <f t="shared" si="85"/>
        <v>1917.8839929660462</v>
      </c>
      <c r="H200" s="371">
        <f t="shared" si="85"/>
        <v>531.18067192321166</v>
      </c>
      <c r="I200" s="371">
        <f>I199*12/9/I198</f>
        <v>833.41362858961702</v>
      </c>
      <c r="J200" s="371">
        <f>CHOOSE($J$183,I200,AVERAGE(H200:I200),AVERAGE(F200:I200))</f>
        <v>1265.1836071627545</v>
      </c>
      <c r="K200" s="370"/>
      <c r="L200" s="371">
        <f t="shared" ref="L200:Q200" si="86">$S200</f>
        <v>1265.1836071627545</v>
      </c>
      <c r="M200" s="371">
        <f t="shared" si="86"/>
        <v>1265.1836071627545</v>
      </c>
      <c r="N200" s="371">
        <f t="shared" si="86"/>
        <v>1265.1836071627545</v>
      </c>
      <c r="O200" s="371">
        <f t="shared" si="86"/>
        <v>1265.1836071627545</v>
      </c>
      <c r="P200" s="371">
        <f t="shared" si="86"/>
        <v>1265.1836071627545</v>
      </c>
      <c r="Q200" s="371">
        <f t="shared" si="86"/>
        <v>1265.1836071627545</v>
      </c>
      <c r="S200" s="372">
        <f>J200</f>
        <v>1265.1836071627545</v>
      </c>
    </row>
    <row r="201" spans="2:19" ht="17.399999999999999">
      <c r="B201" s="369"/>
      <c r="C201" s="369" t="s">
        <v>718</v>
      </c>
      <c r="D201" s="370"/>
      <c r="E201" s="370">
        <f>365/E200</f>
        <v>1.0189160600950415</v>
      </c>
      <c r="F201" s="370">
        <f t="shared" ref="F201:J201" si="87">365/F200</f>
        <v>0.2052572701877203</v>
      </c>
      <c r="G201" s="370">
        <f t="shared" si="87"/>
        <v>0.19031390915126215</v>
      </c>
      <c r="H201" s="370">
        <f t="shared" si="87"/>
        <v>0.6871484963458252</v>
      </c>
      <c r="I201" s="370">
        <f t="shared" si="87"/>
        <v>0.43795780087936437</v>
      </c>
      <c r="J201" s="371">
        <f t="shared" si="87"/>
        <v>0.28849567599009052</v>
      </c>
      <c r="K201" s="370"/>
      <c r="L201" s="370">
        <f t="shared" ref="L201:Q201" si="88">365/L200</f>
        <v>0.28849567599009052</v>
      </c>
      <c r="M201" s="370">
        <f t="shared" si="88"/>
        <v>0.28849567599009052</v>
      </c>
      <c r="N201" s="370">
        <f t="shared" si="88"/>
        <v>0.28849567599009052</v>
      </c>
      <c r="O201" s="370">
        <f t="shared" si="88"/>
        <v>0.28849567599009052</v>
      </c>
      <c r="P201" s="370">
        <f t="shared" si="88"/>
        <v>0.28849567599009052</v>
      </c>
      <c r="Q201" s="370">
        <f t="shared" si="88"/>
        <v>0.28849567599009052</v>
      </c>
    </row>
    <row r="203" spans="2:19" ht="17.399999999999999">
      <c r="B203" s="369" t="s">
        <v>724</v>
      </c>
      <c r="C203" s="369"/>
      <c r="D203" s="370"/>
      <c r="E203" s="370"/>
      <c r="F203" s="370"/>
      <c r="G203" s="370"/>
      <c r="H203" s="370"/>
      <c r="I203" s="370"/>
      <c r="J203" s="370"/>
      <c r="K203" s="370"/>
      <c r="L203" s="370"/>
      <c r="M203" s="370"/>
      <c r="N203" s="370"/>
      <c r="O203" s="370"/>
      <c r="P203" s="370"/>
      <c r="Q203" s="370"/>
    </row>
    <row r="204" spans="2:19" ht="17.399999999999999">
      <c r="B204" s="369"/>
      <c r="C204" s="369" t="s">
        <v>725</v>
      </c>
      <c r="D204" s="370"/>
      <c r="E204" s="370">
        <v>17409.562646999999</v>
      </c>
      <c r="F204" s="370">
        <v>30587.830936999999</v>
      </c>
      <c r="G204" s="370">
        <v>39412.065558000002</v>
      </c>
      <c r="H204" s="370">
        <f>20466.471+27182.965</f>
        <v>47649.436000000002</v>
      </c>
      <c r="I204" s="370">
        <f>17977.837+28213.019</f>
        <v>46190.856</v>
      </c>
      <c r="J204" s="370">
        <f>SUM(I205:J205)/J206</f>
        <v>49568.827118212226</v>
      </c>
      <c r="K204" s="370">
        <f>J204</f>
        <v>49568.827118212226</v>
      </c>
      <c r="L204" s="370">
        <f>L205/L206</f>
        <v>55190.153875167744</v>
      </c>
      <c r="M204" s="370">
        <f t="shared" ref="M204:Q204" si="89">M205/M206</f>
        <v>61143.064671194741</v>
      </c>
      <c r="N204" s="370">
        <f t="shared" si="89"/>
        <v>67407.843116270742</v>
      </c>
      <c r="O204" s="370">
        <f t="shared" si="89"/>
        <v>73672.69336073572</v>
      </c>
      <c r="P204" s="370">
        <f t="shared" si="89"/>
        <v>80350.695152574219</v>
      </c>
      <c r="Q204" s="370">
        <f t="shared" si="89"/>
        <v>81154.202104099968</v>
      </c>
    </row>
    <row r="205" spans="2:19" ht="17.399999999999999">
      <c r="B205" s="369"/>
      <c r="C205" s="369" t="s">
        <v>723</v>
      </c>
      <c r="D205" s="370"/>
      <c r="E205" s="370">
        <v>1007568.0464239999</v>
      </c>
      <c r="F205" s="370">
        <v>1046813.274816</v>
      </c>
      <c r="G205" s="370">
        <v>1214429.3415059999</v>
      </c>
      <c r="H205" s="370">
        <f>총괄PL!H36+총괄PL!H71</f>
        <v>1427821.0826590001</v>
      </c>
      <c r="I205" s="370">
        <f>총괄PL!I36+총괄PL!I71</f>
        <v>1189380.8409259999</v>
      </c>
      <c r="J205" s="370">
        <f>총괄PL!J36+총괄PL!J71</f>
        <v>413356.77790969302</v>
      </c>
      <c r="K205" s="370">
        <f>총괄PL!K36+총괄PL!K71</f>
        <v>1602737.6188356928</v>
      </c>
      <c r="L205" s="370">
        <f>총괄PL!L36+총괄PL!L71</f>
        <v>1784495.2351628714</v>
      </c>
      <c r="M205" s="370">
        <f>총괄PL!M36+총괄PL!M71</f>
        <v>1976974.1504216939</v>
      </c>
      <c r="N205" s="370">
        <f>총괄PL!N36+총괄PL!N71</f>
        <v>2179536.8631453356</v>
      </c>
      <c r="O205" s="370">
        <f>총괄PL!O36+총괄PL!O71</f>
        <v>2382101.8974002386</v>
      </c>
      <c r="P205" s="370">
        <f>총괄PL!P36+총괄PL!P71</f>
        <v>2598025.6001117611</v>
      </c>
      <c r="Q205" s="370">
        <f>총괄PL!Q36+총괄PL!Q71</f>
        <v>2624005.8561128788</v>
      </c>
    </row>
    <row r="206" spans="2:19" ht="17.399999999999999">
      <c r="B206" s="369"/>
      <c r="C206" s="369" t="s">
        <v>717</v>
      </c>
      <c r="D206" s="370"/>
      <c r="E206" s="371">
        <f>E205/E204</f>
        <v>57.874403099817286</v>
      </c>
      <c r="F206" s="371">
        <f t="shared" ref="F206:H206" si="90">F205/F204</f>
        <v>34.223194085649986</v>
      </c>
      <c r="G206" s="371">
        <f t="shared" si="90"/>
        <v>30.813643596497336</v>
      </c>
      <c r="H206" s="371">
        <f t="shared" si="90"/>
        <v>29.965120314519567</v>
      </c>
      <c r="I206" s="371">
        <f>I205*12/9/I204</f>
        <v>34.332360526825191</v>
      </c>
      <c r="J206" s="371">
        <f>CHOOSE($J$183,I206,AVERAGE(H206:I206),AVERAGE(F206:I206))</f>
        <v>32.333579630873018</v>
      </c>
      <c r="K206" s="370"/>
      <c r="L206" s="371">
        <f t="shared" ref="L206:Q206" si="91">$S206</f>
        <v>32.333579630873018</v>
      </c>
      <c r="M206" s="371">
        <f t="shared" si="91"/>
        <v>32.333579630873018</v>
      </c>
      <c r="N206" s="371">
        <f t="shared" si="91"/>
        <v>32.333579630873018</v>
      </c>
      <c r="O206" s="371">
        <f t="shared" si="91"/>
        <v>32.333579630873018</v>
      </c>
      <c r="P206" s="371">
        <f t="shared" si="91"/>
        <v>32.333579630873018</v>
      </c>
      <c r="Q206" s="371">
        <f t="shared" si="91"/>
        <v>32.333579630873018</v>
      </c>
      <c r="S206" s="372">
        <f>J206</f>
        <v>32.333579630873018</v>
      </c>
    </row>
    <row r="207" spans="2:19" ht="17.399999999999999">
      <c r="B207" s="369"/>
      <c r="C207" s="369" t="s">
        <v>718</v>
      </c>
      <c r="D207" s="370"/>
      <c r="E207" s="370">
        <f>365/E206</f>
        <v>6.3067605098315447</v>
      </c>
      <c r="F207" s="370">
        <f t="shared" ref="F207:J207" si="92">365/F206</f>
        <v>10.665281536449193</v>
      </c>
      <c r="G207" s="370">
        <f t="shared" si="92"/>
        <v>11.845402146518319</v>
      </c>
      <c r="H207" s="370">
        <f t="shared" si="92"/>
        <v>12.180828782560891</v>
      </c>
      <c r="I207" s="370">
        <f t="shared" si="92"/>
        <v>10.631369192188561</v>
      </c>
      <c r="J207" s="371">
        <f t="shared" si="92"/>
        <v>11.288573803671513</v>
      </c>
      <c r="K207" s="370"/>
      <c r="L207" s="370">
        <f t="shared" ref="L207:Q207" si="93">365/L206</f>
        <v>11.288573803671513</v>
      </c>
      <c r="M207" s="370">
        <f t="shared" si="93"/>
        <v>11.288573803671513</v>
      </c>
      <c r="N207" s="370">
        <f t="shared" si="93"/>
        <v>11.288573803671513</v>
      </c>
      <c r="O207" s="370">
        <f t="shared" si="93"/>
        <v>11.288573803671513</v>
      </c>
      <c r="P207" s="370">
        <f t="shared" si="93"/>
        <v>11.288573803671513</v>
      </c>
      <c r="Q207" s="370">
        <f t="shared" si="93"/>
        <v>11.288573803671513</v>
      </c>
    </row>
    <row r="209" spans="2:19" ht="17.399999999999999">
      <c r="B209" s="369" t="s">
        <v>659</v>
      </c>
      <c r="C209" s="369"/>
      <c r="D209" s="370"/>
      <c r="E209" s="370"/>
      <c r="F209" s="370"/>
      <c r="G209" s="370"/>
      <c r="H209" s="370"/>
      <c r="I209" s="370"/>
      <c r="J209" s="370"/>
      <c r="K209" s="370"/>
      <c r="L209" s="370"/>
      <c r="M209" s="370"/>
      <c r="N209" s="370"/>
      <c r="O209" s="370"/>
      <c r="P209" s="370"/>
      <c r="Q209" s="370"/>
    </row>
    <row r="210" spans="2:19" ht="17.399999999999999">
      <c r="B210" s="369"/>
      <c r="C210" s="369" t="s">
        <v>726</v>
      </c>
      <c r="D210" s="370"/>
      <c r="E210" s="370">
        <v>4019.082445</v>
      </c>
      <c r="F210" s="370">
        <v>4755.7570859999996</v>
      </c>
      <c r="G210" s="370">
        <v>6265.9387880000004</v>
      </c>
      <c r="H210" s="370">
        <v>11003.714</v>
      </c>
      <c r="I210" s="370">
        <v>19119.36</v>
      </c>
      <c r="J210" s="370">
        <f>SUM(I211:J211)/J212</f>
        <v>10230.810164265722</v>
      </c>
      <c r="K210" s="370">
        <f>J210</f>
        <v>10230.810164265722</v>
      </c>
      <c r="L210" s="370">
        <f>L211/L212</f>
        <v>11391.029807642944</v>
      </c>
      <c r="M210" s="370">
        <f t="shared" ref="M210:Q210" si="94">M211/M212</f>
        <v>12619.687087221455</v>
      </c>
      <c r="N210" s="370">
        <f t="shared" si="94"/>
        <v>13912.712617962881</v>
      </c>
      <c r="O210" s="370">
        <f t="shared" si="94"/>
        <v>15205.752967814649</v>
      </c>
      <c r="P210" s="370">
        <f t="shared" si="94"/>
        <v>16584.066165461882</v>
      </c>
      <c r="Q210" s="370">
        <f t="shared" si="94"/>
        <v>16749.906827116502</v>
      </c>
    </row>
    <row r="211" spans="2:19" ht="17.399999999999999">
      <c r="B211" s="369"/>
      <c r="C211" s="369" t="s">
        <v>672</v>
      </c>
      <c r="D211" s="370"/>
      <c r="E211" s="370">
        <v>1007568.0464239999</v>
      </c>
      <c r="F211" s="370">
        <v>1046813.274816</v>
      </c>
      <c r="G211" s="370">
        <v>1214429.3415059999</v>
      </c>
      <c r="H211" s="370">
        <f>총괄PL!H36+총괄PL!H71</f>
        <v>1427821.0826590001</v>
      </c>
      <c r="I211" s="370">
        <f>총괄PL!I36+총괄PL!I71</f>
        <v>1189380.8409259999</v>
      </c>
      <c r="J211" s="370">
        <f>총괄PL!J36+총괄PL!J71</f>
        <v>413356.77790969302</v>
      </c>
      <c r="K211" s="370">
        <f>총괄PL!K36+총괄PL!K71</f>
        <v>1602737.6188356928</v>
      </c>
      <c r="L211" s="370">
        <f>총괄PL!L36+총괄PL!L71</f>
        <v>1784495.2351628714</v>
      </c>
      <c r="M211" s="370">
        <f>총괄PL!M36+총괄PL!M71</f>
        <v>1976974.1504216939</v>
      </c>
      <c r="N211" s="370">
        <f>총괄PL!N36+총괄PL!N71</f>
        <v>2179536.8631453356</v>
      </c>
      <c r="O211" s="370">
        <f>총괄PL!O36+총괄PL!O71</f>
        <v>2382101.8974002386</v>
      </c>
      <c r="P211" s="370">
        <f>총괄PL!P36+총괄PL!P71</f>
        <v>2598025.6001117611</v>
      </c>
      <c r="Q211" s="370">
        <f>총괄PL!Q36+총괄PL!Q71</f>
        <v>2624005.8561128788</v>
      </c>
    </row>
    <row r="212" spans="2:19" ht="17.399999999999999">
      <c r="B212" s="369"/>
      <c r="C212" s="369" t="s">
        <v>717</v>
      </c>
      <c r="D212" s="370"/>
      <c r="E212" s="371">
        <f>E211/E210</f>
        <v>250.69603826552006</v>
      </c>
      <c r="F212" s="371">
        <f t="shared" ref="F212:H212" si="95">F211/F210</f>
        <v>220.11495875128054</v>
      </c>
      <c r="G212" s="371">
        <f t="shared" si="95"/>
        <v>193.81442790851597</v>
      </c>
      <c r="H212" s="371">
        <f t="shared" si="95"/>
        <v>129.75810555045325</v>
      </c>
      <c r="I212" s="371">
        <f>I211*12/9/I210</f>
        <v>82.944257612946586</v>
      </c>
      <c r="J212" s="371">
        <f>CHOOSE($J$183,I212,AVERAGE(H212:I212),AVERAGE(F212:I212))</f>
        <v>156.65793745579907</v>
      </c>
      <c r="K212" s="370"/>
      <c r="L212" s="371">
        <f t="shared" ref="L212:Q212" si="96">$S212</f>
        <v>156.65793745579907</v>
      </c>
      <c r="M212" s="371">
        <f t="shared" si="96"/>
        <v>156.65793745579907</v>
      </c>
      <c r="N212" s="371">
        <f t="shared" si="96"/>
        <v>156.65793745579907</v>
      </c>
      <c r="O212" s="371">
        <f t="shared" si="96"/>
        <v>156.65793745579907</v>
      </c>
      <c r="P212" s="371">
        <f t="shared" si="96"/>
        <v>156.65793745579907</v>
      </c>
      <c r="Q212" s="371">
        <f t="shared" si="96"/>
        <v>156.65793745579907</v>
      </c>
      <c r="S212" s="372">
        <f>J212</f>
        <v>156.65793745579907</v>
      </c>
    </row>
    <row r="213" spans="2:19" ht="17.399999999999999">
      <c r="B213" s="369"/>
      <c r="C213" s="369" t="s">
        <v>718</v>
      </c>
      <c r="D213" s="370"/>
      <c r="E213" s="370">
        <f>365/E212</f>
        <v>1.4559464223101006</v>
      </c>
      <c r="F213" s="370">
        <f t="shared" ref="F213:J213" si="97">365/F212</f>
        <v>1.6582244208692454</v>
      </c>
      <c r="G213" s="370">
        <f t="shared" si="97"/>
        <v>1.8832447302235251</v>
      </c>
      <c r="H213" s="370">
        <f t="shared" si="97"/>
        <v>2.8129263944754395</v>
      </c>
      <c r="I213" s="370">
        <f t="shared" si="97"/>
        <v>4.4005457460749877</v>
      </c>
      <c r="J213" s="371">
        <f t="shared" si="97"/>
        <v>2.3299170532165632</v>
      </c>
      <c r="K213" s="370"/>
      <c r="L213" s="370">
        <f t="shared" ref="L213:Q213" si="98">365/L212</f>
        <v>2.3299170532165632</v>
      </c>
      <c r="M213" s="370">
        <f t="shared" si="98"/>
        <v>2.3299170532165632</v>
      </c>
      <c r="N213" s="370">
        <f t="shared" si="98"/>
        <v>2.3299170532165632</v>
      </c>
      <c r="O213" s="370">
        <f t="shared" si="98"/>
        <v>2.3299170532165632</v>
      </c>
      <c r="P213" s="370">
        <f t="shared" si="98"/>
        <v>2.3299170532165632</v>
      </c>
      <c r="Q213" s="370">
        <f t="shared" si="98"/>
        <v>2.3299170532165632</v>
      </c>
    </row>
    <row r="215" spans="2:19" ht="17.399999999999999">
      <c r="B215" s="369" t="s">
        <v>727</v>
      </c>
      <c r="C215" s="369"/>
      <c r="D215" s="370"/>
      <c r="E215" s="370"/>
      <c r="F215" s="370"/>
      <c r="G215" s="370"/>
      <c r="H215" s="370"/>
      <c r="I215" s="370"/>
      <c r="J215" s="370"/>
      <c r="K215" s="370"/>
      <c r="L215" s="370"/>
      <c r="M215" s="370"/>
      <c r="N215" s="370"/>
      <c r="O215" s="370"/>
      <c r="P215" s="370"/>
      <c r="Q215" s="370"/>
    </row>
    <row r="216" spans="2:19" ht="17.399999999999999">
      <c r="B216" s="369"/>
      <c r="C216" s="369" t="s">
        <v>728</v>
      </c>
      <c r="D216" s="370"/>
      <c r="E216" s="370">
        <v>97713.748991999993</v>
      </c>
      <c r="F216" s="370">
        <v>118584.148396</v>
      </c>
      <c r="G216" s="370">
        <v>130554.04244400001</v>
      </c>
      <c r="H216" s="370">
        <v>141244.75</v>
      </c>
      <c r="I216" s="370">
        <v>130508.883</v>
      </c>
      <c r="J216" s="370">
        <f>SUM(I217:J217)/J218</f>
        <v>158727.06903969115</v>
      </c>
      <c r="K216" s="370">
        <f>J216</f>
        <v>158727.06903969115</v>
      </c>
      <c r="L216" s="370">
        <f>L217/L218</f>
        <v>176727.42878429595</v>
      </c>
      <c r="M216" s="370">
        <f t="shared" ref="M216:Q216" si="99">M217/M218</f>
        <v>195789.57202715948</v>
      </c>
      <c r="N216" s="370">
        <f t="shared" si="99"/>
        <v>215850.36383081696</v>
      </c>
      <c r="O216" s="370">
        <f t="shared" si="99"/>
        <v>235911.38554724897</v>
      </c>
      <c r="P216" s="370">
        <f t="shared" si="99"/>
        <v>257295.38256885449</v>
      </c>
      <c r="Q216" s="370">
        <f t="shared" si="99"/>
        <v>259868.33639454306</v>
      </c>
    </row>
    <row r="217" spans="2:19" ht="17.399999999999999">
      <c r="B217" s="369"/>
      <c r="C217" s="369" t="s">
        <v>723</v>
      </c>
      <c r="D217" s="370"/>
      <c r="E217" s="370">
        <v>1007568.0464239999</v>
      </c>
      <c r="F217" s="370">
        <v>1046813.274816</v>
      </c>
      <c r="G217" s="370">
        <v>1214429.3415059999</v>
      </c>
      <c r="H217" s="370">
        <f>총괄PL!H36+총괄PL!H71</f>
        <v>1427821.0826590001</v>
      </c>
      <c r="I217" s="370">
        <f>총괄PL!I36+총괄PL!I71</f>
        <v>1189380.8409259999</v>
      </c>
      <c r="J217" s="370">
        <f>총괄PL!J36+총괄PL!J71</f>
        <v>413356.77790969302</v>
      </c>
      <c r="K217" s="370">
        <f>총괄PL!K36+총괄PL!K71</f>
        <v>1602737.6188356928</v>
      </c>
      <c r="L217" s="370">
        <f>총괄PL!L36+총괄PL!L71</f>
        <v>1784495.2351628714</v>
      </c>
      <c r="M217" s="370">
        <f>총괄PL!M36+총괄PL!M71</f>
        <v>1976974.1504216939</v>
      </c>
      <c r="N217" s="370">
        <f>총괄PL!N36+총괄PL!N71</f>
        <v>2179536.8631453356</v>
      </c>
      <c r="O217" s="370">
        <f>총괄PL!O36+총괄PL!O71</f>
        <v>2382101.8974002386</v>
      </c>
      <c r="P217" s="370">
        <f>총괄PL!P36+총괄PL!P71</f>
        <v>2598025.6001117611</v>
      </c>
      <c r="Q217" s="370">
        <f>총괄PL!Q36+총괄PL!Q71</f>
        <v>2624005.8561128788</v>
      </c>
    </row>
    <row r="218" spans="2:19" ht="17.399999999999999">
      <c r="B218" s="369"/>
      <c r="C218" s="369" t="s">
        <v>717</v>
      </c>
      <c r="D218" s="370"/>
      <c r="E218" s="371">
        <f>E217/E216</f>
        <v>10.311425534460779</v>
      </c>
      <c r="F218" s="371">
        <f t="shared" ref="F218:H218" si="100">F217/F216</f>
        <v>8.8275987050163813</v>
      </c>
      <c r="G218" s="371">
        <f t="shared" si="100"/>
        <v>9.3021197871135897</v>
      </c>
      <c r="H218" s="371">
        <f t="shared" si="100"/>
        <v>10.108843568762733</v>
      </c>
      <c r="I218" s="371">
        <f>I217*12/9/I216</f>
        <v>12.151212122738546</v>
      </c>
      <c r="J218" s="371">
        <f>CHOOSE($J$183,I218,AVERAGE(H218:I218),AVERAGE(F218:I218))</f>
        <v>10.097443545907812</v>
      </c>
      <c r="K218" s="370"/>
      <c r="L218" s="371">
        <f t="shared" ref="L218:Q218" si="101">$S218</f>
        <v>10.097443545907812</v>
      </c>
      <c r="M218" s="371">
        <f t="shared" si="101"/>
        <v>10.097443545907812</v>
      </c>
      <c r="N218" s="371">
        <f t="shared" si="101"/>
        <v>10.097443545907812</v>
      </c>
      <c r="O218" s="371">
        <f t="shared" si="101"/>
        <v>10.097443545907812</v>
      </c>
      <c r="P218" s="371">
        <f t="shared" si="101"/>
        <v>10.097443545907812</v>
      </c>
      <c r="Q218" s="371">
        <f t="shared" si="101"/>
        <v>10.097443545907812</v>
      </c>
      <c r="S218" s="372">
        <f>J218</f>
        <v>10.097443545907812</v>
      </c>
    </row>
    <row r="219" spans="2:19" ht="17.399999999999999">
      <c r="B219" s="369"/>
      <c r="C219" s="369" t="s">
        <v>718</v>
      </c>
      <c r="D219" s="370"/>
      <c r="E219" s="370">
        <f>365/E218</f>
        <v>35.397627493906654</v>
      </c>
      <c r="F219" s="370">
        <f t="shared" ref="F219:J219" si="102">365/F218</f>
        <v>41.34759770996213</v>
      </c>
      <c r="G219" s="370">
        <f t="shared" si="102"/>
        <v>39.238368065915651</v>
      </c>
      <c r="H219" s="370">
        <f t="shared" si="102"/>
        <v>36.10699854213631</v>
      </c>
      <c r="I219" s="370">
        <f t="shared" si="102"/>
        <v>30.038155561203315</v>
      </c>
      <c r="J219" s="371">
        <f t="shared" si="102"/>
        <v>36.147763376000597</v>
      </c>
      <c r="K219" s="370"/>
      <c r="L219" s="370">
        <f t="shared" ref="L219:Q219" si="103">365/L218</f>
        <v>36.147763376000597</v>
      </c>
      <c r="M219" s="370">
        <f t="shared" si="103"/>
        <v>36.147763376000597</v>
      </c>
      <c r="N219" s="370">
        <f t="shared" si="103"/>
        <v>36.147763376000597</v>
      </c>
      <c r="O219" s="370">
        <f t="shared" si="103"/>
        <v>36.147763376000597</v>
      </c>
      <c r="P219" s="370">
        <f t="shared" si="103"/>
        <v>36.147763376000597</v>
      </c>
      <c r="Q219" s="370">
        <f t="shared" si="103"/>
        <v>36.147763376000597</v>
      </c>
    </row>
    <row r="221" spans="2:19" ht="17.399999999999999">
      <c r="B221" s="369" t="s">
        <v>729</v>
      </c>
      <c r="C221" s="369"/>
      <c r="D221" s="370"/>
      <c r="E221" s="370"/>
      <c r="F221" s="370"/>
      <c r="G221" s="370"/>
      <c r="H221" s="370"/>
      <c r="I221" s="370"/>
      <c r="J221" s="370"/>
      <c r="K221" s="370"/>
      <c r="L221" s="370"/>
      <c r="M221" s="370"/>
      <c r="N221" s="370"/>
      <c r="O221" s="370"/>
      <c r="P221" s="370"/>
      <c r="Q221" s="370"/>
    </row>
    <row r="222" spans="2:19" ht="17.399999999999999">
      <c r="B222" s="369"/>
      <c r="C222" s="369" t="s">
        <v>730</v>
      </c>
      <c r="D222" s="370"/>
      <c r="E222" s="370">
        <v>77413.470159000004</v>
      </c>
      <c r="F222" s="370">
        <v>80029.598918000003</v>
      </c>
      <c r="G222" s="370">
        <v>89440.730448999995</v>
      </c>
      <c r="H222" s="370">
        <f>106172.983+8871.353</f>
        <v>115044.336</v>
      </c>
      <c r="I222" s="370">
        <f>96831.228+7703.606</f>
        <v>104534.834</v>
      </c>
      <c r="J222" s="370">
        <f>SUM(I223:J223)/J224</f>
        <v>118196.27732277407</v>
      </c>
      <c r="K222" s="370">
        <f>J222</f>
        <v>118196.27732277407</v>
      </c>
      <c r="L222" s="370">
        <f>L223/L224</f>
        <v>131600.26395942637</v>
      </c>
      <c r="M222" s="370">
        <f t="shared" ref="M222:Q222" si="104">M223/M224</f>
        <v>145794.90878422646</v>
      </c>
      <c r="N222" s="370">
        <f t="shared" si="104"/>
        <v>160733.19830021707</v>
      </c>
      <c r="O222" s="370">
        <f t="shared" si="104"/>
        <v>175671.65902099473</v>
      </c>
      <c r="P222" s="370">
        <f t="shared" si="104"/>
        <v>191595.27468104978</v>
      </c>
      <c r="Q222" s="370">
        <f t="shared" si="104"/>
        <v>193511.22742786026</v>
      </c>
    </row>
    <row r="223" spans="2:19" ht="17.399999999999999">
      <c r="B223" s="369"/>
      <c r="C223" s="369" t="s">
        <v>723</v>
      </c>
      <c r="D223" s="370"/>
      <c r="E223" s="370">
        <v>1007568.0464239999</v>
      </c>
      <c r="F223" s="370">
        <v>1046813.274816</v>
      </c>
      <c r="G223" s="370">
        <v>1214429.3415059999</v>
      </c>
      <c r="H223" s="370">
        <f>총괄PL!H36+총괄PL!H71</f>
        <v>1427821.0826590001</v>
      </c>
      <c r="I223" s="370">
        <f>총괄PL!I36+총괄PL!I71</f>
        <v>1189380.8409259999</v>
      </c>
      <c r="J223" s="370">
        <f>총괄PL!J36+총괄PL!J71</f>
        <v>413356.77790969302</v>
      </c>
      <c r="K223" s="370">
        <f>총괄PL!K36+총괄PL!K71</f>
        <v>1602737.6188356928</v>
      </c>
      <c r="L223" s="370">
        <f>총괄PL!L36+총괄PL!L71</f>
        <v>1784495.2351628714</v>
      </c>
      <c r="M223" s="370">
        <f>총괄PL!M36+총괄PL!M71</f>
        <v>1976974.1504216939</v>
      </c>
      <c r="N223" s="370">
        <f>총괄PL!N36+총괄PL!N71</f>
        <v>2179536.8631453356</v>
      </c>
      <c r="O223" s="370">
        <f>총괄PL!O36+총괄PL!O71</f>
        <v>2382101.8974002386</v>
      </c>
      <c r="P223" s="370">
        <f>총괄PL!P36+총괄PL!P71</f>
        <v>2598025.6001117611</v>
      </c>
      <c r="Q223" s="370">
        <f>총괄PL!Q36+총괄PL!Q71</f>
        <v>2624005.8561128788</v>
      </c>
    </row>
    <row r="224" spans="2:19" ht="17.399999999999999">
      <c r="B224" s="369"/>
      <c r="C224" s="369" t="s">
        <v>717</v>
      </c>
      <c r="D224" s="370"/>
      <c r="E224" s="371">
        <f>E223/E222</f>
        <v>13.015409906758471</v>
      </c>
      <c r="F224" s="371">
        <f t="shared" ref="F224:H224" si="105">F223/F222</f>
        <v>13.080326391346615</v>
      </c>
      <c r="G224" s="371">
        <f t="shared" si="105"/>
        <v>13.578034698615076</v>
      </c>
      <c r="H224" s="371">
        <f t="shared" si="105"/>
        <v>12.411050663624154</v>
      </c>
      <c r="I224" s="371">
        <f>I223*12/9/I222</f>
        <v>15.170456206346168</v>
      </c>
      <c r="J224" s="371">
        <f>CHOOSE($J$183,I224,AVERAGE(H224:I224),AVERAGE(F224:I224))</f>
        <v>13.559966989983003</v>
      </c>
      <c r="K224" s="370"/>
      <c r="L224" s="371">
        <f t="shared" ref="L224:Q224" si="106">$S224</f>
        <v>13.559966989983003</v>
      </c>
      <c r="M224" s="371">
        <f t="shared" si="106"/>
        <v>13.559966989983003</v>
      </c>
      <c r="N224" s="371">
        <f t="shared" si="106"/>
        <v>13.559966989983003</v>
      </c>
      <c r="O224" s="371">
        <f t="shared" si="106"/>
        <v>13.559966989983003</v>
      </c>
      <c r="P224" s="371">
        <f t="shared" si="106"/>
        <v>13.559966989983003</v>
      </c>
      <c r="Q224" s="371">
        <f t="shared" si="106"/>
        <v>13.559966989983003</v>
      </c>
      <c r="S224" s="372">
        <f>J224</f>
        <v>13.559966989983003</v>
      </c>
    </row>
    <row r="225" spans="2:19" ht="17.399999999999999">
      <c r="B225" s="369"/>
      <c r="C225" s="369" t="s">
        <v>718</v>
      </c>
      <c r="D225" s="370"/>
      <c r="E225" s="370">
        <f>365/E224</f>
        <v>28.043680730367747</v>
      </c>
      <c r="F225" s="370">
        <f t="shared" ref="F225:J225" si="107">365/F224</f>
        <v>27.904502462680778</v>
      </c>
      <c r="G225" s="370">
        <f t="shared" si="107"/>
        <v>26.881651733975097</v>
      </c>
      <c r="H225" s="370">
        <f t="shared" si="107"/>
        <v>29.40927483841374</v>
      </c>
      <c r="I225" s="370">
        <f t="shared" si="107"/>
        <v>24.059922459504659</v>
      </c>
      <c r="J225" s="371">
        <f t="shared" si="107"/>
        <v>26.917469656794314</v>
      </c>
      <c r="K225" s="370"/>
      <c r="L225" s="370">
        <f t="shared" ref="L225:Q225" si="108">365/L224</f>
        <v>26.917469656794314</v>
      </c>
      <c r="M225" s="370">
        <f t="shared" si="108"/>
        <v>26.917469656794314</v>
      </c>
      <c r="N225" s="370">
        <f t="shared" si="108"/>
        <v>26.917469656794314</v>
      </c>
      <c r="O225" s="370">
        <f t="shared" si="108"/>
        <v>26.917469656794314</v>
      </c>
      <c r="P225" s="370">
        <f t="shared" si="108"/>
        <v>26.917469656794314</v>
      </c>
      <c r="Q225" s="370">
        <f t="shared" si="108"/>
        <v>26.917469656794314</v>
      </c>
    </row>
    <row r="227" spans="2:19" ht="17.399999999999999">
      <c r="B227" s="369" t="s">
        <v>731</v>
      </c>
      <c r="C227" s="369"/>
      <c r="D227" s="370"/>
      <c r="E227" s="370"/>
      <c r="F227" s="370"/>
      <c r="G227" s="370"/>
      <c r="H227" s="370"/>
      <c r="I227" s="370"/>
      <c r="J227" s="370"/>
      <c r="K227" s="370"/>
      <c r="L227" s="370"/>
      <c r="M227" s="370"/>
      <c r="N227" s="370"/>
      <c r="O227" s="370"/>
      <c r="P227" s="370"/>
      <c r="Q227" s="370"/>
    </row>
    <row r="228" spans="2:19" ht="17.399999999999999">
      <c r="B228" s="369"/>
      <c r="C228" s="369" t="s">
        <v>732</v>
      </c>
      <c r="D228" s="370"/>
      <c r="E228" s="370">
        <v>70845.171726999994</v>
      </c>
      <c r="F228" s="370">
        <v>80037.061264999997</v>
      </c>
      <c r="G228" s="370">
        <v>88461.474505000006</v>
      </c>
      <c r="H228" s="370">
        <f>95989.599+20481.272</f>
        <v>116470.871</v>
      </c>
      <c r="I228" s="370">
        <f>109940.705+33201.59</f>
        <v>143142.29499999998</v>
      </c>
      <c r="J228" s="370">
        <f>SUM(I229:J229)/J230</f>
        <v>127847.58037672391</v>
      </c>
      <c r="K228" s="370">
        <f>J228</f>
        <v>127847.58037672391</v>
      </c>
      <c r="L228" s="370">
        <f>L229/L230</f>
        <v>142346.06795783615</v>
      </c>
      <c r="M228" s="370">
        <f t="shared" ref="M228:Q228" si="109">M229/M230</f>
        <v>157699.77482799333</v>
      </c>
      <c r="N228" s="370">
        <f t="shared" si="109"/>
        <v>173857.84860870111</v>
      </c>
      <c r="O228" s="370">
        <f t="shared" si="109"/>
        <v>190016.10757390258</v>
      </c>
      <c r="P228" s="370">
        <f t="shared" si="109"/>
        <v>207239.96418850249</v>
      </c>
      <c r="Q228" s="370">
        <f t="shared" si="109"/>
        <v>209312.36383038751</v>
      </c>
    </row>
    <row r="229" spans="2:19" ht="17.399999999999999">
      <c r="B229" s="369"/>
      <c r="C229" s="369" t="s">
        <v>723</v>
      </c>
      <c r="D229" s="370"/>
      <c r="E229" s="370">
        <v>1007568.0464239999</v>
      </c>
      <c r="F229" s="370">
        <v>1046813.274816</v>
      </c>
      <c r="G229" s="370">
        <v>1214429.3415059999</v>
      </c>
      <c r="H229" s="370">
        <f>총괄PL!H36+총괄PL!H71</f>
        <v>1427821.0826590001</v>
      </c>
      <c r="I229" s="370">
        <f>총괄PL!I36+총괄PL!I71</f>
        <v>1189380.8409259999</v>
      </c>
      <c r="J229" s="370">
        <f>총괄PL!J36+총괄PL!J71</f>
        <v>413356.77790969302</v>
      </c>
      <c r="K229" s="370">
        <f>총괄PL!K36+총괄PL!K71</f>
        <v>1602737.6188356928</v>
      </c>
      <c r="L229" s="370">
        <f>총괄PL!L36+총괄PL!L71</f>
        <v>1784495.2351628714</v>
      </c>
      <c r="M229" s="370">
        <f>총괄PL!M36+총괄PL!M71</f>
        <v>1976974.1504216939</v>
      </c>
      <c r="N229" s="370">
        <f>총괄PL!N36+총괄PL!N71</f>
        <v>2179536.8631453356</v>
      </c>
      <c r="O229" s="370">
        <f>총괄PL!O36+총괄PL!O71</f>
        <v>2382101.8974002386</v>
      </c>
      <c r="P229" s="370">
        <f>총괄PL!P36+총괄PL!P71</f>
        <v>2598025.6001117611</v>
      </c>
      <c r="Q229" s="370">
        <f>총괄PL!Q36+총괄PL!Q71</f>
        <v>2624005.8561128788</v>
      </c>
    </row>
    <row r="230" spans="2:19" ht="17.399999999999999">
      <c r="B230" s="369"/>
      <c r="C230" s="369" t="s">
        <v>717</v>
      </c>
      <c r="D230" s="370"/>
      <c r="E230" s="371">
        <f>E229/E228</f>
        <v>14.222113121648388</v>
      </c>
      <c r="F230" s="371">
        <f t="shared" ref="F230:H230" si="110">F229/F228</f>
        <v>13.079106832146632</v>
      </c>
      <c r="G230" s="371">
        <f t="shared" si="110"/>
        <v>13.728341612001483</v>
      </c>
      <c r="H230" s="371">
        <f t="shared" si="110"/>
        <v>12.25904013939245</v>
      </c>
      <c r="I230" s="371">
        <f>I229*12/9/I228</f>
        <v>11.078773895826295</v>
      </c>
      <c r="J230" s="371">
        <f>CHOOSE($J$183,I230,AVERAGE(H230:I230),AVERAGE(F230:I230))</f>
        <v>12.536315619841714</v>
      </c>
      <c r="K230" s="370"/>
      <c r="L230" s="371">
        <f t="shared" ref="L230:Q230" si="111">$S230</f>
        <v>12.536315619841714</v>
      </c>
      <c r="M230" s="371">
        <f t="shared" si="111"/>
        <v>12.536315619841714</v>
      </c>
      <c r="N230" s="371">
        <f t="shared" si="111"/>
        <v>12.536315619841714</v>
      </c>
      <c r="O230" s="371">
        <f t="shared" si="111"/>
        <v>12.536315619841714</v>
      </c>
      <c r="P230" s="371">
        <f t="shared" si="111"/>
        <v>12.536315619841714</v>
      </c>
      <c r="Q230" s="371">
        <f t="shared" si="111"/>
        <v>12.536315619841714</v>
      </c>
      <c r="S230" s="372">
        <f>J230</f>
        <v>12.536315619841714</v>
      </c>
    </row>
    <row r="231" spans="2:19" ht="17.399999999999999">
      <c r="B231" s="369"/>
      <c r="C231" s="369" t="s">
        <v>718</v>
      </c>
      <c r="D231" s="370"/>
      <c r="E231" s="370">
        <f>365/E230</f>
        <v>25.664259373975177</v>
      </c>
      <c r="F231" s="370">
        <f t="shared" ref="F231:J231" si="112">365/F230</f>
        <v>27.907104413497152</v>
      </c>
      <c r="G231" s="370">
        <f t="shared" si="112"/>
        <v>26.58733373016538</v>
      </c>
      <c r="H231" s="370">
        <f t="shared" si="112"/>
        <v>29.77394607161219</v>
      </c>
      <c r="I231" s="370">
        <f t="shared" si="112"/>
        <v>32.945884033025209</v>
      </c>
      <c r="J231" s="371">
        <f t="shared" si="112"/>
        <v>29.115412459965533</v>
      </c>
      <c r="K231" s="370"/>
      <c r="L231" s="370">
        <f t="shared" ref="L231:Q231" si="113">365/L230</f>
        <v>29.115412459965533</v>
      </c>
      <c r="M231" s="370">
        <f t="shared" si="113"/>
        <v>29.115412459965533</v>
      </c>
      <c r="N231" s="370">
        <f t="shared" si="113"/>
        <v>29.115412459965533</v>
      </c>
      <c r="O231" s="370">
        <f t="shared" si="113"/>
        <v>29.115412459965533</v>
      </c>
      <c r="P231" s="370">
        <f t="shared" si="113"/>
        <v>29.115412459965533</v>
      </c>
      <c r="Q231" s="370">
        <f t="shared" si="113"/>
        <v>29.115412459965533</v>
      </c>
    </row>
    <row r="233" spans="2:19" ht="17.399999999999999">
      <c r="B233" s="369" t="s">
        <v>733</v>
      </c>
      <c r="C233" s="369"/>
      <c r="D233" s="370"/>
      <c r="E233" s="370"/>
      <c r="F233" s="370"/>
      <c r="G233" s="370"/>
      <c r="H233" s="370"/>
      <c r="I233" s="370"/>
      <c r="J233" s="370"/>
      <c r="K233" s="370"/>
      <c r="L233" s="370"/>
      <c r="M233" s="370"/>
      <c r="N233" s="370"/>
      <c r="O233" s="370"/>
      <c r="P233" s="370"/>
      <c r="Q233" s="370"/>
    </row>
    <row r="234" spans="2:19" ht="17.399999999999999">
      <c r="B234" s="369"/>
      <c r="C234" s="369" t="s">
        <v>734</v>
      </c>
      <c r="D234" s="370"/>
      <c r="E234" s="370">
        <v>11531.055095</v>
      </c>
      <c r="F234" s="370">
        <v>9711.7261369999997</v>
      </c>
      <c r="G234" s="370">
        <v>8634.9040550000009</v>
      </c>
      <c r="H234" s="370">
        <v>8245.866</v>
      </c>
      <c r="I234" s="370">
        <v>7793.3450000000003</v>
      </c>
      <c r="J234" s="370">
        <f>SUM(I235:J235)/J236</f>
        <v>10225.789575255405</v>
      </c>
      <c r="K234" s="370">
        <f>J234</f>
        <v>10225.789575255405</v>
      </c>
      <c r="L234" s="370">
        <f>L235/L236</f>
        <v>11681.79876845059</v>
      </c>
      <c r="M234" s="370">
        <f t="shared" ref="M234:Q234" si="114">M235/M236</f>
        <v>13095.823830000283</v>
      </c>
      <c r="N234" s="370">
        <f t="shared" si="114"/>
        <v>14680.823868002561</v>
      </c>
      <c r="O234" s="370">
        <f t="shared" si="114"/>
        <v>16425.21639338378</v>
      </c>
      <c r="P234" s="370">
        <f t="shared" si="114"/>
        <v>18280.366698047921</v>
      </c>
      <c r="Q234" s="370">
        <f t="shared" si="114"/>
        <v>18463.1703650284</v>
      </c>
    </row>
    <row r="235" spans="2:19" ht="17.399999999999999">
      <c r="B235" s="369"/>
      <c r="C235" s="369" t="s">
        <v>616</v>
      </c>
      <c r="D235" s="370"/>
      <c r="E235" s="370">
        <v>1091384.4701719999</v>
      </c>
      <c r="F235" s="370">
        <v>1179454.4448230001</v>
      </c>
      <c r="G235" s="370">
        <v>1327150.42298</v>
      </c>
      <c r="H235" s="370">
        <f>총괄PL!H8</f>
        <v>1549714.140559</v>
      </c>
      <c r="I235" s="370">
        <f>총괄PL!I8</f>
        <v>1290462.7897739999</v>
      </c>
      <c r="J235" s="370">
        <f>총괄PL!J8</f>
        <v>457792.04757180525</v>
      </c>
      <c r="K235" s="370">
        <f>총괄PL!K8</f>
        <v>1748254.8373458053</v>
      </c>
      <c r="L235" s="370">
        <f>총괄PL!L8</f>
        <v>1997181.8367222683</v>
      </c>
      <c r="M235" s="370">
        <f>총괄PL!M8</f>
        <v>2238931.0078537022</v>
      </c>
      <c r="N235" s="370">
        <f>총괄PL!N8</f>
        <v>2509910.9613563693</v>
      </c>
      <c r="O235" s="370">
        <f>총괄PL!O8</f>
        <v>2808141.4939019615</v>
      </c>
      <c r="P235" s="370">
        <f>총괄PL!P8</f>
        <v>3125307.7596718711</v>
      </c>
      <c r="Q235" s="370">
        <f>총괄PL!Q8</f>
        <v>3156560.8372685895</v>
      </c>
    </row>
    <row r="236" spans="2:19" ht="17.399999999999999">
      <c r="B236" s="369"/>
      <c r="C236" s="369" t="s">
        <v>717</v>
      </c>
      <c r="D236" s="370"/>
      <c r="E236" s="371">
        <f>E235/E234</f>
        <v>94.647407473166695</v>
      </c>
      <c r="F236" s="371">
        <f t="shared" ref="F236:H236" si="115">F235/F234</f>
        <v>121.44642756445555</v>
      </c>
      <c r="G236" s="371">
        <f t="shared" si="115"/>
        <v>153.69602424378067</v>
      </c>
      <c r="H236" s="371">
        <f t="shared" si="115"/>
        <v>187.93831242940402</v>
      </c>
      <c r="I236" s="371">
        <f>I235*12/9/I234</f>
        <v>220.78030076071315</v>
      </c>
      <c r="J236" s="371">
        <f>CHOOSE($J$183,I236,AVERAGE(H236:I236),AVERAGE(F236:I236))</f>
        <v>170.96526624958835</v>
      </c>
      <c r="K236" s="370"/>
      <c r="L236" s="371">
        <f t="shared" ref="L236:Q236" si="116">$S236</f>
        <v>170.96526624958835</v>
      </c>
      <c r="M236" s="371">
        <f t="shared" si="116"/>
        <v>170.96526624958835</v>
      </c>
      <c r="N236" s="371">
        <f t="shared" si="116"/>
        <v>170.96526624958835</v>
      </c>
      <c r="O236" s="371">
        <f t="shared" si="116"/>
        <v>170.96526624958835</v>
      </c>
      <c r="P236" s="371">
        <f t="shared" si="116"/>
        <v>170.96526624958835</v>
      </c>
      <c r="Q236" s="371">
        <f t="shared" si="116"/>
        <v>170.96526624958835</v>
      </c>
      <c r="S236" s="372">
        <f>J236</f>
        <v>170.96526624958835</v>
      </c>
    </row>
    <row r="237" spans="2:19" ht="17.399999999999999">
      <c r="B237" s="369"/>
      <c r="C237" s="369" t="s">
        <v>718</v>
      </c>
      <c r="D237" s="370"/>
      <c r="E237" s="370">
        <f>365/E236</f>
        <v>3.8564183609939917</v>
      </c>
      <c r="F237" s="370">
        <f t="shared" ref="F237:J237" si="117">365/F236</f>
        <v>3.005440401334841</v>
      </c>
      <c r="G237" s="370">
        <f t="shared" si="117"/>
        <v>2.3748174475942552</v>
      </c>
      <c r="H237" s="370">
        <f t="shared" si="117"/>
        <v>1.9421266227294998</v>
      </c>
      <c r="I237" s="370">
        <f t="shared" si="117"/>
        <v>1.6532272070577327</v>
      </c>
      <c r="J237" s="371">
        <f t="shared" si="117"/>
        <v>2.1349365751704483</v>
      </c>
      <c r="K237" s="370"/>
      <c r="L237" s="370">
        <f t="shared" ref="L237:Q237" si="118">365/L236</f>
        <v>2.1349365751704483</v>
      </c>
      <c r="M237" s="370">
        <f t="shared" si="118"/>
        <v>2.1349365751704483</v>
      </c>
      <c r="N237" s="370">
        <f t="shared" si="118"/>
        <v>2.1349365751704483</v>
      </c>
      <c r="O237" s="370">
        <f t="shared" si="118"/>
        <v>2.1349365751704483</v>
      </c>
      <c r="P237" s="370">
        <f t="shared" si="118"/>
        <v>2.1349365751704483</v>
      </c>
      <c r="Q237" s="370">
        <f t="shared" si="118"/>
        <v>2.1349365751704483</v>
      </c>
    </row>
    <row r="239" spans="2:19" ht="17.399999999999999">
      <c r="B239" s="369" t="s">
        <v>735</v>
      </c>
      <c r="C239" s="369"/>
      <c r="D239" s="370"/>
      <c r="E239" s="370"/>
      <c r="F239" s="370"/>
      <c r="G239" s="370"/>
      <c r="H239" s="370"/>
      <c r="I239" s="370"/>
      <c r="J239" s="370"/>
      <c r="K239" s="370"/>
      <c r="L239" s="370"/>
      <c r="M239" s="370"/>
      <c r="N239" s="370"/>
      <c r="O239" s="370"/>
      <c r="P239" s="370"/>
      <c r="Q239" s="370"/>
    </row>
    <row r="240" spans="2:19" ht="17.399999999999999">
      <c r="B240" s="369"/>
      <c r="C240" s="369" t="s">
        <v>736</v>
      </c>
      <c r="D240" s="370"/>
      <c r="E240" s="370">
        <v>38005.018021999997</v>
      </c>
      <c r="F240" s="370">
        <v>27398.374425999998</v>
      </c>
      <c r="G240" s="370">
        <v>30183.025566</v>
      </c>
      <c r="H240" s="370">
        <f>24033.526+8390.445</f>
        <v>32423.971000000001</v>
      </c>
      <c r="I240" s="370">
        <f>25759.323+8739.29</f>
        <v>34498.612999999998</v>
      </c>
      <c r="J240" s="370">
        <f>SUM(I241:J241)/J242</f>
        <v>37863.815194028241</v>
      </c>
      <c r="K240" s="370">
        <f>J240</f>
        <v>37863.815194028241</v>
      </c>
      <c r="L240" s="370">
        <f>L241/L242</f>
        <v>43255.092083331103</v>
      </c>
      <c r="M240" s="370">
        <f t="shared" ref="M240:Q240" si="119">M241/M242</f>
        <v>48490.911108964116</v>
      </c>
      <c r="N240" s="370">
        <f t="shared" si="119"/>
        <v>54359.812290606809</v>
      </c>
      <c r="O240" s="370">
        <f t="shared" si="119"/>
        <v>60818.908257798088</v>
      </c>
      <c r="P240" s="370">
        <f t="shared" si="119"/>
        <v>67688.115547465379</v>
      </c>
      <c r="Q240" s="370">
        <f t="shared" si="119"/>
        <v>68364.996702940014</v>
      </c>
    </row>
    <row r="241" spans="2:19" ht="17.399999999999999">
      <c r="B241" s="369"/>
      <c r="C241" s="369" t="s">
        <v>616</v>
      </c>
      <c r="D241" s="370"/>
      <c r="E241" s="370">
        <v>1091384.4701719999</v>
      </c>
      <c r="F241" s="370">
        <v>1179454.4448230001</v>
      </c>
      <c r="G241" s="370">
        <v>1327150.42298</v>
      </c>
      <c r="H241" s="370">
        <f>총괄PL!H8</f>
        <v>1549714.140559</v>
      </c>
      <c r="I241" s="370">
        <f>총괄PL!I8</f>
        <v>1290462.7897739999</v>
      </c>
      <c r="J241" s="370">
        <f>총괄PL!J8</f>
        <v>457792.04757180525</v>
      </c>
      <c r="K241" s="370">
        <f>총괄PL!K8</f>
        <v>1748254.8373458053</v>
      </c>
      <c r="L241" s="370">
        <f>총괄PL!L8</f>
        <v>1997181.8367222683</v>
      </c>
      <c r="M241" s="370">
        <f>총괄PL!M8</f>
        <v>2238931.0078537022</v>
      </c>
      <c r="N241" s="370">
        <f>총괄PL!N8</f>
        <v>2509910.9613563693</v>
      </c>
      <c r="O241" s="370">
        <f>총괄PL!O8</f>
        <v>2808141.4939019615</v>
      </c>
      <c r="P241" s="370">
        <f>총괄PL!P8</f>
        <v>3125307.7596718711</v>
      </c>
      <c r="Q241" s="370">
        <f>총괄PL!Q8</f>
        <v>3156560.8372685895</v>
      </c>
    </row>
    <row r="242" spans="2:19" ht="17.399999999999999">
      <c r="B242" s="369"/>
      <c r="C242" s="369" t="s">
        <v>717</v>
      </c>
      <c r="D242" s="370"/>
      <c r="E242" s="371">
        <f>E241/E240</f>
        <v>28.716851799418414</v>
      </c>
      <c r="F242" s="371">
        <f t="shared" ref="F242:H242" si="120">F241/F240</f>
        <v>43.048336608749437</v>
      </c>
      <c r="G242" s="371">
        <f t="shared" si="120"/>
        <v>43.97009239772779</v>
      </c>
      <c r="H242" s="371">
        <f t="shared" si="120"/>
        <v>47.795322187988631</v>
      </c>
      <c r="I242" s="371">
        <f>I241*12/9/I240</f>
        <v>49.874963176983385</v>
      </c>
      <c r="J242" s="371">
        <f>CHOOSE($J$183,I242,AVERAGE(H242:I242),AVERAGE(F242:I242))</f>
        <v>46.172178592862309</v>
      </c>
      <c r="K242" s="370"/>
      <c r="L242" s="371">
        <f t="shared" ref="L242:Q242" si="121">$S242</f>
        <v>46.172178592862309</v>
      </c>
      <c r="M242" s="371">
        <f t="shared" si="121"/>
        <v>46.172178592862309</v>
      </c>
      <c r="N242" s="371">
        <f t="shared" si="121"/>
        <v>46.172178592862309</v>
      </c>
      <c r="O242" s="371">
        <f t="shared" si="121"/>
        <v>46.172178592862309</v>
      </c>
      <c r="P242" s="371">
        <f t="shared" si="121"/>
        <v>46.172178592862309</v>
      </c>
      <c r="Q242" s="371">
        <f t="shared" si="121"/>
        <v>46.172178592862309</v>
      </c>
      <c r="S242" s="372">
        <f>J242</f>
        <v>46.172178592862309</v>
      </c>
    </row>
    <row r="243" spans="2:19" ht="17.399999999999999">
      <c r="B243" s="369"/>
      <c r="C243" s="369" t="s">
        <v>718</v>
      </c>
      <c r="D243" s="370"/>
      <c r="E243" s="370">
        <f>365/E242</f>
        <v>12.710306914889332</v>
      </c>
      <c r="F243" s="370">
        <f t="shared" ref="F243:J243" si="122">365/F242</f>
        <v>8.4788409670122977</v>
      </c>
      <c r="G243" s="370">
        <f t="shared" si="122"/>
        <v>8.3010969524108127</v>
      </c>
      <c r="H243" s="370">
        <f t="shared" si="122"/>
        <v>7.636730610673184</v>
      </c>
      <c r="I243" s="370">
        <f t="shared" si="122"/>
        <v>7.318301142494728</v>
      </c>
      <c r="J243" s="371">
        <f t="shared" si="122"/>
        <v>7.9051933680345075</v>
      </c>
      <c r="K243" s="370"/>
      <c r="L243" s="370">
        <f t="shared" ref="L243:Q243" si="123">365/L242</f>
        <v>7.9051933680345075</v>
      </c>
      <c r="M243" s="370">
        <f t="shared" si="123"/>
        <v>7.9051933680345075</v>
      </c>
      <c r="N243" s="370">
        <f t="shared" si="123"/>
        <v>7.9051933680345075</v>
      </c>
      <c r="O243" s="370">
        <f t="shared" si="123"/>
        <v>7.9051933680345075</v>
      </c>
      <c r="P243" s="370">
        <f t="shared" si="123"/>
        <v>7.9051933680345075</v>
      </c>
      <c r="Q243" s="370">
        <f t="shared" si="123"/>
        <v>7.9051933680345075</v>
      </c>
    </row>
  </sheetData>
  <phoneticPr fontId="7" type="noConversion"/>
  <dataValidations disablePrompts="1" count="1">
    <dataValidation type="list" allowBlank="1" showInputMessage="1" showErrorMessage="1" sqref="K183" xr:uid="{7BD0137D-D191-474B-80BF-2D1975547068}">
      <formula1>"1) 22.3Q, 2) 21~22.3Q, 3) 19~22.3Q"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DCF</vt:lpstr>
      <vt:lpstr>총괄PL</vt:lpstr>
      <vt:lpstr>CyberSecurity</vt:lpstr>
      <vt:lpstr>Converged Security</vt:lpstr>
      <vt:lpstr>Physical Security</vt:lpstr>
      <vt:lpstr>Life Care Services</vt:lpstr>
      <vt:lpstr>Others&amp;NWC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Jeong-Haeng Heo</dc:creator>
  <cp:lastModifiedBy>Jeong-Haeng Heo</cp:lastModifiedBy>
  <dcterms:created xsi:type="dcterms:W3CDTF">2023-03-03T10:07:48Z</dcterms:created>
  <dcterms:modified xsi:type="dcterms:W3CDTF">2023-03-06T08:58:18Z</dcterms:modified>
</cp:coreProperties>
</file>