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nedrive-global.kpmg.com/personal/sjung15_kr_kpmg_com/Documents/바탕 화면/업무/Refinitiv/"/>
    </mc:Choice>
  </mc:AlternateContent>
  <xr:revisionPtr revIDLastSave="7" documentId="8_{334AACAE-900E-4DF1-818B-AFF0E9456E7A}" xr6:coauthVersionLast="47" xr6:coauthVersionMax="47" xr10:uidLastSave="{9E4233D5-7B45-4DE2-A3D1-3FFA8E35D362}"/>
  <bookViews>
    <workbookView xWindow="-120" yWindow="-120" windowWidth="28110" windowHeight="16440" activeTab="1" xr2:uid="{00000000-000D-0000-FFFF-FFFF00000000}"/>
  </bookViews>
  <sheets>
    <sheet name="Instructions" sheetId="4" r:id="rId1"/>
    <sheet name="Valuation" sheetId="1" r:id="rId2"/>
    <sheet name="Peers" sheetId="2" r:id="rId3"/>
    <sheet name="Sheet1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9" i="2" l="1" a="1"/>
  <c r="AH9" i="2" s="1"/>
  <c r="AG9" i="2" a="1"/>
  <c r="AG9" i="2" s="1"/>
  <c r="AD9" i="2" a="1"/>
  <c r="AD9" i="2" s="1"/>
  <c r="AC9" i="2" a="1"/>
  <c r="AC9" i="2" s="1"/>
  <c r="G36" i="1"/>
  <c r="I58" i="1"/>
  <c r="E11" i="1"/>
  <c r="AD5" i="1"/>
  <c r="F54" i="1"/>
  <c r="G50" i="1"/>
  <c r="I54" i="1"/>
  <c r="E36" i="1"/>
  <c r="I62" i="1"/>
  <c r="E54" i="1"/>
  <c r="E10" i="1"/>
  <c r="H54" i="1"/>
  <c r="D14" i="1"/>
  <c r="E22" i="1"/>
  <c r="E7" i="1"/>
  <c r="E43" i="1"/>
  <c r="I60" i="1"/>
  <c r="G54" i="1"/>
  <c r="D50" i="1"/>
  <c r="I50" i="1"/>
  <c r="I36" i="1"/>
  <c r="H36" i="1"/>
  <c r="J50" i="1"/>
  <c r="H50" i="1"/>
  <c r="F22" i="1"/>
  <c r="E9" i="1"/>
  <c r="F42" i="1"/>
  <c r="K50" i="1"/>
  <c r="F43" i="1"/>
  <c r="I56" i="1"/>
  <c r="F50" i="1" l="1"/>
  <c r="F36" i="1"/>
  <c r="E50" i="1"/>
  <c r="F20" i="1"/>
  <c r="F8" i="1"/>
  <c r="E20" i="1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Y53" i="2" s="1"/>
  <c r="D54" i="2"/>
  <c r="Y54" i="2" s="1"/>
  <c r="D55" i="2"/>
  <c r="V55" i="2" s="1"/>
  <c r="D56" i="2"/>
  <c r="V56" i="2" s="1"/>
  <c r="D57" i="2"/>
  <c r="U57" i="2" s="1"/>
  <c r="D58" i="2"/>
  <c r="Y58" i="2" s="1"/>
  <c r="D59" i="2"/>
  <c r="V59" i="2" s="1"/>
  <c r="D8" i="2"/>
  <c r="F27" i="1"/>
  <c r="BE8" i="2"/>
  <c r="G62" i="1"/>
  <c r="F28" i="1"/>
  <c r="E21" i="1"/>
  <c r="BJ8" i="2"/>
  <c r="BK8" i="2"/>
  <c r="CD5" i="2"/>
  <c r="AN8" i="2"/>
  <c r="F21" i="1"/>
  <c r="E62" i="1"/>
  <c r="AQ8" i="2"/>
  <c r="BI8" i="2"/>
  <c r="E41" i="1"/>
  <c r="E28" i="1"/>
  <c r="AM8" i="2"/>
  <c r="E45" i="1"/>
  <c r="E40" i="1"/>
  <c r="AO8" i="2"/>
  <c r="AP8" i="2"/>
  <c r="G8" i="2"/>
  <c r="H62" i="1"/>
  <c r="E42" i="1"/>
  <c r="K52" i="1"/>
  <c r="F26" i="1"/>
  <c r="F62" i="1"/>
  <c r="F23" i="1"/>
  <c r="BC8" i="2"/>
  <c r="BD8" i="2"/>
  <c r="E23" i="1"/>
  <c r="F8" i="2"/>
  <c r="AJ8" i="2"/>
  <c r="F41" i="1"/>
  <c r="E27" i="1"/>
  <c r="F40" i="1"/>
  <c r="E26" i="1"/>
  <c r="E8" i="2"/>
  <c r="CD6" i="2" l="1"/>
  <c r="Z53" i="2"/>
  <c r="U54" i="2"/>
  <c r="V54" i="2"/>
  <c r="V57" i="2"/>
  <c r="Z54" i="2"/>
  <c r="Z57" i="2"/>
  <c r="V53" i="2"/>
  <c r="U58" i="2"/>
  <c r="Z56" i="2"/>
  <c r="V58" i="2"/>
  <c r="U56" i="2"/>
  <c r="U53" i="2"/>
  <c r="Y57" i="2"/>
  <c r="Z58" i="2"/>
  <c r="U55" i="2"/>
  <c r="U59" i="2"/>
  <c r="Z59" i="2"/>
  <c r="Y55" i="2"/>
  <c r="Y56" i="2"/>
  <c r="Y59" i="2"/>
  <c r="Z55" i="2"/>
  <c r="CD10" i="2"/>
  <c r="V9" i="2" l="1" a="1"/>
  <c r="V9" i="2" s="1"/>
  <c r="D10" i="2"/>
  <c r="U9" i="2" a="1"/>
  <c r="U9" i="2" s="1"/>
  <c r="H5" i="2" l="1"/>
  <c r="R42" i="2"/>
  <c r="R43" i="2"/>
  <c r="R35" i="2"/>
  <c r="R32" i="2"/>
  <c r="R30" i="2"/>
  <c r="Z43" i="2"/>
  <c r="Y43" i="2"/>
  <c r="R26" i="2"/>
  <c r="R41" i="2"/>
  <c r="R39" i="2"/>
  <c r="R36" i="2"/>
  <c r="R40" i="2"/>
  <c r="R38" i="2"/>
  <c r="R37" i="2"/>
  <c r="R34" i="2"/>
  <c r="R31" i="2"/>
  <c r="R33" i="2"/>
  <c r="R21" i="2"/>
  <c r="R25" i="2"/>
  <c r="R20" i="2"/>
  <c r="R23" i="2"/>
  <c r="R27" i="2"/>
  <c r="R22" i="2"/>
  <c r="R29" i="2"/>
  <c r="R28" i="2"/>
  <c r="R24" i="2"/>
  <c r="E44" i="1"/>
  <c r="H51" i="1"/>
  <c r="AR8" i="2"/>
  <c r="F60" i="1"/>
  <c r="BB8" i="2"/>
  <c r="AY8" i="2"/>
  <c r="H61" i="1"/>
  <c r="F55" i="1"/>
  <c r="H40" i="1"/>
  <c r="G57" i="1"/>
  <c r="M8" i="2"/>
  <c r="G60" i="1"/>
  <c r="BR8" i="2"/>
  <c r="G53" i="1"/>
  <c r="H52" i="1"/>
  <c r="E55" i="1"/>
  <c r="G52" i="1"/>
  <c r="H53" i="1"/>
  <c r="H58" i="1"/>
  <c r="BP8" i="2"/>
  <c r="I52" i="1"/>
  <c r="F51" i="1"/>
  <c r="F56" i="1"/>
  <c r="BA8" i="2"/>
  <c r="I51" i="1"/>
  <c r="I59" i="1"/>
  <c r="G59" i="1"/>
  <c r="BM8" i="2"/>
  <c r="H55" i="1"/>
  <c r="I55" i="1"/>
  <c r="R17" i="2"/>
  <c r="G61" i="1"/>
  <c r="O10" i="2"/>
  <c r="AL8" i="2"/>
  <c r="G42" i="1"/>
  <c r="BN8" i="2"/>
  <c r="H56" i="1"/>
  <c r="G41" i="1"/>
  <c r="G51" i="1"/>
  <c r="F58" i="1"/>
  <c r="BQ8" i="2"/>
  <c r="AX8" i="2"/>
  <c r="R16" i="2"/>
  <c r="AS8" i="2"/>
  <c r="BW8" i="2"/>
  <c r="R18" i="2"/>
  <c r="E52" i="1"/>
  <c r="R14" i="2"/>
  <c r="R11" i="2"/>
  <c r="F53" i="1"/>
  <c r="F52" i="1"/>
  <c r="I53" i="1"/>
  <c r="J52" i="1"/>
  <c r="F59" i="1"/>
  <c r="R19" i="2"/>
  <c r="H8" i="2"/>
  <c r="F45" i="1"/>
  <c r="H60" i="1"/>
  <c r="E56" i="1"/>
  <c r="R12" i="2"/>
  <c r="R15" i="2"/>
  <c r="E57" i="1"/>
  <c r="BX8" i="2"/>
  <c r="G56" i="1"/>
  <c r="R13" i="2"/>
  <c r="K8" i="2"/>
  <c r="BL8" i="2"/>
  <c r="I61" i="1"/>
  <c r="L8" i="2"/>
  <c r="AK8" i="2"/>
  <c r="G55" i="1"/>
  <c r="F44" i="1"/>
  <c r="E60" i="1"/>
  <c r="BU8" i="2"/>
  <c r="BS8" i="2"/>
  <c r="E51" i="1"/>
  <c r="N8" i="2"/>
  <c r="O8" i="2"/>
  <c r="BF8" i="2"/>
  <c r="I40" i="1"/>
  <c r="E61" i="1"/>
  <c r="E53" i="1"/>
  <c r="G40" i="1"/>
  <c r="AZ8" i="2"/>
  <c r="I57" i="1"/>
  <c r="AV8" i="2"/>
  <c r="CA8" i="2"/>
  <c r="BO8" i="2"/>
  <c r="E58" i="1"/>
  <c r="R8" i="2"/>
  <c r="AA8" i="2" s="1"/>
  <c r="W8" i="2"/>
  <c r="K10" i="2"/>
  <c r="AI8" i="2"/>
  <c r="BY8" i="2"/>
  <c r="AU8" i="2"/>
  <c r="H57" i="1"/>
  <c r="BG8" i="2"/>
  <c r="H59" i="1"/>
  <c r="BZ8" i="2"/>
  <c r="I8" i="2"/>
  <c r="AW8" i="2"/>
  <c r="BV8" i="2"/>
  <c r="E59" i="1"/>
  <c r="F57" i="1"/>
  <c r="F61" i="1"/>
  <c r="J8" i="2"/>
  <c r="BH8" i="2"/>
  <c r="G58" i="1"/>
  <c r="BT8" i="2"/>
  <c r="L55" i="1" l="1"/>
  <c r="L57" i="1"/>
  <c r="L59" i="1"/>
  <c r="L51" i="1"/>
  <c r="L53" i="1"/>
  <c r="L61" i="1"/>
  <c r="Y9" i="2" a="1"/>
  <c r="Y9" i="2" s="1"/>
  <c r="Z9" i="2" a="1"/>
  <c r="Z9" i="2" s="1"/>
  <c r="Q8" i="2"/>
  <c r="AT8" i="2"/>
  <c r="O9" i="2" a="1"/>
  <c r="O9" i="2" s="1"/>
  <c r="K9" i="2" a="1"/>
  <c r="K9" i="2" s="1"/>
  <c r="AT59" i="2"/>
  <c r="AT58" i="2"/>
  <c r="AT57" i="2"/>
  <c r="AT56" i="2"/>
  <c r="AT55" i="2"/>
  <c r="AT54" i="2"/>
  <c r="AT53" i="2"/>
  <c r="AT52" i="2"/>
  <c r="AT51" i="2"/>
  <c r="AT50" i="2"/>
  <c r="AT49" i="2"/>
  <c r="AT48" i="2"/>
  <c r="AT47" i="2"/>
  <c r="AT46" i="2"/>
  <c r="AT45" i="2"/>
  <c r="AT44" i="2"/>
  <c r="AT43" i="2"/>
  <c r="AT42" i="2"/>
  <c r="AT41" i="2"/>
  <c r="AT40" i="2"/>
  <c r="AT39" i="2"/>
  <c r="AT38" i="2"/>
  <c r="AT37" i="2"/>
  <c r="AT36" i="2"/>
  <c r="AT35" i="2"/>
  <c r="AT34" i="2"/>
  <c r="AT33" i="2"/>
  <c r="AT32" i="2"/>
  <c r="AT31" i="2"/>
  <c r="AT30" i="2"/>
  <c r="R55" i="2"/>
  <c r="R56" i="2"/>
  <c r="R53" i="2"/>
  <c r="R49" i="2"/>
  <c r="R45" i="2"/>
  <c r="AB8" i="2"/>
  <c r="S8" i="2"/>
  <c r="AE8" i="2"/>
  <c r="X8" i="2"/>
  <c r="T8" i="2"/>
  <c r="AH8" i="2"/>
  <c r="R59" i="2" l="1"/>
  <c r="R58" i="2"/>
  <c r="R54" i="2"/>
  <c r="R57" i="2"/>
  <c r="Q34" i="2"/>
  <c r="Q42" i="2"/>
  <c r="Q50" i="2"/>
  <c r="Q58" i="2"/>
  <c r="Q37" i="2"/>
  <c r="Q45" i="2"/>
  <c r="Q53" i="2"/>
  <c r="Q36" i="2"/>
  <c r="Q44" i="2"/>
  <c r="Q56" i="2"/>
  <c r="Q30" i="2"/>
  <c r="Q38" i="2"/>
  <c r="Q46" i="2"/>
  <c r="Q54" i="2"/>
  <c r="Q33" i="2"/>
  <c r="Q41" i="2"/>
  <c r="Q49" i="2"/>
  <c r="Q57" i="2"/>
  <c r="Q32" i="2"/>
  <c r="Q40" i="2"/>
  <c r="Q48" i="2"/>
  <c r="Q52" i="2"/>
  <c r="Q31" i="2"/>
  <c r="Q35" i="2"/>
  <c r="Q39" i="2"/>
  <c r="Q43" i="2"/>
  <c r="Q47" i="2"/>
  <c r="Q51" i="2"/>
  <c r="Q55" i="2"/>
  <c r="Q59" i="2"/>
  <c r="R50" i="2"/>
  <c r="R48" i="2"/>
  <c r="R52" i="2"/>
  <c r="R44" i="2"/>
  <c r="R51" i="2"/>
  <c r="R46" i="2"/>
  <c r="R47" i="2"/>
  <c r="AB57" i="2"/>
  <c r="AB47" i="2"/>
  <c r="X58" i="2"/>
  <c r="X56" i="2"/>
  <c r="AF47" i="2"/>
  <c r="F24" i="1"/>
  <c r="AG8" i="2"/>
  <c r="X46" i="2"/>
  <c r="AB58" i="2"/>
  <c r="X47" i="2"/>
  <c r="AF8" i="2"/>
  <c r="X33" i="2"/>
  <c r="AF35" i="2"/>
  <c r="F29" i="1"/>
  <c r="X49" i="2"/>
  <c r="X32" i="2"/>
  <c r="AF58" i="2"/>
  <c r="X34" i="2"/>
  <c r="T48" i="2"/>
  <c r="AF30" i="2"/>
  <c r="AF56" i="2"/>
  <c r="T43" i="2"/>
  <c r="AB39" i="2"/>
  <c r="I45" i="1"/>
  <c r="T39" i="2"/>
  <c r="AB36" i="2"/>
  <c r="T54" i="2"/>
  <c r="AB48" i="2"/>
  <c r="AB32" i="2"/>
  <c r="AF49" i="2"/>
  <c r="AF38" i="2"/>
  <c r="AB43" i="2"/>
  <c r="T37" i="2"/>
  <c r="AF48" i="2"/>
  <c r="AB46" i="2"/>
  <c r="AF50" i="2"/>
  <c r="T38" i="2"/>
  <c r="AB40" i="2"/>
  <c r="AF42" i="2"/>
  <c r="T53" i="2"/>
  <c r="AF43" i="2"/>
  <c r="AF41" i="2"/>
  <c r="X43" i="2"/>
  <c r="T32" i="2"/>
  <c r="AF52" i="2"/>
  <c r="X52" i="2"/>
  <c r="T33" i="2"/>
  <c r="AF59" i="2"/>
  <c r="T58" i="2"/>
  <c r="T35" i="2"/>
  <c r="T44" i="2"/>
  <c r="AB42" i="2"/>
  <c r="AB59" i="2"/>
  <c r="X57" i="2"/>
  <c r="X40" i="2"/>
  <c r="AF39" i="2"/>
  <c r="T46" i="2"/>
  <c r="AF31" i="2"/>
  <c r="X41" i="2"/>
  <c r="X38" i="2"/>
  <c r="AB50" i="2"/>
  <c r="AF57" i="2"/>
  <c r="T59" i="2"/>
  <c r="T55" i="2"/>
  <c r="T49" i="2"/>
  <c r="AF55" i="2"/>
  <c r="AB56" i="2"/>
  <c r="X45" i="2"/>
  <c r="T36" i="2"/>
  <c r="AF44" i="2"/>
  <c r="T30" i="2"/>
  <c r="T34" i="2"/>
  <c r="G45" i="1"/>
  <c r="X35" i="2"/>
  <c r="AF46" i="2"/>
  <c r="AF54" i="2"/>
  <c r="AB41" i="2"/>
  <c r="AF36" i="2"/>
  <c r="E29" i="1"/>
  <c r="X54" i="2"/>
  <c r="X37" i="2"/>
  <c r="T42" i="2"/>
  <c r="T47" i="2"/>
  <c r="AF53" i="2"/>
  <c r="T40" i="2"/>
  <c r="T57" i="2"/>
  <c r="T51" i="2"/>
  <c r="AF34" i="2"/>
  <c r="AB35" i="2"/>
  <c r="T45" i="2"/>
  <c r="AF51" i="2"/>
  <c r="T52" i="2"/>
  <c r="X50" i="2"/>
  <c r="AB37" i="2"/>
  <c r="AB38" i="2"/>
  <c r="X55" i="2"/>
  <c r="AB53" i="2"/>
  <c r="AB54" i="2"/>
  <c r="X39" i="2"/>
  <c r="AB34" i="2"/>
  <c r="T41" i="2"/>
  <c r="T56" i="2"/>
  <c r="AB52" i="2"/>
  <c r="AF40" i="2"/>
  <c r="E25" i="1"/>
  <c r="AF37" i="2"/>
  <c r="X44" i="2"/>
  <c r="AB49" i="2"/>
  <c r="AB44" i="2"/>
  <c r="X42" i="2"/>
  <c r="X36" i="2"/>
  <c r="AF32" i="2"/>
  <c r="X48" i="2"/>
  <c r="X51" i="2"/>
  <c r="E24" i="1"/>
  <c r="AF45" i="2"/>
  <c r="AB33" i="2"/>
  <c r="X59" i="2"/>
  <c r="H45" i="1"/>
  <c r="X30" i="2"/>
  <c r="X31" i="2"/>
  <c r="T31" i="2"/>
  <c r="AB51" i="2"/>
  <c r="X53" i="2"/>
  <c r="AB31" i="2"/>
  <c r="AF33" i="2"/>
  <c r="AB30" i="2"/>
  <c r="AB45" i="2"/>
  <c r="F25" i="1"/>
  <c r="T50" i="2"/>
  <c r="AB55" i="2"/>
  <c r="E31" i="1" l="1"/>
  <c r="F31" i="1"/>
  <c r="D21" i="1"/>
  <c r="E38" i="1" l="1"/>
  <c r="E39" i="1"/>
  <c r="E37" i="1"/>
  <c r="F38" i="1"/>
  <c r="F39" i="1"/>
  <c r="F37" i="1"/>
  <c r="H37" i="1"/>
  <c r="G37" i="1"/>
  <c r="H38" i="1"/>
  <c r="I38" i="1"/>
  <c r="I37" i="1"/>
  <c r="H39" i="1"/>
  <c r="G39" i="1"/>
  <c r="G38" i="1"/>
  <c r="I39" i="1"/>
  <c r="AT29" i="2"/>
  <c r="AT24" i="2"/>
  <c r="AT18" i="2"/>
  <c r="AT19" i="2"/>
  <c r="AT12" i="2"/>
  <c r="AT23" i="2"/>
  <c r="AT11" i="2"/>
  <c r="AT28" i="2"/>
  <c r="AT20" i="2"/>
  <c r="AT16" i="2"/>
  <c r="AT22" i="2"/>
  <c r="AT27" i="2"/>
  <c r="AT21" i="2"/>
  <c r="AT15" i="2"/>
  <c r="AT17" i="2"/>
  <c r="AT26" i="2"/>
  <c r="AT14" i="2"/>
  <c r="AT13" i="2"/>
  <c r="AT25" i="2"/>
  <c r="Q15" i="2" l="1"/>
  <c r="Q16" i="2"/>
  <c r="Q24" i="2"/>
  <c r="Q25" i="2"/>
  <c r="Q17" i="2"/>
  <c r="Q22" i="2"/>
  <c r="Q11" i="2"/>
  <c r="Q18" i="2"/>
  <c r="Q26" i="2"/>
  <c r="Q27" i="2"/>
  <c r="Q28" i="2"/>
  <c r="Q19" i="2"/>
  <c r="Q13" i="2"/>
  <c r="Q23" i="2"/>
  <c r="Q14" i="2"/>
  <c r="Q21" i="2"/>
  <c r="Q20" i="2"/>
  <c r="Q12" i="2"/>
  <c r="Q29" i="2"/>
  <c r="BR10" i="2"/>
  <c r="X13" i="2"/>
  <c r="AF14" i="2"/>
  <c r="AN10" i="2"/>
  <c r="AB15" i="2"/>
  <c r="X17" i="2"/>
  <c r="X28" i="2"/>
  <c r="BG10" i="2"/>
  <c r="AF11" i="2"/>
  <c r="T16" i="2"/>
  <c r="T21" i="2"/>
  <c r="L10" i="2"/>
  <c r="AF20" i="2"/>
  <c r="AU10" i="2"/>
  <c r="X18" i="2"/>
  <c r="AB16" i="2"/>
  <c r="E10" i="2"/>
  <c r="BE10" i="2"/>
  <c r="X29" i="2"/>
  <c r="AF13" i="2"/>
  <c r="AK10" i="2"/>
  <c r="T23" i="2"/>
  <c r="X27" i="2"/>
  <c r="AB27" i="2"/>
  <c r="X12" i="2"/>
  <c r="AI10" i="2"/>
  <c r="AY10" i="2"/>
  <c r="AF12" i="2"/>
  <c r="AF15" i="2"/>
  <c r="AF19" i="2"/>
  <c r="I10" i="2"/>
  <c r="X22" i="2"/>
  <c r="BU10" i="2"/>
  <c r="X26" i="2"/>
  <c r="AX10" i="2"/>
  <c r="AP10" i="2"/>
  <c r="AB13" i="2"/>
  <c r="BO10" i="2"/>
  <c r="BB10" i="2"/>
  <c r="AM10" i="2"/>
  <c r="CA10" i="2"/>
  <c r="H10" i="2"/>
  <c r="T18" i="2"/>
  <c r="AF18" i="2"/>
  <c r="BJ10" i="2"/>
  <c r="X15" i="2"/>
  <c r="AB12" i="2"/>
  <c r="T27" i="2"/>
  <c r="X11" i="2"/>
  <c r="BX10" i="2"/>
  <c r="T28" i="2"/>
  <c r="X23" i="2"/>
  <c r="AB20" i="2"/>
  <c r="M10" i="2"/>
  <c r="T14" i="2"/>
  <c r="AB25" i="2"/>
  <c r="AB28" i="2"/>
  <c r="AB24" i="2"/>
  <c r="T11" i="2"/>
  <c r="AF25" i="2"/>
  <c r="AF29" i="2"/>
  <c r="AL10" i="2"/>
  <c r="AF21" i="2"/>
  <c r="AV10" i="2"/>
  <c r="AB23" i="2"/>
  <c r="AB14" i="2"/>
  <c r="T25" i="2"/>
  <c r="AB22" i="2"/>
  <c r="BF10" i="2"/>
  <c r="F10" i="2"/>
  <c r="BM10" i="2"/>
  <c r="X24" i="2"/>
  <c r="BY10" i="2"/>
  <c r="AF22" i="2"/>
  <c r="T12" i="2"/>
  <c r="T19" i="2"/>
  <c r="AO10" i="2"/>
  <c r="BL10" i="2"/>
  <c r="BW10" i="2"/>
  <c r="AB26" i="2"/>
  <c r="AZ10" i="2"/>
  <c r="T22" i="2"/>
  <c r="X20" i="2"/>
  <c r="T26" i="2"/>
  <c r="BA10" i="2"/>
  <c r="AB21" i="2"/>
  <c r="AF24" i="2"/>
  <c r="BZ10" i="2"/>
  <c r="AB19" i="2"/>
  <c r="AB17" i="2"/>
  <c r="AR10" i="2"/>
  <c r="X19" i="2"/>
  <c r="T24" i="2"/>
  <c r="BK10" i="2"/>
  <c r="BN10" i="2"/>
  <c r="T13" i="2"/>
  <c r="AW10" i="2"/>
  <c r="AB18" i="2"/>
  <c r="BT10" i="2"/>
  <c r="AB11" i="2"/>
  <c r="BD10" i="2"/>
  <c r="AB29" i="2"/>
  <c r="AF26" i="2"/>
  <c r="N10" i="2"/>
  <c r="BV10" i="2"/>
  <c r="J10" i="2"/>
  <c r="X14" i="2"/>
  <c r="X16" i="2"/>
  <c r="BS10" i="2"/>
  <c r="AQ10" i="2"/>
  <c r="AF27" i="2"/>
  <c r="T15" i="2"/>
  <c r="BI10" i="2"/>
  <c r="X21" i="2"/>
  <c r="BC10" i="2"/>
  <c r="T17" i="2"/>
  <c r="X25" i="2"/>
  <c r="T20" i="2"/>
  <c r="AF28" i="2"/>
  <c r="AJ10" i="2"/>
  <c r="AF16" i="2"/>
  <c r="AF23" i="2"/>
  <c r="BQ10" i="2"/>
  <c r="AF17" i="2"/>
  <c r="G10" i="2"/>
  <c r="AS10" i="2"/>
  <c r="T29" i="2"/>
  <c r="BH10" i="2"/>
  <c r="BP10" i="2"/>
  <c r="BM9" i="2" l="1" a="1"/>
  <c r="BM9" i="2" s="1"/>
  <c r="AP9" i="2" a="1"/>
  <c r="AP9" i="2" s="1"/>
  <c r="AQ9" i="2" a="1"/>
  <c r="AQ9" i="2" s="1"/>
  <c r="BE9" i="2" a="1"/>
  <c r="BE9" i="2" s="1"/>
  <c r="CA9" i="2" a="1"/>
  <c r="CA9" i="2" s="1"/>
  <c r="BB9" i="2" a="1"/>
  <c r="BB9" i="2" s="1"/>
  <c r="AT10" i="2"/>
  <c r="AT9" i="2" s="1" a="1"/>
  <c r="AT9" i="2" s="1"/>
  <c r="AX9" i="2" a="1"/>
  <c r="AX9" i="2" s="1"/>
  <c r="BH9" i="2" a="1"/>
  <c r="BH9" i="2" s="1"/>
  <c r="AZ9" i="2" a="1"/>
  <c r="AZ9" i="2" s="1"/>
  <c r="BZ9" i="2" a="1"/>
  <c r="BZ9" i="2" s="1"/>
  <c r="BG9" i="2" a="1"/>
  <c r="BG9" i="2" s="1"/>
  <c r="BD9" i="2" a="1"/>
  <c r="BD9" i="2" s="1"/>
  <c r="BC9" i="2" a="1"/>
  <c r="BC9" i="2" s="1"/>
  <c r="BL9" i="2" a="1"/>
  <c r="BL9" i="2" s="1"/>
  <c r="AU9" i="2" a="1"/>
  <c r="AU9" i="2" s="1"/>
  <c r="BN9" i="2" a="1"/>
  <c r="BN9" i="2" s="1"/>
  <c r="BV9" i="2" a="1"/>
  <c r="BV9" i="2" s="1"/>
  <c r="J9" i="2" a="1"/>
  <c r="J9" i="2" s="1"/>
  <c r="AK9" i="2" a="1"/>
  <c r="AK9" i="2" s="1"/>
  <c r="BJ9" i="2" a="1"/>
  <c r="BJ9" i="2" s="1"/>
  <c r="AS9" i="2" a="1"/>
  <c r="AS9" i="2" s="1"/>
  <c r="BF9" i="2" a="1"/>
  <c r="BF9" i="2" s="1"/>
  <c r="AJ9" i="2" a="1"/>
  <c r="AJ9" i="2" s="1"/>
  <c r="AO9" i="2" a="1"/>
  <c r="AO9" i="2" s="1"/>
  <c r="N9" i="2" a="1"/>
  <c r="N9" i="2" s="1"/>
  <c r="AI9" i="2" a="1"/>
  <c r="AI9" i="2" s="1"/>
  <c r="BA9" i="2" a="1"/>
  <c r="BA9" i="2" s="1"/>
  <c r="AR9" i="2" a="1"/>
  <c r="AR9" i="2" s="1"/>
  <c r="BU9" i="2" a="1"/>
  <c r="BU9" i="2" s="1"/>
  <c r="M9" i="2" a="1"/>
  <c r="M9" i="2" s="1"/>
  <c r="AL9" i="2" a="1"/>
  <c r="AL9" i="2" s="1"/>
  <c r="BI9" i="2" a="1"/>
  <c r="BI9" i="2" s="1"/>
  <c r="AN9" i="2" a="1"/>
  <c r="AN9" i="2" s="1"/>
  <c r="BK9" i="2" a="1"/>
  <c r="BK9" i="2" s="1"/>
  <c r="AV9" i="2" a="1"/>
  <c r="AV9" i="2" s="1"/>
  <c r="AM9" i="2" a="1"/>
  <c r="AM9" i="2" s="1"/>
  <c r="BO9" i="2" a="1"/>
  <c r="BO9" i="2" s="1"/>
  <c r="BW9" i="2" a="1"/>
  <c r="BW9" i="2" s="1"/>
  <c r="Q10" i="2"/>
  <c r="I9" i="2" a="1"/>
  <c r="I9" i="2" s="1"/>
  <c r="AY9" i="2" a="1"/>
  <c r="AY9" i="2" s="1"/>
  <c r="BX9" i="2" a="1"/>
  <c r="BX9" i="2" s="1"/>
  <c r="L9" i="2" a="1"/>
  <c r="L9" i="2" s="1"/>
  <c r="BT9" i="2" a="1"/>
  <c r="BT9" i="2" s="1"/>
  <c r="AW9" i="2" a="1"/>
  <c r="AW9" i="2" s="1"/>
  <c r="BY9" i="2" a="1"/>
  <c r="BY9" i="2" s="1"/>
  <c r="R10" i="2"/>
  <c r="AB10" i="2"/>
  <c r="T10" i="2"/>
  <c r="W10" i="2"/>
  <c r="X10" i="2"/>
  <c r="AF10" i="2"/>
  <c r="S10" i="2"/>
  <c r="AE10" i="2"/>
  <c r="AA10" i="2"/>
  <c r="AA9" i="2" l="1" a="1"/>
  <c r="AA9" i="2" s="1"/>
  <c r="AE9" i="2" a="1"/>
  <c r="AE9" i="2" s="1"/>
  <c r="S9" i="2" a="1"/>
  <c r="S9" i="2" s="1"/>
  <c r="R9" i="2" a="1"/>
  <c r="R9" i="2" s="1"/>
  <c r="W9" i="2" a="1"/>
  <c r="W9" i="2" s="1"/>
  <c r="T9" i="2" a="1"/>
  <c r="T9" i="2" s="1"/>
  <c r="AB9" i="2" a="1"/>
  <c r="AB9" i="2" s="1"/>
  <c r="AF9" i="2" a="1"/>
  <c r="AF9" i="2" s="1"/>
  <c r="X9" i="2" a="1"/>
  <c r="X9" i="2" s="1"/>
  <c r="Q9" i="2" a="1"/>
  <c r="Q9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Thomson Reuters</author>
  </authors>
  <commentList>
    <comment ref="D29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Thomson Reuters:</t>
        </r>
        <r>
          <rPr>
            <sz val="9"/>
            <color indexed="81"/>
            <rFont val="Tahoma"/>
            <family val="2"/>
          </rPr>
          <t xml:space="preserve">
provided on annual, not on interim basis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Thomson Reuters</author>
  </authors>
  <commentList>
    <comment ref="C9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Thomson Reuters:</t>
        </r>
        <r>
          <rPr>
            <sz val="9"/>
            <color indexed="81"/>
            <rFont val="Tahoma"/>
            <family val="2"/>
          </rPr>
          <t xml:space="preserve">
FEEL FREE TO MANUALLY TYPE YOUR OWN CHOICE OF RICs
Automatic peers from the same sector derived using screener and ranked by market cap.
</t>
        </r>
      </text>
    </comment>
    <comment ref="D9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Thomson Reuters:</t>
        </r>
        <r>
          <rPr>
            <sz val="9"/>
            <color indexed="81"/>
            <rFont val="Tahoma"/>
            <family val="2"/>
          </rPr>
          <t xml:space="preserve">
FEEL FREE TO MANUALLY TYPE YOUR OWN CHOICE OF RICs
Automatic peers from the same sector derived using screener and ranked by market cap.
</t>
        </r>
      </text>
    </comment>
  </commentList>
</comments>
</file>

<file path=xl/sharedStrings.xml><?xml version="1.0" encoding="utf-8"?>
<sst xmlns="http://schemas.openxmlformats.org/spreadsheetml/2006/main" count="551" uniqueCount="523">
  <si>
    <t>Thomson RIC:</t>
  </si>
  <si>
    <t>Company Name:</t>
  </si>
  <si>
    <t>Price Date:</t>
  </si>
  <si>
    <t>x Shares Outstanding:</t>
  </si>
  <si>
    <t>Equity Value:</t>
  </si>
  <si>
    <t>- Cash and ST Investments</t>
  </si>
  <si>
    <t>+ Total Debt</t>
  </si>
  <si>
    <t>+ Preferred Equity</t>
  </si>
  <si>
    <t>+ Minority Interest</t>
  </si>
  <si>
    <t>= Total Enterprise Value (TEV)</t>
  </si>
  <si>
    <t>Fiscal Year End:</t>
  </si>
  <si>
    <t>Native</t>
  </si>
  <si>
    <t>Algeria dinar</t>
  </si>
  <si>
    <t>DZD</t>
  </si>
  <si>
    <t>Angola kwanza readjustado</t>
  </si>
  <si>
    <t>AOA</t>
  </si>
  <si>
    <t>Argentina peso</t>
  </si>
  <si>
    <t>ARS</t>
  </si>
  <si>
    <t>Aruba guilder</t>
  </si>
  <si>
    <t>AWG</t>
  </si>
  <si>
    <t>Australia dollar</t>
  </si>
  <si>
    <t>AUD</t>
  </si>
  <si>
    <t>Austria schilling</t>
  </si>
  <si>
    <t>ATS</t>
  </si>
  <si>
    <t>Bahamas dollar</t>
  </si>
  <si>
    <t>BSD</t>
  </si>
  <si>
    <t>Bahrain dinar</t>
  </si>
  <si>
    <t>BHD</t>
  </si>
  <si>
    <t>Bangladesh taka</t>
  </si>
  <si>
    <t>BDT</t>
  </si>
  <si>
    <t>Barbados dollar</t>
  </si>
  <si>
    <t>BBD</t>
  </si>
  <si>
    <t>Belarus ruble</t>
  </si>
  <si>
    <t>BYR</t>
  </si>
  <si>
    <t>Belgium franc</t>
  </si>
  <si>
    <t>BEF</t>
  </si>
  <si>
    <t>Belize dollar</t>
  </si>
  <si>
    <t>BZD</t>
  </si>
  <si>
    <t>Bermuda dollar</t>
  </si>
  <si>
    <t>BMD</t>
  </si>
  <si>
    <t>Bhutan ngultrum</t>
  </si>
  <si>
    <t>BTN</t>
  </si>
  <si>
    <t>Bolivia boliviano</t>
  </si>
  <si>
    <t>BOB</t>
  </si>
  <si>
    <t>Bosnia / Herzegovina convertible mark</t>
  </si>
  <si>
    <t>BAM</t>
  </si>
  <si>
    <t>Botswana pula</t>
  </si>
  <si>
    <t>BWP</t>
  </si>
  <si>
    <t>Brazil real</t>
  </si>
  <si>
    <t>BRL</t>
  </si>
  <si>
    <t>British Pence</t>
  </si>
  <si>
    <t>BPN</t>
  </si>
  <si>
    <t>Brunei Darussalam dollar</t>
  </si>
  <si>
    <t>BND</t>
  </si>
  <si>
    <t>Bulgaria lev</t>
  </si>
  <si>
    <t>BGN</t>
  </si>
  <si>
    <t>Burundi franc</t>
  </si>
  <si>
    <t>BIF</t>
  </si>
  <si>
    <t>C.F.P. franc</t>
  </si>
  <si>
    <t>XPF</t>
  </si>
  <si>
    <t>Canada dollar</t>
  </si>
  <si>
    <t>CAD</t>
  </si>
  <si>
    <t>Cayman Islands dollar</t>
  </si>
  <si>
    <t>KYD</t>
  </si>
  <si>
    <t>CFA franc (BCEAO)</t>
  </si>
  <si>
    <t>XOF</t>
  </si>
  <si>
    <t>Chile peso</t>
  </si>
  <si>
    <t>CLP</t>
  </si>
  <si>
    <t>China renminbi (yuan)</t>
  </si>
  <si>
    <t>CNY</t>
  </si>
  <si>
    <t>Colombia peso</t>
  </si>
  <si>
    <t>COP</t>
  </si>
  <si>
    <t>Comoros franc</t>
  </si>
  <si>
    <t>KMF</t>
  </si>
  <si>
    <t>Congo (Dem. Republic) franc</t>
  </si>
  <si>
    <t>CDF</t>
  </si>
  <si>
    <t>Costa Rica colon</t>
  </si>
  <si>
    <t>CRC</t>
  </si>
  <si>
    <t>Croatia kuna</t>
  </si>
  <si>
    <t>HRK</t>
  </si>
  <si>
    <t>Cuba peso</t>
  </si>
  <si>
    <t>CUP</t>
  </si>
  <si>
    <t>Cyprus pound</t>
  </si>
  <si>
    <t>CYP</t>
  </si>
  <si>
    <t>Czech Republic koruna</t>
  </si>
  <si>
    <t>CZK</t>
  </si>
  <si>
    <t>Denmark krone</t>
  </si>
  <si>
    <t>DKK</t>
  </si>
  <si>
    <t>Dominican Republic peso</t>
  </si>
  <si>
    <t>DOP</t>
  </si>
  <si>
    <t>East Caribbean dollar</t>
  </si>
  <si>
    <t>XCD</t>
  </si>
  <si>
    <t>Ecuador sucre</t>
  </si>
  <si>
    <t>ECS</t>
  </si>
  <si>
    <t>Egypt pound</t>
  </si>
  <si>
    <t>EGP</t>
  </si>
  <si>
    <t>El Salvador colon</t>
  </si>
  <si>
    <t>SVC</t>
  </si>
  <si>
    <t>Estonia kroon</t>
  </si>
  <si>
    <t>EEK</t>
  </si>
  <si>
    <t>Ethiopia birr</t>
  </si>
  <si>
    <t>ETB</t>
  </si>
  <si>
    <t>European Currency Unit (ECU)</t>
  </si>
  <si>
    <t>XEU</t>
  </si>
  <si>
    <t>European Union euro</t>
  </si>
  <si>
    <t>EUR</t>
  </si>
  <si>
    <t>Fiji dollar</t>
  </si>
  <si>
    <t>FJD</t>
  </si>
  <si>
    <t>Finland markka</t>
  </si>
  <si>
    <t>FIM</t>
  </si>
  <si>
    <t>France franc</t>
  </si>
  <si>
    <t>FRF</t>
  </si>
  <si>
    <t>Gambia dalasi</t>
  </si>
  <si>
    <t>GMD</t>
  </si>
  <si>
    <t>Georgia lari</t>
  </si>
  <si>
    <t>GEL</t>
  </si>
  <si>
    <t>Germany mark</t>
  </si>
  <si>
    <t>DEM</t>
  </si>
  <si>
    <t>Ghana cedi</t>
  </si>
  <si>
    <t>GHC</t>
  </si>
  <si>
    <t>Greece drachma</t>
  </si>
  <si>
    <t>GRD</t>
  </si>
  <si>
    <t>Guatemala quetzal</t>
  </si>
  <si>
    <t>GTQ</t>
  </si>
  <si>
    <t>Guinea franc</t>
  </si>
  <si>
    <t>GNF</t>
  </si>
  <si>
    <t>Haiti gourde</t>
  </si>
  <si>
    <t>HTG</t>
  </si>
  <si>
    <t>Honduras lempira</t>
  </si>
  <si>
    <t>HNL</t>
  </si>
  <si>
    <t>Hong Kong dollar</t>
  </si>
  <si>
    <t>HKD</t>
  </si>
  <si>
    <t>Hungary forint</t>
  </si>
  <si>
    <t>HUF</t>
  </si>
  <si>
    <t>Iceland krona</t>
  </si>
  <si>
    <t>ISK</t>
  </si>
  <si>
    <t>India rupee</t>
  </si>
  <si>
    <t>INR</t>
  </si>
  <si>
    <t>Indonesia rupiah</t>
  </si>
  <si>
    <t>IDR</t>
  </si>
  <si>
    <t>Ireland punt</t>
  </si>
  <si>
    <t>IEP</t>
  </si>
  <si>
    <t>Israel shekel</t>
  </si>
  <si>
    <t>ILS</t>
  </si>
  <si>
    <t>Italy lira</t>
  </si>
  <si>
    <t>ITL</t>
  </si>
  <si>
    <t>Jamaica dollar</t>
  </si>
  <si>
    <t>JMD</t>
  </si>
  <si>
    <t>Japan yen</t>
  </si>
  <si>
    <t>JPY</t>
  </si>
  <si>
    <t>Jordan dinar</t>
  </si>
  <si>
    <t>JOD</t>
  </si>
  <si>
    <t>Kazakhstan tenge</t>
  </si>
  <si>
    <t>KZT</t>
  </si>
  <si>
    <t>Kenya shilling</t>
  </si>
  <si>
    <t>KES</t>
  </si>
  <si>
    <t>Kuwait dinar</t>
  </si>
  <si>
    <t>KWD</t>
  </si>
  <si>
    <t>Kyrgyzstan som</t>
  </si>
  <si>
    <t>KGS</t>
  </si>
  <si>
    <t>Latvia lats</t>
  </si>
  <si>
    <t>LVL</t>
  </si>
  <si>
    <t>Lebanon pound</t>
  </si>
  <si>
    <t>LBP</t>
  </si>
  <si>
    <t>Lesotho loti</t>
  </si>
  <si>
    <t>LSL</t>
  </si>
  <si>
    <t>Lithuania litas</t>
  </si>
  <si>
    <t>LTL</t>
  </si>
  <si>
    <t>Luxembourg franc</t>
  </si>
  <si>
    <t>LUF</t>
  </si>
  <si>
    <t>Macau pataca</t>
  </si>
  <si>
    <t>MOP</t>
  </si>
  <si>
    <t>Macedonia denar</t>
  </si>
  <si>
    <t>MKD</t>
  </si>
  <si>
    <t>Malawi kwacha</t>
  </si>
  <si>
    <t>MWK</t>
  </si>
  <si>
    <t>Malaysia ringgit</t>
  </si>
  <si>
    <t>MYR</t>
  </si>
  <si>
    <t>Maldive Islands rufiya</t>
  </si>
  <si>
    <t>MVR</t>
  </si>
  <si>
    <t>Malta lira</t>
  </si>
  <si>
    <t>MTL</t>
  </si>
  <si>
    <t>Mauritania ouguiya</t>
  </si>
  <si>
    <t>MRO</t>
  </si>
  <si>
    <t>Mauritius rupee</t>
  </si>
  <si>
    <t>MUR</t>
  </si>
  <si>
    <t>Mexico peso</t>
  </si>
  <si>
    <t>MXN</t>
  </si>
  <si>
    <t>Moldova leu</t>
  </si>
  <si>
    <t>MDL</t>
  </si>
  <si>
    <t>Mongolia tugrik</t>
  </si>
  <si>
    <t>MNT</t>
  </si>
  <si>
    <t>Morocco dirham</t>
  </si>
  <si>
    <t>MAD</t>
  </si>
  <si>
    <t>Namibia dollar</t>
  </si>
  <si>
    <t>NAD</t>
  </si>
  <si>
    <t>Nepal rupee</t>
  </si>
  <si>
    <t>NPR</t>
  </si>
  <si>
    <t>Netherlands Antilles guilder</t>
  </si>
  <si>
    <t>ANG</t>
  </si>
  <si>
    <t>Netherlands guilder</t>
  </si>
  <si>
    <t>NLG</t>
  </si>
  <si>
    <t>New Turkish Lira</t>
  </si>
  <si>
    <t>TRY</t>
  </si>
  <si>
    <t>New Zealand dollar</t>
  </si>
  <si>
    <t>NZD</t>
  </si>
  <si>
    <t>Nicaragua cordoba oro</t>
  </si>
  <si>
    <t>NIO</t>
  </si>
  <si>
    <t>Nigeria naira</t>
  </si>
  <si>
    <t>NGN</t>
  </si>
  <si>
    <t>Norway krone</t>
  </si>
  <si>
    <t>NOK</t>
  </si>
  <si>
    <t>Oman rial</t>
  </si>
  <si>
    <t>OMR</t>
  </si>
  <si>
    <t>Pakistan rupee</t>
  </si>
  <si>
    <t>PKR</t>
  </si>
  <si>
    <t>Panama balboa</t>
  </si>
  <si>
    <t>PAB</t>
  </si>
  <si>
    <t>Papua New Guinea kina</t>
  </si>
  <si>
    <t>PGK</t>
  </si>
  <si>
    <t>Paraguay guarani</t>
  </si>
  <si>
    <t>PYG</t>
  </si>
  <si>
    <t>Peru neuvo sol</t>
  </si>
  <si>
    <t>PEN</t>
  </si>
  <si>
    <t>Philippines peso</t>
  </si>
  <si>
    <t>PHP</t>
  </si>
  <si>
    <t>Poland zloty</t>
  </si>
  <si>
    <t>PLN</t>
  </si>
  <si>
    <t>Portugal escudo</t>
  </si>
  <si>
    <t>PTE</t>
  </si>
  <si>
    <t>Qatar rial</t>
  </si>
  <si>
    <t>QAR</t>
  </si>
  <si>
    <t>Romania leu (new)</t>
  </si>
  <si>
    <t>RON</t>
  </si>
  <si>
    <t>Russia ruble</t>
  </si>
  <si>
    <t>RUB</t>
  </si>
  <si>
    <t>Rwanda franc</t>
  </si>
  <si>
    <t>RWF</t>
  </si>
  <si>
    <t>Samoa tala</t>
  </si>
  <si>
    <t>WST</t>
  </si>
  <si>
    <t>Saudi Arabia riyal</t>
  </si>
  <si>
    <t>SAR</t>
  </si>
  <si>
    <t>Seychelles rupee</t>
  </si>
  <si>
    <t>SCR</t>
  </si>
  <si>
    <t>Sierra Leone leone</t>
  </si>
  <si>
    <t>SLL</t>
  </si>
  <si>
    <t>Singapore dollar</t>
  </si>
  <si>
    <t>SGD</t>
  </si>
  <si>
    <t>Slovak Republic koruna</t>
  </si>
  <si>
    <t>SKK</t>
  </si>
  <si>
    <t>Slovenia tolar</t>
  </si>
  <si>
    <t>SIT</t>
  </si>
  <si>
    <t>Solomon Island dollar</t>
  </si>
  <si>
    <t>SBD</t>
  </si>
  <si>
    <t>South Africa rand</t>
  </si>
  <si>
    <t>ZAR</t>
  </si>
  <si>
    <t>South Korea won</t>
  </si>
  <si>
    <t>KRW</t>
  </si>
  <si>
    <t>Spain peseta</t>
  </si>
  <si>
    <t>ESP</t>
  </si>
  <si>
    <t>Special Drawing Rights (SDR)</t>
  </si>
  <si>
    <t>XDR</t>
  </si>
  <si>
    <t>Sri Lanka rupee</t>
  </si>
  <si>
    <t>LKR</t>
  </si>
  <si>
    <t>Surinam guilder</t>
  </si>
  <si>
    <t>SRD</t>
  </si>
  <si>
    <t>Swaziland lilangeni</t>
  </si>
  <si>
    <t>SZL</t>
  </si>
  <si>
    <t>Sweden krona</t>
  </si>
  <si>
    <t>SEK</t>
  </si>
  <si>
    <t>Switzerland franc</t>
  </si>
  <si>
    <t>CHF</t>
  </si>
  <si>
    <t>Taiwan dollar</t>
  </si>
  <si>
    <t>TWD</t>
  </si>
  <si>
    <t>Tanzania shilling</t>
  </si>
  <si>
    <t>TZS</t>
  </si>
  <si>
    <t>Thailand baht</t>
  </si>
  <si>
    <t>THB</t>
  </si>
  <si>
    <t>Tonga pa'anga</t>
  </si>
  <si>
    <t>TOP</t>
  </si>
  <si>
    <t>Trinidad &amp; Tobago dollar</t>
  </si>
  <si>
    <t>TTD</t>
  </si>
  <si>
    <t>Tunisia dinar</t>
  </si>
  <si>
    <t>TND</t>
  </si>
  <si>
    <t>Uganda shilling</t>
  </si>
  <si>
    <t>UGX</t>
  </si>
  <si>
    <t>Ukraine hryvna</t>
  </si>
  <si>
    <t>UAH</t>
  </si>
  <si>
    <t>United Arab Emirates dirham</t>
  </si>
  <si>
    <t>AED</t>
  </si>
  <si>
    <t>United Kingdom pound</t>
  </si>
  <si>
    <t>GBP</t>
  </si>
  <si>
    <t>United States dollar</t>
  </si>
  <si>
    <t>USD</t>
  </si>
  <si>
    <t>Uruguay peso uruguayo</t>
  </si>
  <si>
    <t>UYU</t>
  </si>
  <si>
    <t>Uzbekistan sum</t>
  </si>
  <si>
    <t>UZS</t>
  </si>
  <si>
    <t>Vanuatu vatu</t>
  </si>
  <si>
    <t>VUV</t>
  </si>
  <si>
    <t>Vietnam dong</t>
  </si>
  <si>
    <t>VND</t>
  </si>
  <si>
    <t>Yemen rial</t>
  </si>
  <si>
    <t>YER</t>
  </si>
  <si>
    <t>Currency:</t>
  </si>
  <si>
    <t>Interim End:</t>
  </si>
  <si>
    <t>Financial Valuation Ratios</t>
  </si>
  <si>
    <t>TEV/Sales</t>
  </si>
  <si>
    <t>TEV/EBITDA</t>
  </si>
  <si>
    <t>TEV/EBIT</t>
  </si>
  <si>
    <t>EBITDA/Interest Expense</t>
  </si>
  <si>
    <t>EBIT/Interest Expense</t>
  </si>
  <si>
    <t>EBITDA-Capex/Interest Expense</t>
  </si>
  <si>
    <t>Total Debt/EBITDA</t>
  </si>
  <si>
    <t>Total Debt/EV</t>
  </si>
  <si>
    <t>PE</t>
  </si>
  <si>
    <t>Financial Summary</t>
  </si>
  <si>
    <t>Revenue</t>
  </si>
  <si>
    <t>Gross Income</t>
  </si>
  <si>
    <t>EBITDA</t>
  </si>
  <si>
    <t>EBIT</t>
  </si>
  <si>
    <t>Net Income</t>
  </si>
  <si>
    <t>Company Name</t>
  </si>
  <si>
    <t>TRBC Industry</t>
  </si>
  <si>
    <t>Price</t>
  </si>
  <si>
    <t>TR.PriceClose</t>
  </si>
  <si>
    <t>Market Cap</t>
  </si>
  <si>
    <t>EV</t>
  </si>
  <si>
    <t xml:space="preserve"> </t>
  </si>
  <si>
    <t>TR.EBITDAMean(Period=FY1)/TR.RevenueMeanEstimate(Period=FY1)*100</t>
  </si>
  <si>
    <t>TR.EBITDAMean(Period=FY2)/TR.RevenueMeanEstimate(Period=FY2)*100</t>
  </si>
  <si>
    <t>TR.TotalRevenue(Period=FY0,Scale=6)</t>
  </si>
  <si>
    <t>TR.RevenueMeanEstimate(Period=FY1,Scale=6)</t>
  </si>
  <si>
    <t>TR.RevenueMeanEstimate(Period=FY2,Scale=6)</t>
  </si>
  <si>
    <t>TR.EBITDA(Period=FY0,Scale=6)</t>
  </si>
  <si>
    <t>TR.EBITDAMean(Period=FY1,Scale=6)</t>
  </si>
  <si>
    <t>TR.EBITDAMean(Period=FY2,Scale=6)</t>
  </si>
  <si>
    <t>AVAIL(TR.EBITDAMean(Period=#2,Scale=6,methodology=InterimSum),TR.EBITDAMean(Period=#2,Scale=6,methodology=WeightedAnnual))</t>
  </si>
  <si>
    <t>Fiscal Year End Date</t>
  </si>
  <si>
    <t>EV/EBITDA (FY0)</t>
  </si>
  <si>
    <t>EV/EBITDA (FY1)</t>
  </si>
  <si>
    <t>Revenue (FY0)</t>
  </si>
  <si>
    <t>Revenue (FY1)</t>
  </si>
  <si>
    <t>EBITDA (FY0)</t>
  </si>
  <si>
    <t>EBITDA (FY1)</t>
  </si>
  <si>
    <t>Revenue (FY2)</t>
  </si>
  <si>
    <t>EV/EBITDA (FY2)</t>
  </si>
  <si>
    <t>EBITDA (FY2)</t>
  </si>
  <si>
    <t>EBITDA Margin (FY0)</t>
  </si>
  <si>
    <t>EBITDA Margin (FY1)</t>
  </si>
  <si>
    <t>EBITDA Margin (FY2)</t>
  </si>
  <si>
    <t>EBITDA-Calendarised (FY0)</t>
  </si>
  <si>
    <t>EBITDA-Calendarised (FY1)</t>
  </si>
  <si>
    <t>EBITDA-Calendarised (FY2)</t>
  </si>
  <si>
    <t>EBITDA Margin-Calendarised (FY0)</t>
  </si>
  <si>
    <t>EBITDA Margin-Calendarised (FY1)</t>
  </si>
  <si>
    <t>EBITDA Margin-Calendarised (FY2)</t>
  </si>
  <si>
    <t xml:space="preserve">     Growth(%)</t>
  </si>
  <si>
    <t xml:space="preserve">     Margin(%)</t>
  </si>
  <si>
    <t>-</t>
  </si>
  <si>
    <t>TR.TRBCIndustry</t>
  </si>
  <si>
    <t>Albania lek</t>
  </si>
  <si>
    <t>ALL</t>
  </si>
  <si>
    <t>Dividend Yield</t>
  </si>
  <si>
    <t>Cash</t>
  </si>
  <si>
    <t>Minorities</t>
  </si>
  <si>
    <t>Business description</t>
  </si>
  <si>
    <t>PEG</t>
  </si>
  <si>
    <t>Peer Median</t>
  </si>
  <si>
    <t>Total Debt</t>
  </si>
  <si>
    <t>Preferred Stock</t>
  </si>
  <si>
    <t>Top # peers</t>
  </si>
  <si>
    <t>TR.CompanyMarketCap</t>
  </si>
  <si>
    <t>EV/Sales (FY0)</t>
  </si>
  <si>
    <t>EV/Sales (FY1)</t>
  </si>
  <si>
    <t>EV/Sales (FY2)</t>
  </si>
  <si>
    <t>EV/EBIT (FY0)</t>
  </si>
  <si>
    <t>EV/EBIT (FY1)</t>
  </si>
  <si>
    <t>EV/EBIT (FY2)</t>
  </si>
  <si>
    <t>P/E (FY0)</t>
  </si>
  <si>
    <t>P/E (FY1)</t>
  </si>
  <si>
    <t>P/E (FY2)</t>
  </si>
  <si>
    <t>TR.PEG</t>
  </si>
  <si>
    <t>TR.DividendYield</t>
  </si>
  <si>
    <t>TR.EBIT(Period=FY0,Scale=6)</t>
  </si>
  <si>
    <t>TR.EBITMean(Period=FY1,Scale=6)</t>
  </si>
  <si>
    <t>TR.EBITMean(Period=FY2,Scale=6)</t>
  </si>
  <si>
    <t>EBIT (FY0)</t>
  </si>
  <si>
    <t>EBIT (FY1)</t>
  </si>
  <si>
    <t>EBIT (FY2)</t>
  </si>
  <si>
    <t>EPS (FY0)</t>
  </si>
  <si>
    <t>EPS (FY1)</t>
  </si>
  <si>
    <t>EPS (FY2)</t>
  </si>
  <si>
    <t>TR.EPSMeanEstimate(Period=FY1)</t>
  </si>
  <si>
    <t>TR.EPSMeanEstimate(Period=FY2)</t>
  </si>
  <si>
    <t>TEF.MC</t>
  </si>
  <si>
    <t>Telefonica SA</t>
  </si>
  <si>
    <t>TEL.OL</t>
  </si>
  <si>
    <t>Telenor ASA</t>
  </si>
  <si>
    <t>Swisscom AG</t>
  </si>
  <si>
    <t>BT.L</t>
  </si>
  <si>
    <t>BT Group PLC</t>
  </si>
  <si>
    <t>ORAN.PA</t>
  </si>
  <si>
    <t>Orange SA</t>
  </si>
  <si>
    <t>Integrated Telecommunications Services</t>
  </si>
  <si>
    <t>Wireless Telecommunications Services</t>
  </si>
  <si>
    <t>EV/(EBITDA - Capex) (FY0)</t>
  </si>
  <si>
    <t>EV/(EBITDA - Capex) (FY1)</t>
  </si>
  <si>
    <t>EV/(EBITDA - Capex) (FY2)</t>
  </si>
  <si>
    <t>EV/Sales (FY3)</t>
  </si>
  <si>
    <t>EV/EBITDA (FY3)</t>
  </si>
  <si>
    <t>EV/(EBITDA - Capex) (FY3)</t>
  </si>
  <si>
    <t>EV/EBIT (FY3)</t>
  </si>
  <si>
    <t>P/E (FY3)</t>
  </si>
  <si>
    <t>Net Debt / EBITDA (FY0)</t>
  </si>
  <si>
    <t>Net Debt / EBITDA (LTM)</t>
  </si>
  <si>
    <t>TR.NetDebtToEBITDA</t>
  </si>
  <si>
    <t>Net Debt / EBITDA (FY1)</t>
  </si>
  <si>
    <t>Net Debt / EBITDA (FY2)</t>
  </si>
  <si>
    <t>Net Debt / EBITDA (FY3)</t>
  </si>
  <si>
    <t>TR.RevenueMeanEstimate(Period=FY3,Scale=6)</t>
  </si>
  <si>
    <t>Revenue (FY3)</t>
  </si>
  <si>
    <t>TR.EBITDAMean(Period=FY3,Scale=6)</t>
  </si>
  <si>
    <t>EBITDA (FY3)</t>
  </si>
  <si>
    <t>TR.EBITMean(Period=FY3,Scale=6)</t>
  </si>
  <si>
    <t>EBIT (FY3)</t>
  </si>
  <si>
    <t>TR.EPSMeanEstimate(Period=FY3)</t>
  </si>
  <si>
    <t>EPS (FY3)</t>
  </si>
  <si>
    <t>TR.CapitalExpenditures(Period=FY0,Scale=6)*(-1)</t>
  </si>
  <si>
    <t>TR.CapexMean(Period=FY1,Scale=6)</t>
  </si>
  <si>
    <t>TR.CapexMean(Period=FY2,Scale=6)</t>
  </si>
  <si>
    <t>TR.CapexMean(Period=FY3,Scale=6)</t>
  </si>
  <si>
    <t>Capex (FY0)</t>
  </si>
  <si>
    <t>Capex (FY1)</t>
  </si>
  <si>
    <t>Capex (FY2)</t>
  </si>
  <si>
    <t>Capex (FY3)</t>
  </si>
  <si>
    <t>TR.NetDebtMeanEstimate(Period=FY1,Scale=6)</t>
  </si>
  <si>
    <t>TR.NetDebtMeanEstimate(Period=FY2,Scale=6)</t>
  </si>
  <si>
    <t>TR.NetDebtMeanEstimate(Period=FY3,Scale=6)</t>
  </si>
  <si>
    <t>Net Debt (FY0)</t>
  </si>
  <si>
    <t>Net Debt (FY1)</t>
  </si>
  <si>
    <t>Net Debt (FY2)</t>
  </si>
  <si>
    <t>Net Debt (FY3)</t>
  </si>
  <si>
    <t>EV/Sales</t>
  </si>
  <si>
    <t>EV/EBITDA</t>
  </si>
  <si>
    <t>EV/(EBITDA - Capex)</t>
  </si>
  <si>
    <t>EV/EBIT</t>
  </si>
  <si>
    <t>P/E</t>
  </si>
  <si>
    <t>Net Debt / EBITDA</t>
  </si>
  <si>
    <t>EPS</t>
  </si>
  <si>
    <t>Capex</t>
  </si>
  <si>
    <t>Net Debt</t>
  </si>
  <si>
    <t>- Equity Investments</t>
  </si>
  <si>
    <t>+ Pension Obligations</t>
  </si>
  <si>
    <t>+ Other Adjustments</t>
  </si>
  <si>
    <t>3-yr CAGR</t>
  </si>
  <si>
    <t xml:space="preserve">    % of Sales</t>
  </si>
  <si>
    <t>Enterprise Value</t>
  </si>
  <si>
    <t>Pensions</t>
  </si>
  <si>
    <t>Other</t>
  </si>
  <si>
    <t>EV (current)</t>
  </si>
  <si>
    <t>EV (FY0)</t>
  </si>
  <si>
    <t>TR.EBITDAMean(Period=FY2)</t>
  </si>
  <si>
    <t>TR.EBITDAMean(Period=FY3)</t>
  </si>
  <si>
    <t>TR.EBITMean(Period=FY2)</t>
  </si>
  <si>
    <t>TR.EBITMean(Period=FY3)</t>
  </si>
  <si>
    <t>TR.EBITDAMean(Period=FY2)-TR.CapexMean(Period=FY2)</t>
  </si>
  <si>
    <t>TR.EBITDAMean(Period=FY3)-TR.CapexMean(Period=FY3)</t>
  </si>
  <si>
    <t>Sales CAGR</t>
  </si>
  <si>
    <t>FY0 to FY3</t>
  </si>
  <si>
    <t>Last fiscal year</t>
  </si>
  <si>
    <t>Current</t>
  </si>
  <si>
    <t>Equity invest</t>
  </si>
  <si>
    <t>SCMN.S</t>
  </si>
  <si>
    <t>RICs</t>
  </si>
  <si>
    <t>AVAIL(TR.TotalDebtOutstanding(Period=FI0),TR.TotalDebtOutstanding(Period=FY0))</t>
  </si>
  <si>
    <t>TR.NetIncome(Period=FY0).PED</t>
  </si>
  <si>
    <t>AVAIL(TR.CashandSTInvestments(Period=FI0),TR.CashandSTInvestments(Period=FY0))</t>
  </si>
  <si>
    <t>AVAIL(TR.LTInvestmentAffiliateCompanies(Period=FI0),TR.LTInvestmentAffiliateCompanies(Period=FY0))</t>
  </si>
  <si>
    <t>AVAIL(TR.MinorityInterestBSStmt(Period=FI0),TR.MinorityInterestBSStmt(Period=FY0))</t>
  </si>
  <si>
    <t>AVAIL(TR.RedeemablePreferredTtl(Period=FI0)+TR.PreferredStockNonRedeemableNet(Period=FI0),TR.RedeemablePreferredTtl(Period=FY0)+TR.PreferredStockNonRedeemableNet(Period=FY0))</t>
  </si>
  <si>
    <t>AVAIL(TR.PensionBenefitsUnderfunded(Period=FI0),TR.PensionBenefitsUnderfunded(Period=FY0))</t>
  </si>
  <si>
    <t>TR.NetDebtMeanEstimate(Period=FY1)//TR.EBITDAMean(Period=FY1)</t>
  </si>
  <si>
    <t>TR.NetDebtMeanEstimate(Period=FY2)//TR.EBITDAMean(Period=FY2)</t>
  </si>
  <si>
    <t>TR.NetDebtMeanEstimate(Period=FY3)//TR.EBITDAMean(Period=FY3)</t>
  </si>
  <si>
    <t>Inputs Needed / Instructions</t>
  </si>
  <si>
    <t>#1/TR.RevenueMeanEstimate(Period=FY2)</t>
  </si>
  <si>
    <t>#1/TR.RevenueMeanEstimate(Period=FY3)</t>
  </si>
  <si>
    <t>TR.HistEnterpriseValue(Period=FY0)+ZAV(TR.PensionBenefitsUnderfunded(Period=FY0))-ZAV(TR.LTInvestmentAffiliateCompanies(Period=FY0))</t>
  </si>
  <si>
    <t>(TR.HistEnterpriseValue(Period=FY0)+ZAV(TR.PensionBenefitsUnderfunded(Period=FY0))-ZAV(TR.LTInvestmentAffiliateCompanies(Period=FY0)))/TR.Revenue(Period=FY0)</t>
  </si>
  <si>
    <t>(TR.HistEnterpriseValue(Period=FY0)+ZAV(TR.PensionBenefitsUnderfunded(Period=FY0))-ZAV(TR.LTInvestmentAffiliateCompanies(Period=FY0)))/TR.EBITDA(Period=FY0)</t>
  </si>
  <si>
    <t>#1/TR.RevenueMeanEstimate(Period=FY1:FY3)</t>
  </si>
  <si>
    <t>#1/TR.EBITDAMean(Period=FY1:FY3)</t>
  </si>
  <si>
    <t>(TR.HistEnterpriseValue(Period=FY0)+ZAV(TR.PensionBenefitsUnderfunded(Period=FY0))-ZAV(TR.LTInvestmentAffiliateCompanies(Period=FY0)))/(TR.EBITDA(Period=FY0)+TR.CapitalExpenditures(Period=FY0))</t>
  </si>
  <si>
    <t>#1/(TR.EBITDAMean-TR.CapexMean)</t>
  </si>
  <si>
    <t>(TR.HistEnterpriseValue(Period=FY0)+ZAV(TR.PensionBenefitsUnderfunded(Period=FY0))-ZAV(TR.LTInvestmentAffiliateCompanies(Period=FY0)))/TR.EBIT(Period=FY0)</t>
  </si>
  <si>
    <t>#1/TR.EBITMean(Period=FY1:FY3)</t>
  </si>
  <si>
    <t>TR.HistPE(Period=FY0)</t>
  </si>
  <si>
    <t>TR.PtoEPSMeanEst(Period=FY1)</t>
  </si>
  <si>
    <t>TR.PtoEPSMeanEst(Period=FY2)</t>
  </si>
  <si>
    <t>TR.PtoEPSMeanEst(Period=FY3)</t>
  </si>
  <si>
    <t>TR.NetDebtTot(Period=FY0)//TR.EBITDA(FY0)</t>
  </si>
  <si>
    <t>TR.EBITDAMarginPercent(Period=FY0)</t>
  </si>
  <si>
    <t>AVAIL(TR.EBITDAMean(Period=#1,methodology=InterimSum)/TR.RevenueMeanEstimate(Period=#1,methodology=InterimSum),TR.EBITDAMean(Period=#1,methodology=WeightedAnnual)/TR.RevenueMeanEstimate(Period=#1,methodology=WeightedAnnual))*100</t>
  </si>
  <si>
    <t>TR.DilutedEpsExclExtra(Period=FY0)</t>
  </si>
  <si>
    <t>TR.NetDebtTot(Period=FY0,scale=6)</t>
  </si>
  <si>
    <t>Automatic</t>
  </si>
  <si>
    <t>All data in:</t>
  </si>
  <si>
    <t xml:space="preserve">        Peers &amp; Valuation</t>
  </si>
  <si>
    <t>Source: Refinitiv; GBP as of 31 Mar' 19 , millions</t>
  </si>
  <si>
    <t>TEV and Price as of Latest Available in GBP ; Source: Refinitiv, IBES</t>
  </si>
  <si>
    <t>Source: Refinitiv, IBES; GBP , millions</t>
  </si>
  <si>
    <t xml:space="preserve">        Valuation</t>
  </si>
  <si>
    <t xml:space="preserve">        Peer Comparison</t>
  </si>
  <si>
    <t>CLNX.MC</t>
  </si>
  <si>
    <t>Cellnex Telecom SA</t>
  </si>
  <si>
    <t>DTEGn.DE</t>
  </si>
  <si>
    <t>KPN.AS</t>
  </si>
  <si>
    <t>MTNJ.J</t>
  </si>
  <si>
    <t>Deutsche Telekom AG</t>
  </si>
  <si>
    <t>Koninklijke KPN NV</t>
  </si>
  <si>
    <t>MTN Group Ltd</t>
  </si>
  <si>
    <t>AAPL.O</t>
    <phoneticPr fontId="14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</si>
</sst>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4">
    <numFmt numFmtId="176" formatCode="&quot;$&quot;#,##0_);\(&quot;$&quot;#,##0\)"/>
    <numFmt numFmtId="177" formatCode="&quot;$&quot;#,##0.00_);\(&quot;$&quot;#,##0.00\)"/>
    <numFmt numFmtId="178" formatCode="&quot;$&quot;#,##0.00_);[Red]\(&quot;$&quot;#,##0.00\)"/>
    <numFmt numFmtId="179" formatCode="_(&quot;$&quot;* #,##0_);_(&quot;$&quot;* \(#,##0\);_(&quot;$&quot;* &quot;-&quot;_);_(@_)"/>
    <numFmt numFmtId="180" formatCode="_(* #,##0_);_(* \(#,##0\);_(* &quot;-&quot;_);_(@_)"/>
    <numFmt numFmtId="181" formatCode="_(&quot;$&quot;* #,##0.00_);_(&quot;$&quot;* \(#,##0.00\);_(&quot;$&quot;* &quot;-&quot;??_);_(@_)"/>
    <numFmt numFmtId="182" formatCode="_(* #,##0.00_);_(* \(#,##0.00\);_(* &quot;-&quot;??_);_(@_)"/>
    <numFmt numFmtId="183" formatCode="dd/mm/yyyy;@"/>
    <numFmt numFmtId="184" formatCode="dd\.mm\.yyyy;@"/>
    <numFmt numFmtId="185" formatCode="#,##0.0"/>
    <numFmt numFmtId="186" formatCode="0.0\x"/>
    <numFmt numFmtId="187" formatCode="#,##0.0\x"/>
    <numFmt numFmtId="188" formatCode="0.0%"/>
    <numFmt numFmtId="189" formatCode="#,##0.0_);\(#,##0.0\);@_)"/>
    <numFmt numFmtId="190" formatCode="#,##0.0_);\(#,##0.0\);&quot;-&quot;?_);@_)"/>
    <numFmt numFmtId="191" formatCode="&quot;$&quot;#,##0.0_);\(&quot;$&quot;#,##0.0\);@_)"/>
    <numFmt numFmtId="192" formatCode="&quot;$&quot;#,##0.0_);\(&quot;$&quot;#,##0.0\);&quot;-&quot;?_);@_)"/>
    <numFmt numFmtId="193" formatCode="&quot;$&quot;#,##0.00_)_x_x;\(&quot;$&quot;#,##0.00\)_x_x"/>
    <numFmt numFmtId="194" formatCode="0.0%;\-0.0%;&quot;-&quot;?_);@_)"/>
    <numFmt numFmtId="195" formatCode="#,##0.0_);[Red]\(#,##0.0\)"/>
    <numFmt numFmtId="196" formatCode="#,##0_)_x;\(#,##0\)_x;0_)_x;@_)_x"/>
    <numFmt numFmtId="197" formatCode="0.000000"/>
    <numFmt numFmtId="198" formatCode="&quot;£&quot;\ #,##0_);[Red]\(&quot;£&quot;\ #,##0\)"/>
    <numFmt numFmtId="199" formatCode="&quot;₩&quot;\ #,##0_);[Red]\(&quot;₩&quot;\ #,##0\)"/>
    <numFmt numFmtId="200" formatCode="\+#,##0.0_);\(#,##0.0\)"/>
    <numFmt numFmtId="201" formatCode="#,##0.0;\(#,##0.0\);\-"/>
    <numFmt numFmtId="202" formatCode="#,##0.0&quot; F&quot;;\(#,##0.0&quot; F&quot;\);\-"/>
    <numFmt numFmtId="203" formatCode="0.0%;\(0.0%\);\-"/>
    <numFmt numFmtId="204" formatCode="\ "/>
    <numFmt numFmtId="205" formatCode="0.00\x"/>
    <numFmt numFmtId="206" formatCode="#,##0.0_)_x_x_x;\(#,##0.0\)_x_x_x"/>
    <numFmt numFmtId="207" formatCode="#,##0.00_)_x_x;\(#,##0.00\)_x_x"/>
    <numFmt numFmtId="208" formatCode="#,##0;\(#,##0\);\-"/>
    <numFmt numFmtId="209" formatCode="#,##0&quot; MF&quot;;\(#,##0&quot; MF&quot;\);\-"/>
    <numFmt numFmtId="210" formatCode="mmmm\-yy"/>
    <numFmt numFmtId="211" formatCode="0.00\ ;\(0.00\)"/>
    <numFmt numFmtId="212" formatCode="_(* #,##0.0_);_(* \(#,##0.0\);_(* &quot;-&quot;?_);_(@_)"/>
    <numFmt numFmtId="213" formatCode="0.0_)"/>
    <numFmt numFmtId="214" formatCode="0.00%_);\(0.00%\)"/>
    <numFmt numFmtId="215" formatCode="0.0%_);\(0.0%\)"/>
    <numFmt numFmtId="216" formatCode="#,##0.0_);\(#,##0.0\)"/>
    <numFmt numFmtId="217" formatCode="_(* #,##0_);_(* \(#,##0\);_(* &quot;-&quot;??_);_(@_)"/>
    <numFmt numFmtId="218" formatCode="&quot;yes&quot;;&quot;no&quot;;&quot;no&quot;"/>
    <numFmt numFmtId="219" formatCode="&quot;•&quot;\ \ @"/>
    <numFmt numFmtId="220" formatCode="0.000_)"/>
    <numFmt numFmtId="221" formatCode="#,##0_%_);\(#,##0\)_%;#,##0_%_);@_%_)"/>
    <numFmt numFmtId="222" formatCode="#,##0.00_%_);\(#,##0.00\)_%;**;@_%_)"/>
    <numFmt numFmtId="223" formatCode="#,##0.00_%_);\(#,##0.00\)_%;#,##0.00_%_);@_%_)"/>
    <numFmt numFmtId="224" formatCode="0.00000000000000%"/>
    <numFmt numFmtId="225" formatCode="#,##0.0\x_);\(#,##0.0\x\)"/>
    <numFmt numFmtId="226" formatCode="0\ "/>
    <numFmt numFmtId="227" formatCode="&quot;$&quot;#,##0.00_%_);\(&quot;$&quot;#,##0.00\)_%;**;@_%_)"/>
    <numFmt numFmtId="228" formatCode="&quot;$&quot;#,##0.00_%_);\(&quot;$&quot;#,##0.00\)_%;&quot;$&quot;#,##0.00_%_);@_%_)"/>
    <numFmt numFmtId="229" formatCode="#,##0.0000000000000_);\(#,##0.0000000000000\)"/>
    <numFmt numFmtId="230" formatCode="&quot;$&quot;0.00\ ;\(&quot;$&quot;0.00\)"/>
    <numFmt numFmtId="231" formatCode="mmm\-dd\-yyyy"/>
    <numFmt numFmtId="232" formatCode="#,##0;\(#,##0\);\-\ "/>
    <numFmt numFmtId="233" formatCode="\ \ _•&quot;–&quot;\ \ \ \ @"/>
    <numFmt numFmtId="234" formatCode="m/d/yy_%_);;**"/>
    <numFmt numFmtId="235" formatCode="m/d/yy_%_)"/>
    <numFmt numFmtId="236" formatCode="0\ &quot;days&quot;"/>
    <numFmt numFmtId="237" formatCode="0.0"/>
    <numFmt numFmtId="238" formatCode="_-[$€-2]* #,##0.00_-;\-[$€-2]* #,##0.00_-;_-[$€-2]* &quot;-&quot;??_-"/>
    <numFmt numFmtId="239" formatCode="\€\ #,##0.0_);\(\€\ #,##0.0\);&quot;-&quot;?_);@_)"/>
    <numFmt numFmtId="240" formatCode="_-* #,##0.00\ [$€-1]_-;\-* #,##0.00\ [$€-1]_-;_-* &quot;-&quot;??\ [$€-1]_-"/>
    <numFmt numFmtId="241" formatCode="#,##0.0\ ;\(#,##0.0\);@\ "/>
    <numFmt numFmtId="242" formatCode="#,##0.0;\(#,##0.0\)"/>
    <numFmt numFmtId="243" formatCode="0_);[Red]\(0\)"/>
    <numFmt numFmtId="244" formatCode=";;;"/>
    <numFmt numFmtId="245" formatCode="#,##0\ ;@\ "/>
    <numFmt numFmtId="246" formatCode="_-* #,##0_-;_-* #,##0\-;_-* &quot;-&quot;_-;_-@_-"/>
    <numFmt numFmtId="247" formatCode="_-* #,##0.00_-;_-* #,##0.00\-;_-* &quot;-&quot;??_-;_-@_-"/>
    <numFmt numFmtId="248" formatCode="0.0\x_);\(0.0\x\)"/>
    <numFmt numFmtId="249" formatCode="#,##0.0&quot; x&quot;_);\(#,##0.0&quot; x&quot;\)"/>
    <numFmt numFmtId="250" formatCode="_(* #,##0.0_);[Red]_(* \(#,##0.0\);&quot;nm &quot;"/>
    <numFmt numFmtId="251" formatCode="_-* #,##0\ _P_t_s_-;\-* #,##0\ _P_t_s_-;_-* &quot;-&quot;\ _P_t_s_-;_-@_-"/>
    <numFmt numFmtId="252" formatCode="_-* #,##0.00\ _P_t_s_-;\-* #,##0.00\ _P_t_s_-;_-* &quot;-&quot;??\ _P_t_s_-;_-@_-"/>
    <numFmt numFmtId="253" formatCode="_-* #,##0\ _€_-;\-* #,##0\ _€_-;_-* &quot;-&quot;\ _€_-;_-@_-"/>
    <numFmt numFmtId="254" formatCode="_-* #,##0.00\ _F_-;\-* #,##0.00\ _F_-;_-* &quot;-&quot;??\ _F_-;_-@_-"/>
    <numFmt numFmtId="255" formatCode="&quot;$&quot;0.0_);\(&quot;$&quot;0.0\)"/>
    <numFmt numFmtId="256" formatCode="_-* #,##0\ &quot;Pts&quot;_-;\-* #,##0\ &quot;Pts&quot;_-;_-* &quot;-&quot;\ &quot;Pts&quot;_-;_-@_-"/>
    <numFmt numFmtId="257" formatCode="_-* #,##0.00\ &quot;Pts&quot;_-;\-* #,##0.00\ &quot;Pts&quot;_-;_-* &quot;-&quot;??\ &quot;Pts&quot;_-;_-@_-"/>
    <numFmt numFmtId="258" formatCode="_-* #,##0\ &quot;€&quot;_-;\-* #,##0\ &quot;€&quot;_-;_-* &quot;-&quot;\ &quot;€&quot;_-;_-@_-"/>
    <numFmt numFmtId="259" formatCode="_-* #,##0.00\ &quot;€&quot;_-;\-* #,##0.00\ &quot;€&quot;_-;_-* &quot;-&quot;??\ &quot;€&quot;_-;_-@_-"/>
    <numFmt numFmtId="260" formatCode="#,##0.0\x;\-#,##0.0\x;&quot;-&quot;?_);@_)"/>
    <numFmt numFmtId="261" formatCode="&quot;$&quot;#,##0.0_);\(&quot;$&quot;#,##0.0\)"/>
    <numFmt numFmtId="262" formatCode="&quot;Yes&quot;;;&quot;No&quot;"/>
    <numFmt numFmtId="263" formatCode="#,##0.0_);\(#,##0.0_)"/>
    <numFmt numFmtId="264" formatCode="&quot;On&quot;;;&quot;Off&quot;"/>
    <numFmt numFmtId="265" formatCode="#,##0.00;\(#,##0.00\);\-"/>
    <numFmt numFmtId="266" formatCode="0.0%;[Red]\(0.0%\)"/>
    <numFmt numFmtId="267" formatCode="&quot;£&quot;#,##0.00_);\(&quot;£&quot;#,##0.00\)"/>
    <numFmt numFmtId="268" formatCode="0.0&quot;x&quot;;@_)"/>
    <numFmt numFmtId="269" formatCode="0_ ;[Red]\-0\ "/>
    <numFmt numFmtId="270" formatCode="_ * #,##0_ ;_ * \-#,##0_ ;_ * &quot;-&quot;??_ ;_ @_ "/>
    <numFmt numFmtId="271" formatCode="\g\ \=\ 0.0%;\g\ \=\ \-0.0%"/>
    <numFmt numFmtId="272" formatCode="0.0\x\ "/>
    <numFmt numFmtId="273" formatCode="#,##0;\(#,##0\)"/>
    <numFmt numFmtId="274" formatCode="&quot;Include&quot;;;&quot;Exclude&quot;"/>
    <numFmt numFmtId="275" formatCode="&quot;on&quot;;;&quot;off&quot;"/>
    <numFmt numFmtId="276" formatCode="_-&quot;F&quot;\ * #,##0_-;_-&quot;F&quot;\ * #,##0\-;_-&quot;F&quot;\ * &quot;-&quot;_-;_-@_-"/>
    <numFmt numFmtId="277" formatCode="_-&quot;F&quot;\ * #,##0.00_-;_-&quot;F&quot;\ * #,##0.00\-;_-&quot;F&quot;\ * &quot;-&quot;??_-;_-@_-"/>
    <numFmt numFmtId="278" formatCode="#,##0.0_x_x"/>
    <numFmt numFmtId="279" formatCode="0.0&quot;x &quot;;@\ "/>
  </numFmts>
  <fonts count="142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2" tint="-0.499984740745262"/>
      <name val="맑은 고딕"/>
      <family val="2"/>
      <scheme val="minor"/>
    </font>
    <font>
      <sz val="11"/>
      <color theme="0" tint="-0.1499984740745262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0" tint="-0.249977111117893"/>
      <name val="맑은 고딕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i/>
      <u/>
      <sz val="11"/>
      <color theme="10"/>
      <name val="맑은 고딕"/>
      <family val="2"/>
      <scheme val="minor"/>
    </font>
    <font>
      <b/>
      <sz val="11"/>
      <color theme="2" tint="-0.499984740745262"/>
      <name val="맑은 고딕"/>
      <family val="2"/>
      <scheme val="minor"/>
    </font>
    <font>
      <b/>
      <sz val="11"/>
      <color theme="0" tint="-0.499984740745262"/>
      <name val="맑은 고딕"/>
      <family val="2"/>
      <scheme val="minor"/>
    </font>
    <font>
      <b/>
      <sz val="11"/>
      <color theme="9" tint="-0.249977111117893"/>
      <name val="맑은 고딕"/>
      <family val="2"/>
      <scheme val="minor"/>
    </font>
    <font>
      <sz val="11"/>
      <color theme="0" tint="-0.499984740745262"/>
      <name val="맑은 고딕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7"/>
      <color theme="0"/>
      <name val="Arial"/>
      <family val="2"/>
    </font>
    <font>
      <sz val="13"/>
      <color rgb="FF151516"/>
      <name val="Arial"/>
      <family val="2"/>
    </font>
    <font>
      <b/>
      <sz val="11"/>
      <color rgb="FF000000"/>
      <name val="맑은 고딕"/>
      <family val="2"/>
      <scheme val="minor"/>
    </font>
    <font>
      <b/>
      <sz val="10"/>
      <name val="MS Sans Serif"/>
      <family val="2"/>
    </font>
    <font>
      <sz val="10"/>
      <name val="Arial Narrow"/>
      <family val="2"/>
    </font>
    <font>
      <sz val="12"/>
      <color indexed="8"/>
      <name val="Times New Roman"/>
      <family val="1"/>
    </font>
    <font>
      <sz val="10"/>
      <name val="Courier"/>
      <family val="3"/>
    </font>
    <font>
      <b/>
      <sz val="22"/>
      <color indexed="18"/>
      <name val="Arial"/>
      <family val="2"/>
    </font>
    <font>
      <sz val="10"/>
      <name val="Univers Condensed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Times"/>
      <family val="1"/>
    </font>
    <font>
      <sz val="12"/>
      <name val="Times New Roman"/>
      <family val="1"/>
    </font>
    <font>
      <sz val="10"/>
      <name val="Palatino"/>
      <family val="1"/>
    </font>
    <font>
      <sz val="8"/>
      <name val="Arial"/>
      <family val="2"/>
    </font>
    <font>
      <sz val="14"/>
      <name val="Tms Rmn"/>
      <family val="1"/>
    </font>
    <font>
      <b/>
      <sz val="10"/>
      <name val="Arial"/>
      <family val="2"/>
    </font>
    <font>
      <sz val="11"/>
      <name val="Arial"/>
      <family val="2"/>
    </font>
    <font>
      <sz val="8"/>
      <color indexed="12"/>
      <name val="Arial"/>
      <family val="2"/>
    </font>
    <font>
      <sz val="9"/>
      <name val="Arial Narrow"/>
      <family val="2"/>
    </font>
    <font>
      <i/>
      <sz val="8"/>
      <color indexed="16"/>
      <name val="Arial"/>
      <family val="2"/>
    </font>
    <font>
      <i/>
      <sz val="8"/>
      <color indexed="54"/>
      <name val="Arial"/>
      <family val="2"/>
    </font>
    <font>
      <i/>
      <sz val="9"/>
      <color indexed="16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AGaramond"/>
      <family val="2"/>
    </font>
    <font>
      <b/>
      <sz val="10"/>
      <color indexed="39"/>
      <name val="Arial"/>
      <family val="2"/>
    </font>
    <font>
      <sz val="10"/>
      <color indexed="8"/>
      <name val="Times New Roman"/>
      <family val="1"/>
    </font>
    <font>
      <sz val="12"/>
      <name val="Arial"/>
      <family val="2"/>
    </font>
    <font>
      <sz val="8"/>
      <color indexed="12"/>
      <name val="Helv"/>
      <family val="2"/>
    </font>
    <font>
      <sz val="10"/>
      <name val="Geneva"/>
      <family val="2"/>
    </font>
    <font>
      <b/>
      <sz val="12"/>
      <color indexed="55"/>
      <name val="Arial"/>
      <family val="2"/>
    </font>
    <font>
      <sz val="9"/>
      <color indexed="62"/>
      <name val="Arial Narrow"/>
      <family val="2"/>
    </font>
    <font>
      <sz val="12"/>
      <color indexed="12"/>
      <name val="Arial"/>
      <family val="2"/>
    </font>
    <font>
      <sz val="10"/>
      <color indexed="54"/>
      <name val="Arial Narrow"/>
      <family val="2"/>
    </font>
    <font>
      <sz val="10"/>
      <color indexed="39"/>
      <name val="Arial"/>
      <family val="2"/>
    </font>
    <font>
      <sz val="10"/>
      <color indexed="12"/>
      <name val="Arial Narrow"/>
      <family val="2"/>
    </font>
    <font>
      <sz val="10"/>
      <color indexed="12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  <font>
      <b/>
      <sz val="7"/>
      <name val="Arial"/>
      <family val="2"/>
    </font>
    <font>
      <u val="singleAccounting"/>
      <sz val="10"/>
      <name val="Arial"/>
      <family val="2"/>
    </font>
    <font>
      <u/>
      <sz val="9"/>
      <name val="Times New Roman"/>
      <family val="1"/>
    </font>
    <font>
      <b/>
      <sz val="12"/>
      <color indexed="63"/>
      <name val="Arial Narrow"/>
      <family val="2"/>
    </font>
    <font>
      <b/>
      <sz val="10"/>
      <name val="Arial Narrow"/>
      <family val="2"/>
    </font>
    <font>
      <sz val="10"/>
      <name val="MS Sans Serif"/>
      <family val="2"/>
    </font>
    <font>
      <sz val="11"/>
      <name val="Tms Rmn"/>
      <family val="1"/>
    </font>
    <font>
      <sz val="10"/>
      <color indexed="9"/>
      <name val="Times"/>
      <family val="1"/>
    </font>
    <font>
      <sz val="10"/>
      <color indexed="39"/>
      <name val="Century Schoolbook"/>
      <family val="1"/>
    </font>
    <font>
      <sz val="8"/>
      <name val="Palatino"/>
      <family val="1"/>
    </font>
    <font>
      <sz val="24"/>
      <name val="MS Sans Serif"/>
      <family val="2"/>
    </font>
    <font>
      <sz val="7"/>
      <name val="Arial"/>
      <family val="2"/>
    </font>
    <font>
      <sz val="8"/>
      <color indexed="16"/>
      <name val="Palatino"/>
      <family val="1"/>
    </font>
    <font>
      <sz val="10"/>
      <color indexed="17"/>
      <name val="Palatino"/>
      <family val="1"/>
    </font>
    <font>
      <sz val="12"/>
      <name val="TimesNewRomanPS"/>
      <family val="1"/>
    </font>
    <font>
      <u val="doubleAccounting"/>
      <sz val="10"/>
      <name val="Arial"/>
      <family val="2"/>
    </font>
    <font>
      <sz val="10"/>
      <color indexed="38"/>
      <name val="Arial"/>
      <family val="2"/>
    </font>
    <font>
      <sz val="8"/>
      <color indexed="10"/>
      <name val="Arial"/>
      <family val="2"/>
    </font>
    <font>
      <sz val="7"/>
      <name val="Palatino"/>
      <family val="1"/>
    </font>
    <font>
      <sz val="9"/>
      <name val="GillSans"/>
      <family val="2"/>
    </font>
    <font>
      <sz val="9"/>
      <name val="GillSans Light"/>
      <family val="2"/>
    </font>
    <font>
      <b/>
      <sz val="14"/>
      <name val="Arial"/>
      <family val="2"/>
    </font>
    <font>
      <sz val="10.5"/>
      <name val="Times New Roman"/>
      <family val="1"/>
    </font>
    <font>
      <b/>
      <sz val="12"/>
      <name val="Arial"/>
      <family val="2"/>
    </font>
    <font>
      <b/>
      <sz val="18"/>
      <name val="Arial"/>
      <family val="2"/>
    </font>
    <font>
      <sz val="18"/>
      <name val="Helvetica-Black"/>
      <family val="2"/>
    </font>
    <font>
      <i/>
      <sz val="14"/>
      <name val="Palatino"/>
      <family val="1"/>
    </font>
    <font>
      <b/>
      <sz val="1"/>
      <color indexed="8"/>
      <name val="Courier"/>
      <family val="3"/>
    </font>
    <font>
      <b/>
      <i/>
      <sz val="7"/>
      <name val="Times New Roman"/>
      <family val="1"/>
    </font>
    <font>
      <sz val="10"/>
      <color indexed="12"/>
      <name val="Arial"/>
      <family val="2"/>
    </font>
    <font>
      <sz val="8"/>
      <color indexed="12"/>
      <name val="CG Times (W1)"/>
      <family val="1"/>
    </font>
    <font>
      <u/>
      <sz val="10"/>
      <color indexed="21"/>
      <name val="Arial"/>
      <family val="2"/>
    </font>
    <font>
      <u/>
      <sz val="10"/>
      <color indexed="23"/>
      <name val="Arial"/>
      <family val="2"/>
    </font>
    <font>
      <sz val="10"/>
      <name val="Times New Roman"/>
      <family val="1"/>
    </font>
    <font>
      <sz val="8"/>
      <color indexed="8"/>
      <name val="Helv"/>
      <family val="2"/>
    </font>
    <font>
      <sz val="8"/>
      <color indexed="10"/>
      <name val="Times New Roman"/>
      <family val="1"/>
    </font>
    <font>
      <sz val="30"/>
      <name val="Arial"/>
      <family val="2"/>
    </font>
    <font>
      <sz val="26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color indexed="20"/>
      <name val="Times New Roman"/>
      <family val="1"/>
    </font>
    <font>
      <sz val="12"/>
      <color indexed="14"/>
      <name val="Arial"/>
      <family val="2"/>
    </font>
    <font>
      <sz val="7"/>
      <name val="Small Fonts"/>
      <family val="2"/>
    </font>
    <font>
      <i/>
      <sz val="10"/>
      <name val="Arial"/>
      <family val="2"/>
    </font>
    <font>
      <i/>
      <sz val="10"/>
      <name val="Helv"/>
      <family val="2"/>
    </font>
    <font>
      <b/>
      <sz val="10"/>
      <color indexed="12"/>
      <name val="Arial Narrow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b/>
      <sz val="26"/>
      <name val="Times New Roman"/>
      <family val="1"/>
    </font>
    <font>
      <sz val="10"/>
      <color indexed="16"/>
      <name val="Helvetica-Black"/>
      <family val="2"/>
    </font>
    <font>
      <sz val="10"/>
      <color indexed="10"/>
      <name val="Arial Narrow"/>
      <family val="2"/>
    </font>
    <font>
      <sz val="10"/>
      <color indexed="10"/>
      <name val="MS Sans Serif"/>
      <family val="2"/>
    </font>
    <font>
      <sz val="8"/>
      <name val="Univers"/>
      <family val="2"/>
    </font>
    <font>
      <b/>
      <sz val="12"/>
      <name val="MS Sans Serif"/>
      <family val="2"/>
    </font>
    <font>
      <sz val="12"/>
      <name val="Osaka"/>
      <family val="3"/>
      <charset val="128"/>
    </font>
    <font>
      <b/>
      <sz val="24"/>
      <name val="Arial"/>
      <family val="2"/>
    </font>
    <font>
      <b/>
      <sz val="14"/>
      <color indexed="9"/>
      <name val="Arial"/>
      <family val="2"/>
    </font>
    <font>
      <b/>
      <sz val="10"/>
      <color indexed="9"/>
      <name val="Arial"/>
      <family val="2"/>
    </font>
    <font>
      <b/>
      <sz val="13"/>
      <color indexed="8"/>
      <name val="Verdana"/>
      <family val="2"/>
    </font>
    <font>
      <b/>
      <sz val="8"/>
      <color indexed="9"/>
      <name val="Verdana"/>
      <family val="2"/>
    </font>
    <font>
      <b/>
      <sz val="8"/>
      <color indexed="8"/>
      <name val="Arial"/>
      <family val="2"/>
    </font>
    <font>
      <sz val="8.25"/>
      <color indexed="8"/>
      <name val="Arial"/>
      <family val="2"/>
    </font>
    <font>
      <b/>
      <sz val="10.5"/>
      <color indexed="8"/>
      <name val="Arial"/>
      <family val="2"/>
    </font>
    <font>
      <i/>
      <sz val="8"/>
      <color indexed="8"/>
      <name val="Arial"/>
      <family val="2"/>
    </font>
    <font>
      <sz val="2"/>
      <color indexed="9"/>
      <name val="Symbol"/>
      <family val="1"/>
      <charset val="2"/>
    </font>
    <font>
      <b/>
      <sz val="9"/>
      <name val="Palatino"/>
      <family val="1"/>
    </font>
    <font>
      <sz val="9"/>
      <color indexed="21"/>
      <name val="Helvetica-Black"/>
      <family val="2"/>
    </font>
    <font>
      <sz val="9"/>
      <name val="Helvetica-Black"/>
      <family val="2"/>
    </font>
    <font>
      <sz val="12"/>
      <color indexed="12"/>
      <name val="Arial MT"/>
      <family val="2"/>
    </font>
    <font>
      <sz val="8"/>
      <name val="Helv"/>
      <family val="2"/>
    </font>
    <font>
      <sz val="1"/>
      <color indexed="8"/>
      <name val="Courier"/>
      <family val="3"/>
    </font>
    <font>
      <sz val="10"/>
      <color indexed="8"/>
      <name val="Arial"/>
      <family val="2"/>
    </font>
    <font>
      <sz val="11"/>
      <color rgb="FFFFFFFF"/>
      <name val="Arial"/>
      <family val="2"/>
    </font>
    <font>
      <sz val="10"/>
      <color indexed="62"/>
      <name val="Arial"/>
      <family val="2"/>
    </font>
    <font>
      <sz val="12"/>
      <color indexed="8"/>
      <name val="Times"/>
      <family val="1"/>
    </font>
    <font>
      <sz val="8"/>
      <color indexed="12"/>
      <name val="Times New Roman"/>
      <family val="1"/>
    </font>
    <font>
      <b/>
      <sz val="10"/>
      <color indexed="12"/>
      <name val="Arial"/>
      <family val="2"/>
    </font>
    <font>
      <sz val="11"/>
      <color theme="1"/>
      <name val="Arial"/>
      <family val="2"/>
    </font>
    <font>
      <sz val="13"/>
      <color theme="1"/>
      <name val="Arial"/>
      <family val="2"/>
    </font>
    <font>
      <sz val="12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gray125">
        <fgColor indexed="8"/>
      </patternFill>
    </fill>
    <fill>
      <patternFill patternType="solid">
        <fgColor indexed="22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solid">
        <fgColor indexed="16"/>
        <bgColor indexed="64"/>
      </patternFill>
    </fill>
    <fill>
      <patternFill patternType="lightGray">
        <fgColor indexed="12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gray0625"/>
    </fill>
    <fill>
      <patternFill patternType="solid">
        <fgColor indexed="13"/>
      </patternFill>
    </fill>
    <fill>
      <patternFill patternType="mediumGray">
        <fgColor indexed="9"/>
        <bgColor indexed="22"/>
      </patternFill>
    </fill>
    <fill>
      <patternFill patternType="solid">
        <fgColor indexed="40"/>
        <bgColor indexed="64"/>
      </patternFill>
    </fill>
    <fill>
      <patternFill patternType="solid">
        <fgColor indexed="15"/>
      </patternFill>
    </fill>
    <fill>
      <patternFill patternType="mediumGray">
        <fgColor indexed="22"/>
      </patternFill>
    </fill>
    <fill>
      <patternFill patternType="solid">
        <fgColor indexed="18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DDBA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001EFF"/>
        <bgColor indexed="64"/>
      </patternFill>
    </fill>
  </fills>
  <borders count="5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indexed="64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thin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indexed="64"/>
      </bottom>
      <diagonal/>
    </border>
    <border>
      <left style="dashed">
        <color auto="1"/>
      </left>
      <right style="thin">
        <color indexed="64"/>
      </right>
      <top style="dashed">
        <color auto="1"/>
      </top>
      <bottom style="thin">
        <color indexed="64"/>
      </bottom>
      <diagonal/>
    </border>
    <border>
      <left style="thin">
        <color indexed="64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thin">
        <color indexed="64"/>
      </right>
      <top/>
      <bottom style="dashed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37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indexed="15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28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15"/>
      </top>
      <bottom style="thin">
        <color indexed="15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FF9933"/>
      </left>
      <right style="thin">
        <color rgb="FFFF9933"/>
      </right>
      <top style="thin">
        <color rgb="FFFF9933"/>
      </top>
      <bottom style="thin">
        <color rgb="FFFF9933"/>
      </bottom>
      <diagonal/>
    </border>
    <border>
      <left/>
      <right/>
      <top/>
      <bottom style="thin">
        <color indexed="15"/>
      </bottom>
      <diagonal/>
    </border>
    <border>
      <left/>
      <right/>
      <top style="thin">
        <color rgb="FFC2C2C2"/>
      </top>
      <bottom/>
      <diagonal/>
    </border>
    <border>
      <left/>
      <right/>
      <top/>
      <bottom style="thin">
        <color rgb="FFC2C2C2"/>
      </bottom>
      <diagonal/>
    </border>
    <border>
      <left/>
      <right/>
      <top style="thin">
        <color rgb="FFC2C2C2"/>
      </top>
      <bottom style="thin">
        <color rgb="FFC2C2C2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3C3C3C"/>
      </bottom>
      <diagonal/>
    </border>
    <border>
      <left style="thin">
        <color rgb="FF99A5FF"/>
      </left>
      <right style="thin">
        <color rgb="FF99A5FF"/>
      </right>
      <top style="thin">
        <color rgb="FF99A5FF"/>
      </top>
      <bottom style="thin">
        <color rgb="FF99A5FF"/>
      </bottom>
      <diagonal/>
    </border>
    <border>
      <left style="thin">
        <color rgb="FF99A5FF"/>
      </left>
      <right/>
      <top style="thin">
        <color rgb="FF99A5FF"/>
      </top>
      <bottom style="thin">
        <color rgb="FF99A5FF"/>
      </bottom>
      <diagonal/>
    </border>
    <border>
      <left style="thin">
        <color rgb="FF99A5FF"/>
      </left>
      <right style="thin">
        <color rgb="FF99A5FF"/>
      </right>
      <top style="thin">
        <color rgb="FF99A5FF"/>
      </top>
      <bottom/>
      <diagonal/>
    </border>
  </borders>
  <cellStyleXfs count="985">
    <xf numFmtId="0" fontId="0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18" fillId="0" borderId="0" applyNumberFormat="0" applyFill="0" applyBorder="0" applyAlignment="0" applyProtection="0"/>
    <xf numFmtId="189" fontId="19" fillId="0" borderId="0" applyFont="0" applyFill="0" applyBorder="0" applyAlignment="0" applyProtection="0"/>
    <xf numFmtId="190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92" fontId="19" fillId="0" borderId="0" applyFont="0" applyFill="0" applyBorder="0" applyAlignment="0" applyProtection="0"/>
    <xf numFmtId="193" fontId="6" fillId="0" borderId="0"/>
    <xf numFmtId="0" fontId="6" fillId="0" borderId="0"/>
    <xf numFmtId="194" fontId="19" fillId="0" borderId="0" applyFont="0" applyFill="0" applyBorder="0" applyAlignment="0" applyProtection="0"/>
    <xf numFmtId="178" fontId="19" fillId="6" borderId="0"/>
    <xf numFmtId="195" fontId="20" fillId="0" borderId="22">
      <alignment horizontal="right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horizontal="left" wrapText="1"/>
    </xf>
    <xf numFmtId="0" fontId="6" fillId="0" borderId="0"/>
    <xf numFmtId="0" fontId="6" fillId="0" borderId="0"/>
    <xf numFmtId="0" fontId="21" fillId="0" borderId="0">
      <alignment vertical="center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6" fillId="7" borderId="0" applyNumberFormat="0" applyFont="0" applyAlignment="0" applyProtection="0"/>
    <xf numFmtId="0" fontId="21" fillId="0" borderId="0">
      <alignment vertical="center"/>
    </xf>
    <xf numFmtId="0" fontId="6" fillId="0" borderId="0" applyFont="0" applyFill="0" applyBorder="0" applyAlignment="0" applyProtection="0"/>
    <xf numFmtId="196" fontId="6" fillId="0" borderId="0" applyFont="0" applyFill="0" applyBorder="0" applyProtection="0">
      <alignment horizontal="right"/>
    </xf>
    <xf numFmtId="0" fontId="23" fillId="0" borderId="0">
      <alignment vertical="top"/>
    </xf>
    <xf numFmtId="0" fontId="24" fillId="0" borderId="0" applyNumberFormat="0" applyFill="0" applyBorder="0" applyProtection="0">
      <alignment vertical="top"/>
    </xf>
    <xf numFmtId="0" fontId="25" fillId="0" borderId="23" applyNumberFormat="0" applyFill="0" applyAlignment="0" applyProtection="0"/>
    <xf numFmtId="0" fontId="26" fillId="0" borderId="24" applyNumberFormat="0" applyFill="0" applyProtection="0">
      <alignment horizontal="center"/>
    </xf>
    <xf numFmtId="0" fontId="26" fillId="0" borderId="0" applyNumberFormat="0" applyFill="0" applyBorder="0" applyProtection="0">
      <alignment horizontal="left"/>
    </xf>
    <xf numFmtId="0" fontId="27" fillId="0" borderId="0" applyNumberFormat="0" applyFill="0" applyBorder="0" applyProtection="0">
      <alignment horizontal="centerContinuous"/>
    </xf>
    <xf numFmtId="0" fontId="23" fillId="0" borderId="0">
      <alignment vertical="top"/>
    </xf>
    <xf numFmtId="0" fontId="6" fillId="0" borderId="0"/>
    <xf numFmtId="197" fontId="6" fillId="0" borderId="0">
      <alignment horizontal="left" wrapText="1"/>
    </xf>
    <xf numFmtId="0" fontId="23" fillId="0" borderId="0">
      <alignment vertical="top"/>
    </xf>
    <xf numFmtId="0" fontId="6" fillId="0" borderId="0">
      <alignment horizontal="left" wrapText="1"/>
    </xf>
    <xf numFmtId="0" fontId="6" fillId="0" borderId="0" applyNumberFormat="0" applyFill="0" applyBorder="0" applyAlignment="0" applyProtection="0"/>
    <xf numFmtId="0" fontId="28" fillId="0" borderId="0"/>
    <xf numFmtId="198" fontId="29" fillId="0" borderId="0" applyFont="0" applyFill="0" applyBorder="0" applyAlignment="0" applyProtection="0"/>
    <xf numFmtId="199" fontId="29" fillId="0" borderId="0" applyFont="0" applyFill="0" applyBorder="0" applyAlignment="0" applyProtection="0"/>
    <xf numFmtId="200" fontId="6" fillId="0" borderId="0" applyFont="0" applyFill="0" applyBorder="0" applyAlignment="0"/>
    <xf numFmtId="0" fontId="6" fillId="0" borderId="0"/>
    <xf numFmtId="201" fontId="30" fillId="0" borderId="0">
      <alignment horizontal="center"/>
    </xf>
    <xf numFmtId="202" fontId="30" fillId="0" borderId="0">
      <alignment horizontal="center"/>
    </xf>
    <xf numFmtId="203" fontId="30" fillId="0" borderId="0">
      <alignment horizontal="center"/>
    </xf>
    <xf numFmtId="204" fontId="29" fillId="0" borderId="0">
      <alignment horizontal="center"/>
    </xf>
    <xf numFmtId="205" fontId="30" fillId="0" borderId="0">
      <alignment horizontal="center"/>
    </xf>
    <xf numFmtId="186" fontId="30" fillId="0" borderId="0">
      <alignment horizontal="center"/>
    </xf>
    <xf numFmtId="206" fontId="6" fillId="0" borderId="0"/>
    <xf numFmtId="207" fontId="6" fillId="6" borderId="0"/>
    <xf numFmtId="208" fontId="30" fillId="0" borderId="0">
      <alignment horizontal="center"/>
    </xf>
    <xf numFmtId="209" fontId="30" fillId="0" borderId="0">
      <alignment horizontal="center"/>
    </xf>
    <xf numFmtId="201" fontId="30" fillId="0" borderId="0">
      <alignment horizontal="center"/>
    </xf>
    <xf numFmtId="210" fontId="29" fillId="0" borderId="0">
      <alignment horizontal="center"/>
    </xf>
    <xf numFmtId="0" fontId="31" fillId="0" borderId="0"/>
    <xf numFmtId="211" fontId="32" fillId="0" borderId="0"/>
    <xf numFmtId="0" fontId="6" fillId="0" borderId="0" applyFont="0"/>
    <xf numFmtId="37" fontId="33" fillId="0" borderId="0"/>
    <xf numFmtId="0" fontId="34" fillId="8" borderId="0" applyFont="0" applyBorder="0"/>
    <xf numFmtId="0" fontId="34" fillId="9" borderId="0" applyNumberFormat="0" applyFont="0" applyBorder="0" applyAlignment="0" applyProtection="0"/>
    <xf numFmtId="0" fontId="21" fillId="10" borderId="0" applyNumberFormat="0" applyFont="0" applyBorder="0" applyAlignment="0" applyProtection="0"/>
    <xf numFmtId="0" fontId="31" fillId="11" borderId="0" applyBorder="0"/>
    <xf numFmtId="0" fontId="6" fillId="0" borderId="25" applyNumberFormat="0" applyBorder="0" applyAlignment="0" applyProtection="0"/>
    <xf numFmtId="0" fontId="35" fillId="0" borderId="0" applyBorder="0">
      <alignment horizontal="right"/>
    </xf>
    <xf numFmtId="0" fontId="36" fillId="0" borderId="0" applyBorder="0">
      <alignment horizontal="right"/>
    </xf>
    <xf numFmtId="0" fontId="36" fillId="0" borderId="0" applyBorder="0">
      <alignment horizontal="right"/>
    </xf>
    <xf numFmtId="0" fontId="36" fillId="0" borderId="0" applyBorder="0">
      <alignment horizontal="right"/>
    </xf>
    <xf numFmtId="0" fontId="36" fillId="0" borderId="0" applyBorder="0">
      <alignment horizontal="right"/>
    </xf>
    <xf numFmtId="0" fontId="36" fillId="0" borderId="0" applyBorder="0">
      <alignment horizontal="right"/>
    </xf>
    <xf numFmtId="0" fontId="36" fillId="0" borderId="0" applyBorder="0">
      <alignment horizontal="right"/>
    </xf>
    <xf numFmtId="0" fontId="36" fillId="0" borderId="0" applyBorder="0">
      <alignment horizontal="right"/>
    </xf>
    <xf numFmtId="0" fontId="36" fillId="0" borderId="0" applyBorder="0">
      <alignment horizontal="right"/>
    </xf>
    <xf numFmtId="0" fontId="36" fillId="0" borderId="0" applyBorder="0">
      <alignment horizontal="right"/>
    </xf>
    <xf numFmtId="0" fontId="36" fillId="0" borderId="0" applyBorder="0">
      <alignment horizontal="right"/>
    </xf>
    <xf numFmtId="0" fontId="31" fillId="0" borderId="25" applyBorder="0">
      <alignment horizontal="right"/>
    </xf>
    <xf numFmtId="0" fontId="36" fillId="0" borderId="25" applyBorder="0">
      <alignment horizontal="right"/>
    </xf>
    <xf numFmtId="0" fontId="36" fillId="0" borderId="25" applyBorder="0">
      <alignment horizontal="right"/>
    </xf>
    <xf numFmtId="0" fontId="36" fillId="0" borderId="25" applyBorder="0">
      <alignment horizontal="right"/>
    </xf>
    <xf numFmtId="0" fontId="36" fillId="0" borderId="25" applyBorder="0">
      <alignment horizontal="right"/>
    </xf>
    <xf numFmtId="0" fontId="36" fillId="0" borderId="25" applyBorder="0">
      <alignment horizontal="right"/>
    </xf>
    <xf numFmtId="0" fontId="36" fillId="0" borderId="25" applyBorder="0">
      <alignment horizontal="right"/>
    </xf>
    <xf numFmtId="0" fontId="36" fillId="0" borderId="25" applyBorder="0">
      <alignment horizontal="right"/>
    </xf>
    <xf numFmtId="0" fontId="36" fillId="0" borderId="25" applyBorder="0">
      <alignment horizontal="right"/>
    </xf>
    <xf numFmtId="0" fontId="36" fillId="0" borderId="25" applyBorder="0">
      <alignment horizontal="right"/>
    </xf>
    <xf numFmtId="0" fontId="36" fillId="0" borderId="25" applyBorder="0">
      <alignment horizontal="right"/>
    </xf>
    <xf numFmtId="188" fontId="37" fillId="0" borderId="0" applyBorder="0">
      <alignment horizontal="right"/>
    </xf>
    <xf numFmtId="188" fontId="38" fillId="0" borderId="25" applyBorder="0">
      <alignment horizontal="right"/>
    </xf>
    <xf numFmtId="0" fontId="38" fillId="0" borderId="25" applyBorder="0">
      <alignment horizontal="right"/>
    </xf>
    <xf numFmtId="0" fontId="38" fillId="0" borderId="25" applyBorder="0">
      <alignment horizontal="right"/>
    </xf>
    <xf numFmtId="0" fontId="38" fillId="0" borderId="25" applyBorder="0">
      <alignment horizontal="right"/>
    </xf>
    <xf numFmtId="0" fontId="37" fillId="0" borderId="0" applyBorder="0">
      <alignment horizontal="right"/>
    </xf>
    <xf numFmtId="0" fontId="37" fillId="0" borderId="0" applyBorder="0">
      <alignment horizontal="right"/>
    </xf>
    <xf numFmtId="0" fontId="37" fillId="0" borderId="0" applyBorder="0">
      <alignment horizontal="right"/>
    </xf>
    <xf numFmtId="0" fontId="39" fillId="0" borderId="0">
      <alignment horizontal="left" indent="1"/>
    </xf>
    <xf numFmtId="0" fontId="34" fillId="12" borderId="25" applyNumberFormat="0" applyFont="0" applyBorder="0" applyAlignment="0" applyProtection="0"/>
    <xf numFmtId="0" fontId="40" fillId="13" borderId="18" applyBorder="0">
      <alignment horizontal="right"/>
    </xf>
    <xf numFmtId="0" fontId="36" fillId="13" borderId="18" applyBorder="0">
      <alignment horizontal="right"/>
    </xf>
    <xf numFmtId="0" fontId="36" fillId="13" borderId="18" applyBorder="0">
      <alignment horizontal="right"/>
    </xf>
    <xf numFmtId="0" fontId="36" fillId="13" borderId="18" applyBorder="0">
      <alignment horizontal="right"/>
    </xf>
    <xf numFmtId="0" fontId="36" fillId="13" borderId="18" applyBorder="0">
      <alignment horizontal="right"/>
    </xf>
    <xf numFmtId="0" fontId="36" fillId="13" borderId="18" applyBorder="0">
      <alignment horizontal="right"/>
    </xf>
    <xf numFmtId="0" fontId="36" fillId="13" borderId="18" applyBorder="0">
      <alignment horizontal="right"/>
    </xf>
    <xf numFmtId="0" fontId="36" fillId="13" borderId="18" applyBorder="0">
      <alignment horizontal="right"/>
    </xf>
    <xf numFmtId="0" fontId="36" fillId="13" borderId="18" applyBorder="0">
      <alignment horizontal="right"/>
    </xf>
    <xf numFmtId="0" fontId="36" fillId="13" borderId="18" applyBorder="0">
      <alignment horizontal="right"/>
    </xf>
    <xf numFmtId="0" fontId="36" fillId="13" borderId="18" applyBorder="0">
      <alignment horizontal="right"/>
    </xf>
    <xf numFmtId="0" fontId="40" fillId="0" borderId="18" applyBorder="0">
      <alignment horizontal="right"/>
    </xf>
    <xf numFmtId="0" fontId="36" fillId="0" borderId="18" applyBorder="0">
      <alignment horizontal="right"/>
    </xf>
    <xf numFmtId="0" fontId="36" fillId="0" borderId="18" applyBorder="0">
      <alignment horizontal="right"/>
    </xf>
    <xf numFmtId="0" fontId="36" fillId="0" borderId="18" applyBorder="0">
      <alignment horizontal="right"/>
    </xf>
    <xf numFmtId="0" fontId="36" fillId="0" borderId="18" applyBorder="0">
      <alignment horizontal="right"/>
    </xf>
    <xf numFmtId="0" fontId="36" fillId="0" borderId="18" applyBorder="0">
      <alignment horizontal="right"/>
    </xf>
    <xf numFmtId="0" fontId="36" fillId="0" borderId="18" applyBorder="0">
      <alignment horizontal="right"/>
    </xf>
    <xf numFmtId="0" fontId="36" fillId="0" borderId="18" applyBorder="0">
      <alignment horizontal="right"/>
    </xf>
    <xf numFmtId="0" fontId="36" fillId="0" borderId="18" applyBorder="0">
      <alignment horizontal="right"/>
    </xf>
    <xf numFmtId="0" fontId="36" fillId="0" borderId="18" applyBorder="0">
      <alignment horizontal="right"/>
    </xf>
    <xf numFmtId="0" fontId="36" fillId="0" borderId="18" applyBorder="0">
      <alignment horizontal="right"/>
    </xf>
    <xf numFmtId="0" fontId="41" fillId="0" borderId="25" applyNumberFormat="0" applyBorder="0" applyAlignment="0" applyProtection="0"/>
    <xf numFmtId="0" fontId="40" fillId="8" borderId="26" applyBorder="0">
      <alignment horizontal="center"/>
    </xf>
    <xf numFmtId="182" fontId="6" fillId="0" borderId="0" applyFont="0" applyFill="0" applyBorder="0" applyAlignment="0" applyProtection="0">
      <alignment vertical="top"/>
    </xf>
    <xf numFmtId="180" fontId="6" fillId="0" borderId="0" applyFont="0" applyFill="0" applyBorder="0" applyAlignment="0" applyProtection="0"/>
    <xf numFmtId="212" fontId="6" fillId="0" borderId="27" applyFont="0" applyFill="0" applyBorder="0" applyAlignment="0" applyProtection="0"/>
    <xf numFmtId="180" fontId="6" fillId="0" borderId="0" applyFont="0" applyFill="0" applyBorder="0" applyAlignment="0" applyProtection="0">
      <alignment vertical="top"/>
    </xf>
    <xf numFmtId="0" fontId="36" fillId="0" borderId="19">
      <alignment horizontal="right"/>
    </xf>
    <xf numFmtId="0" fontId="18" fillId="0" borderId="0" applyNumberFormat="0" applyFill="0" applyBorder="0" applyAlignment="0" applyProtection="0"/>
    <xf numFmtId="0" fontId="42" fillId="0" borderId="0"/>
    <xf numFmtId="0" fontId="43" fillId="0" borderId="0" applyNumberFormat="0" applyFill="0" applyBorder="0" applyAlignment="0" applyProtection="0"/>
    <xf numFmtId="213" fontId="44" fillId="14" borderId="28"/>
    <xf numFmtId="0" fontId="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>
      <protection hidden="1"/>
    </xf>
    <xf numFmtId="0" fontId="47" fillId="15" borderId="22" applyNumberFormat="0" applyFont="0" applyBorder="0" applyAlignment="0" applyProtection="0">
      <protection hidden="1"/>
    </xf>
    <xf numFmtId="37" fontId="48" fillId="0" borderId="0"/>
    <xf numFmtId="38" fontId="33" fillId="16" borderId="0"/>
    <xf numFmtId="212" fontId="6" fillId="0" borderId="0">
      <alignment horizontal="center"/>
    </xf>
    <xf numFmtId="214" fontId="49" fillId="0" borderId="0"/>
    <xf numFmtId="215" fontId="50" fillId="0" borderId="0" applyNumberFormat="0" applyFill="0" applyBorder="0" applyAlignment="0" applyProtection="0"/>
    <xf numFmtId="212" fontId="6" fillId="0" borderId="0">
      <alignment horizontal="center"/>
    </xf>
    <xf numFmtId="212" fontId="6" fillId="0" borderId="0">
      <alignment horizontal="center"/>
    </xf>
    <xf numFmtId="216" fontId="51" fillId="0" borderId="0" applyNumberFormat="0" applyFill="0" applyBorder="0" applyAlignment="0" applyProtection="0"/>
    <xf numFmtId="38" fontId="33" fillId="16" borderId="0"/>
    <xf numFmtId="216" fontId="51" fillId="0" borderId="0" applyNumberFormat="0" applyFill="0" applyBorder="0" applyAlignment="0" applyProtection="0"/>
    <xf numFmtId="216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212" fontId="6" fillId="0" borderId="0">
      <alignment horizontal="center"/>
    </xf>
    <xf numFmtId="0" fontId="6" fillId="0" borderId="29" applyNumberFormat="0" applyFont="0" applyFill="0" applyAlignment="0"/>
    <xf numFmtId="0" fontId="36" fillId="0" borderId="0" applyNumberFormat="0" applyFont="0" applyAlignment="0"/>
    <xf numFmtId="217" fontId="53" fillId="0" borderId="0" applyNumberFormat="0" applyFill="0" applyBorder="0" applyAlignment="0" applyProtection="0">
      <alignment horizontal="right"/>
    </xf>
    <xf numFmtId="177" fontId="54" fillId="0" borderId="0">
      <alignment horizontal="right"/>
      <protection locked="0"/>
    </xf>
    <xf numFmtId="0" fontId="55" fillId="0" borderId="13" applyNumberFormat="0" applyFill="0" applyAlignment="0" applyProtection="0"/>
    <xf numFmtId="218" fontId="6" fillId="0" borderId="0" applyFont="0" applyFill="0" applyBorder="0" applyAlignment="0" applyProtection="0"/>
    <xf numFmtId="0" fontId="56" fillId="0" borderId="30" applyNumberFormat="0" applyFont="0" applyFill="0" applyAlignment="0" applyProtection="0"/>
    <xf numFmtId="0" fontId="57" fillId="0" borderId="31" applyNumberFormat="0" applyFont="0" applyFill="0" applyAlignment="0" applyProtection="0">
      <alignment horizontal="centerContinuous"/>
    </xf>
    <xf numFmtId="0" fontId="58" fillId="0" borderId="0" applyFont="0" applyFill="0" applyBorder="0" applyAlignment="0" applyProtection="0"/>
    <xf numFmtId="37" fontId="33" fillId="0" borderId="0"/>
    <xf numFmtId="219" fontId="2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1" fillId="17" borderId="0" applyNumberFormat="0" applyFont="0" applyBorder="0" applyAlignment="0">
      <protection locked="0"/>
    </xf>
    <xf numFmtId="0" fontId="59" fillId="0" borderId="0" applyFill="0" applyBorder="0" applyProtection="0">
      <alignment horizontal="center"/>
    </xf>
    <xf numFmtId="0" fontId="60" fillId="18" borderId="0">
      <alignment horizontal="left"/>
    </xf>
    <xf numFmtId="0" fontId="61" fillId="0" borderId="0" applyNumberFormat="0" applyFill="0" applyBorder="0">
      <alignment horizontal="center" wrapText="1"/>
    </xf>
    <xf numFmtId="0" fontId="62" fillId="0" borderId="0">
      <alignment horizontal="center" wrapText="1"/>
      <protection hidden="1"/>
    </xf>
    <xf numFmtId="220" fontId="63" fillId="0" borderId="0"/>
    <xf numFmtId="220" fontId="63" fillId="0" borderId="0"/>
    <xf numFmtId="220" fontId="63" fillId="0" borderId="0"/>
    <xf numFmtId="220" fontId="63" fillId="0" borderId="0"/>
    <xf numFmtId="220" fontId="63" fillId="0" borderId="0"/>
    <xf numFmtId="220" fontId="63" fillId="0" borderId="0"/>
    <xf numFmtId="220" fontId="63" fillId="0" borderId="0"/>
    <xf numFmtId="220" fontId="63" fillId="0" borderId="0"/>
    <xf numFmtId="0" fontId="64" fillId="0" borderId="0"/>
    <xf numFmtId="180" fontId="65" fillId="0" borderId="0" applyFont="0" applyBorder="0">
      <alignment horizontal="right"/>
    </xf>
    <xf numFmtId="0" fontId="55" fillId="0" borderId="0" applyFont="0" applyFill="0" applyBorder="0" applyAlignment="0">
      <alignment horizontal="center" wrapText="1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/>
    <xf numFmtId="221" fontId="6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222" fontId="66" fillId="0" borderId="0" applyFont="0" applyFill="0" applyBorder="0" applyAlignment="0" applyProtection="0"/>
    <xf numFmtId="223" fontId="66" fillId="0" borderId="0" applyFont="0" applyFill="0" applyBorder="0" applyAlignment="0" applyProtection="0">
      <alignment horizontal="right"/>
    </xf>
    <xf numFmtId="224" fontId="6" fillId="0" borderId="0" applyFont="0" applyFill="0" applyBorder="0" applyAlignment="0" applyProtection="0"/>
    <xf numFmtId="0" fontId="36" fillId="0" borderId="0" applyFont="0" applyFill="0" applyBorder="0" applyAlignment="0" applyProtection="0"/>
    <xf numFmtId="3" fontId="6" fillId="0" borderId="0" applyFont="0" applyFill="0" applyBorder="0" applyAlignment="0" applyProtection="0"/>
    <xf numFmtId="0" fontId="36" fillId="0" borderId="0"/>
    <xf numFmtId="0" fontId="67" fillId="19" borderId="0">
      <alignment horizontal="center" vertical="center" wrapText="1"/>
    </xf>
    <xf numFmtId="225" fontId="6" fillId="0" borderId="0" applyFont="0" applyFill="0" applyBorder="0" applyAlignment="0" applyProtection="0"/>
    <xf numFmtId="0" fontId="36" fillId="1" borderId="0" applyFont="0" applyFill="0" applyBorder="0" applyAlignment="0" applyProtection="0">
      <alignment horizontal="right"/>
    </xf>
    <xf numFmtId="3" fontId="6" fillId="0" borderId="32" applyNumberFormat="0" applyAlignment="0">
      <alignment vertical="center"/>
    </xf>
    <xf numFmtId="226" fontId="45" fillId="0" borderId="0" applyFill="0" applyBorder="0">
      <alignment horizontal="right"/>
      <protection locked="0"/>
    </xf>
    <xf numFmtId="176" fontId="68" fillId="0" borderId="0" applyFont="0" applyFill="0" applyBorder="0" applyAlignment="0" applyProtection="0">
      <alignment horizontal="center"/>
    </xf>
    <xf numFmtId="39" fontId="6" fillId="0" borderId="0" applyFont="0" applyFill="0" applyBorder="0" applyAlignment="0" applyProtection="0"/>
    <xf numFmtId="0" fontId="55" fillId="0" borderId="0" applyFont="0" applyFill="0" applyBorder="0" applyAlignment="0">
      <alignment horizontal="center" wrapText="1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227" fontId="69" fillId="0" borderId="0" applyFont="0" applyFill="0" applyBorder="0" applyAlignment="0" applyProtection="0"/>
    <xf numFmtId="228" fontId="66" fillId="0" borderId="0" applyFont="0" applyFill="0" applyBorder="0" applyAlignment="0" applyProtection="0">
      <alignment horizontal="right"/>
    </xf>
    <xf numFmtId="22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30" fontId="32" fillId="0" borderId="0" applyFill="0" applyBorder="0" applyProtection="0">
      <alignment horizontal="right"/>
    </xf>
    <xf numFmtId="0" fontId="19" fillId="6" borderId="0"/>
    <xf numFmtId="231" fontId="19" fillId="0" borderId="0" applyFill="0" applyBorder="0" applyAlignment="0" applyProtection="0"/>
    <xf numFmtId="232" fontId="6" fillId="0" borderId="0"/>
    <xf numFmtId="232" fontId="6" fillId="0" borderId="0"/>
    <xf numFmtId="232" fontId="6" fillId="0" borderId="0"/>
    <xf numFmtId="232" fontId="6" fillId="0" borderId="0"/>
    <xf numFmtId="232" fontId="70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0" fillId="0" borderId="0"/>
    <xf numFmtId="0" fontId="7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32" fontId="6" fillId="0" borderId="0"/>
    <xf numFmtId="232" fontId="6" fillId="0" borderId="0"/>
    <xf numFmtId="232" fontId="70" fillId="0" borderId="0"/>
    <xf numFmtId="232" fontId="70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2" fontId="6" fillId="0" borderId="0"/>
    <xf numFmtId="233" fontId="29" fillId="0" borderId="0" applyFont="0" applyFill="0" applyBorder="0" applyAlignment="0" applyProtection="0"/>
    <xf numFmtId="14" fontId="71" fillId="0" borderId="0"/>
    <xf numFmtId="0" fontId="36" fillId="0" borderId="0" applyFont="0" applyFill="0" applyBorder="0" applyAlignment="0" applyProtection="0"/>
    <xf numFmtId="234" fontId="66" fillId="0" borderId="0" applyFont="0" applyFill="0" applyBorder="0" applyAlignment="0" applyProtection="0"/>
    <xf numFmtId="235" fontId="66" fillId="0" borderId="0" applyFont="0" applyFill="0" applyBorder="0" applyAlignment="0" applyProtection="0"/>
    <xf numFmtId="14" fontId="31" fillId="0" borderId="0" applyFont="0" applyFill="0" applyBorder="0" applyAlignment="0" applyProtection="0"/>
    <xf numFmtId="14" fontId="71" fillId="0" borderId="0"/>
    <xf numFmtId="0" fontId="36" fillId="0" borderId="14" applyFont="0" applyFill="0" applyBorder="0" applyAlignment="0" applyProtection="0">
      <alignment horizontal="right"/>
    </xf>
    <xf numFmtId="15" fontId="30" fillId="0" borderId="0" applyFont="0" applyFill="0" applyBorder="0" applyAlignment="0" applyProtection="0">
      <alignment horizontal="center"/>
    </xf>
    <xf numFmtId="236" fontId="19" fillId="20" borderId="0" applyFont="0" applyFill="0" applyBorder="0" applyAlignment="0" applyProtection="0"/>
    <xf numFmtId="195" fontId="30" fillId="0" borderId="0" applyFont="0" applyFill="0" applyBorder="0" applyAlignment="0" applyProtection="0">
      <alignment horizontal="center"/>
    </xf>
    <xf numFmtId="9" fontId="6" fillId="0" borderId="0" applyNumberFormat="0" applyFill="0" applyBorder="0" applyAlignment="0" applyProtection="0"/>
    <xf numFmtId="0" fontId="6" fillId="0" borderId="0" applyFont="0" applyFill="0" applyBorder="0" applyAlignment="0"/>
    <xf numFmtId="0" fontId="36" fillId="0" borderId="33" applyNumberFormat="0" applyFont="0" applyFill="0" applyAlignment="0" applyProtection="0"/>
    <xf numFmtId="179" fontId="72" fillId="0" borderId="0" applyFill="0" applyBorder="0" applyAlignment="0" applyProtection="0"/>
    <xf numFmtId="1" fontId="56" fillId="0" borderId="0"/>
    <xf numFmtId="0" fontId="6" fillId="1" borderId="0" applyNumberFormat="0" applyBorder="0" applyAlignment="0" applyProtection="0"/>
    <xf numFmtId="237" fontId="73" fillId="0" borderId="0"/>
    <xf numFmtId="238" fontId="6" fillId="0" borderId="0" applyFont="0" applyFill="0" applyBorder="0" applyAlignment="0" applyProtection="0">
      <protection locked="0"/>
    </xf>
    <xf numFmtId="239" fontId="53" fillId="0" borderId="0" applyFont="0" applyFill="0" applyBorder="0" applyAlignment="0" applyProtection="0"/>
    <xf numFmtId="240" fontId="29" fillId="0" borderId="0" applyFont="0" applyFill="0" applyBorder="0" applyAlignment="0" applyProtection="0"/>
    <xf numFmtId="225" fontId="6" fillId="0" borderId="0" applyFont="0" applyFill="0" applyBorder="0" applyAlignment="0" applyProtection="0"/>
    <xf numFmtId="0" fontId="56" fillId="0" borderId="0" applyNumberFormat="0" applyFont="0" applyFill="0" applyBorder="0" applyAlignment="0" applyProtection="0"/>
    <xf numFmtId="0" fontId="56" fillId="0" borderId="0" applyNumberFormat="0" applyFont="0" applyFill="0" applyBorder="0" applyAlignment="0" applyProtection="0"/>
    <xf numFmtId="0" fontId="56" fillId="0" borderId="0" applyNumberFormat="0" applyFont="0" applyFill="0" applyBorder="0" applyAlignment="0" applyProtection="0"/>
    <xf numFmtId="0" fontId="56" fillId="0" borderId="0" applyNumberFormat="0" applyFont="0" applyFill="0" applyBorder="0" applyAlignment="0" applyProtection="0"/>
    <xf numFmtId="0" fontId="56" fillId="0" borderId="0" applyNumberFormat="0" applyFont="0" applyFill="0" applyBorder="0" applyAlignment="0" applyProtection="0"/>
    <xf numFmtId="0" fontId="56" fillId="0" borderId="0" applyNumberFormat="0" applyFont="0" applyFill="0" applyBorder="0" applyAlignment="0" applyProtection="0"/>
    <xf numFmtId="0" fontId="56" fillId="0" borderId="0" applyNumberFormat="0" applyFont="0" applyFill="0" applyBorder="0" applyAlignment="0" applyProtection="0"/>
    <xf numFmtId="241" fontId="45" fillId="21" borderId="19">
      <alignment horizontal="left"/>
    </xf>
    <xf numFmtId="242" fontId="6" fillId="0" borderId="0"/>
    <xf numFmtId="0" fontId="6" fillId="0" borderId="0">
      <protection locked="0"/>
    </xf>
    <xf numFmtId="243" fontId="31" fillId="0" borderId="0" applyFont="0" applyFill="0" applyBorder="0" applyProtection="0"/>
    <xf numFmtId="185" fontId="74" fillId="0" borderId="0" applyNumberFormat="0" applyFill="0" applyBorder="0" applyAlignment="0" applyProtection="0"/>
    <xf numFmtId="0" fontId="75" fillId="0" borderId="0" applyFill="0" applyBorder="0" applyProtection="0">
      <alignment horizontal="left"/>
    </xf>
    <xf numFmtId="195" fontId="6" fillId="0" borderId="0"/>
    <xf numFmtId="0" fontId="76" fillId="0" borderId="0"/>
    <xf numFmtId="0" fontId="77" fillId="0" borderId="0"/>
    <xf numFmtId="38" fontId="31" fillId="8" borderId="0" applyNumberFormat="0" applyBorder="0" applyAlignment="0" applyProtection="0"/>
    <xf numFmtId="0" fontId="6" fillId="22" borderId="14" applyNumberFormat="0" applyFont="0" applyAlignment="0"/>
    <xf numFmtId="0" fontId="36" fillId="22" borderId="14" applyNumberFormat="0" applyFont="0" applyAlignment="0"/>
    <xf numFmtId="0" fontId="36" fillId="0" borderId="0" applyFont="0" applyFill="0" applyBorder="0" applyAlignment="0" applyProtection="0">
      <alignment horizontal="right"/>
    </xf>
    <xf numFmtId="237" fontId="78" fillId="23" borderId="15">
      <alignment horizontal="centerContinuous"/>
    </xf>
    <xf numFmtId="0" fontId="79" fillId="0" borderId="0" applyProtection="0">
      <alignment horizontal="right" vertical="top"/>
    </xf>
    <xf numFmtId="0" fontId="80" fillId="0" borderId="34" applyNumberFormat="0" applyAlignment="0" applyProtection="0">
      <alignment horizontal="left" vertical="center"/>
    </xf>
    <xf numFmtId="0" fontId="80" fillId="0" borderId="27">
      <alignment horizontal="left" vertical="center"/>
    </xf>
    <xf numFmtId="0" fontId="81" fillId="0" borderId="0" applyNumberFormat="0" applyFill="0" applyBorder="0" applyAlignment="0" applyProtection="0"/>
    <xf numFmtId="0" fontId="82" fillId="0" borderId="0" applyProtection="0">
      <alignment horizontal="left"/>
    </xf>
    <xf numFmtId="0" fontId="83" fillId="0" borderId="0" applyProtection="0">
      <alignment horizontal="left"/>
    </xf>
    <xf numFmtId="0" fontId="84" fillId="0" borderId="0">
      <protection locked="0"/>
    </xf>
    <xf numFmtId="0" fontId="84" fillId="0" borderId="0">
      <protection locked="0"/>
    </xf>
    <xf numFmtId="0" fontId="61" fillId="0" borderId="27" applyNumberFormat="0" applyFill="0" applyProtection="0">
      <alignment horizontal="center" vertical="center" wrapText="1"/>
    </xf>
    <xf numFmtId="0" fontId="6" fillId="24" borderId="0" applyNumberFormat="0" applyBorder="0" applyAlignment="0" applyProtection="0"/>
    <xf numFmtId="244" fontId="6" fillId="0" borderId="0" applyFont="0" applyFill="0" applyBorder="0" applyAlignment="0"/>
    <xf numFmtId="181" fontId="33" fillId="12" borderId="14" applyNumberFormat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10" fontId="31" fillId="22" borderId="14" applyNumberFormat="0" applyBorder="0" applyAlignment="0" applyProtection="0"/>
    <xf numFmtId="0" fontId="85" fillId="25" borderId="14" applyNumberFormat="0" applyFont="0" applyBorder="0" applyAlignment="0">
      <protection locked="0"/>
    </xf>
    <xf numFmtId="0" fontId="85" fillId="25" borderId="14" applyNumberFormat="0" applyFont="0" applyBorder="0" applyAlignment="0">
      <protection locked="0"/>
    </xf>
    <xf numFmtId="0" fontId="85" fillId="25" borderId="14" applyNumberFormat="0" applyFont="0" applyBorder="0" applyAlignment="0">
      <protection locked="0"/>
    </xf>
    <xf numFmtId="0" fontId="85" fillId="25" borderId="14" applyNumberFormat="0" applyFont="0" applyBorder="0" applyAlignment="0">
      <protection locked="0"/>
    </xf>
    <xf numFmtId="0" fontId="85" fillId="25" borderId="14" applyNumberFormat="0" applyFont="0" applyBorder="0" applyAlignment="0">
      <protection locked="0"/>
    </xf>
    <xf numFmtId="0" fontId="85" fillId="25" borderId="14" applyNumberFormat="0" applyFont="0" applyBorder="0" applyAlignment="0">
      <protection locked="0"/>
    </xf>
    <xf numFmtId="0" fontId="85" fillId="25" borderId="14" applyNumberFormat="0" applyFont="0" applyBorder="0" applyAlignment="0">
      <protection locked="0"/>
    </xf>
    <xf numFmtId="0" fontId="85" fillId="25" borderId="14" applyNumberFormat="0" applyFont="0" applyBorder="0" applyAlignment="0">
      <protection locked="0"/>
    </xf>
    <xf numFmtId="0" fontId="85" fillId="25" borderId="14" applyNumberFormat="0" applyFont="0" applyBorder="0" applyAlignment="0">
      <protection locked="0"/>
    </xf>
    <xf numFmtId="0" fontId="85" fillId="25" borderId="14" applyNumberFormat="0" applyFont="0" applyBorder="0" applyAlignment="0">
      <protection locked="0"/>
    </xf>
    <xf numFmtId="0" fontId="85" fillId="25" borderId="14" applyNumberFormat="0" applyFont="0" applyBorder="0" applyAlignment="0">
      <protection locked="0"/>
    </xf>
    <xf numFmtId="0" fontId="85" fillId="25" borderId="14" applyNumberFormat="0" applyFont="0" applyBorder="0" applyAlignment="0">
      <protection locked="0"/>
    </xf>
    <xf numFmtId="0" fontId="85" fillId="25" borderId="14" applyNumberFormat="0" applyFont="0" applyBorder="0" applyAlignment="0">
      <protection locked="0"/>
    </xf>
    <xf numFmtId="0" fontId="85" fillId="25" borderId="14" applyNumberFormat="0" applyFont="0" applyBorder="0" applyAlignment="0">
      <protection locked="0"/>
    </xf>
    <xf numFmtId="0" fontId="85" fillId="25" borderId="14" applyNumberFormat="0" applyFont="0" applyBorder="0" applyAlignment="0">
      <protection locked="0"/>
    </xf>
    <xf numFmtId="0" fontId="85" fillId="25" borderId="14" applyNumberFormat="0" applyFont="0" applyBorder="0" applyAlignment="0">
      <protection locked="0"/>
    </xf>
    <xf numFmtId="216" fontId="54" fillId="0" borderId="0" applyFill="0" applyBorder="0" applyAlignment="0" applyProtection="0"/>
    <xf numFmtId="0" fontId="86" fillId="0" borderId="0" applyNumberFormat="0" applyFill="0" applyBorder="0" applyAlignment="0">
      <protection locked="0"/>
    </xf>
    <xf numFmtId="37" fontId="86" fillId="0" borderId="0" applyNumberFormat="0" applyFill="0" applyBorder="0" applyAlignment="0" applyProtection="0"/>
    <xf numFmtId="245" fontId="45" fillId="0" borderId="0" applyFill="0" applyBorder="0">
      <alignment horizontal="right"/>
      <protection locked="0"/>
    </xf>
    <xf numFmtId="0" fontId="18" fillId="25" borderId="35">
      <alignment horizontal="left" vertical="center" wrapText="1"/>
    </xf>
    <xf numFmtId="246" fontId="6" fillId="0" borderId="0" applyFont="0" applyFill="0" applyBorder="0" applyAlignment="0" applyProtection="0"/>
    <xf numFmtId="247" fontId="6" fillId="0" borderId="0" applyFont="0" applyFill="0" applyBorder="0" applyAlignment="0" applyProtection="0"/>
    <xf numFmtId="216" fontId="19" fillId="0" borderId="19" applyNumberFormat="0" applyFont="0" applyFill="0" applyAlignment="0" applyProtection="0"/>
    <xf numFmtId="0" fontId="87" fillId="0" borderId="19" applyNumberFormat="0" applyFont="0" applyAlignment="0" applyProtection="0">
      <alignment horizontal="center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90" fillId="26" borderId="0" applyNumberFormat="0" applyFont="0" applyBorder="0" applyProtection="0"/>
    <xf numFmtId="248" fontId="19" fillId="0" borderId="0" applyFont="0" applyFill="0" applyBorder="0" applyAlignment="0" applyProtection="0"/>
    <xf numFmtId="249" fontId="19" fillId="0" borderId="0" applyFill="0" applyBorder="0" applyAlignment="0" applyProtection="0"/>
    <xf numFmtId="249" fontId="19" fillId="0" borderId="0" applyFill="0" applyBorder="0" applyAlignment="0" applyProtection="0"/>
    <xf numFmtId="249" fontId="19" fillId="0" borderId="0" applyFill="0" applyBorder="0" applyAlignment="0" applyProtection="0"/>
    <xf numFmtId="225" fontId="6" fillId="6" borderId="0" applyFont="0" applyFill="0" applyBorder="0" applyAlignment="0" applyProtection="0">
      <alignment horizontal="right"/>
    </xf>
    <xf numFmtId="0" fontId="91" fillId="0" borderId="22">
      <alignment horizontal="left"/>
      <protection locked="0"/>
    </xf>
    <xf numFmtId="250" fontId="6" fillId="22" borderId="36" applyFont="0" applyFill="0" applyBorder="0" applyAlignment="0" applyProtection="0">
      <alignment horizontal="right"/>
    </xf>
    <xf numFmtId="1" fontId="92" fillId="0" borderId="0"/>
    <xf numFmtId="0" fontId="93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209" fontId="30" fillId="0" borderId="0">
      <alignment horizontal="center"/>
    </xf>
    <xf numFmtId="0" fontId="97" fillId="0" borderId="0" applyBorder="0"/>
    <xf numFmtId="251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4" fontId="6" fillId="0" borderId="0" applyFont="0" applyFill="0" applyBorder="0" applyAlignment="0" applyProtection="0"/>
    <xf numFmtId="0" fontId="53" fillId="0" borderId="0" applyFont="0" applyFill="0" applyBorder="0" applyAlignment="0" applyProtection="0">
      <alignment horizontal="right"/>
    </xf>
    <xf numFmtId="0" fontId="53" fillId="0" borderId="0" applyFill="0" applyProtection="0">
      <alignment horizontal="right"/>
    </xf>
    <xf numFmtId="3" fontId="68" fillId="0" borderId="0" applyFont="0" applyFill="0" applyBorder="0" applyAlignment="0" applyProtection="0">
      <alignment horizontal="center"/>
    </xf>
    <xf numFmtId="255" fontId="6" fillId="0" borderId="0" applyFont="0" applyFill="0" applyBorder="0" applyAlignment="0" applyProtection="0">
      <alignment horizontal="right"/>
    </xf>
    <xf numFmtId="0" fontId="98" fillId="0" borderId="0"/>
    <xf numFmtId="0" fontId="90" fillId="0" borderId="37" applyNumberFormat="0" applyAlignment="0">
      <alignment horizontal="left"/>
    </xf>
    <xf numFmtId="256" fontId="6" fillId="0" borderId="0" applyFont="0" applyFill="0" applyBorder="0" applyAlignment="0" applyProtection="0"/>
    <xf numFmtId="257" fontId="6" fillId="0" borderId="0" applyFont="0" applyFill="0" applyBorder="0" applyAlignment="0" applyProtection="0"/>
    <xf numFmtId="258" fontId="6" fillId="0" borderId="0" applyFont="0" applyFill="0" applyBorder="0" applyAlignment="0" applyProtection="0"/>
    <xf numFmtId="259" fontId="6" fillId="0" borderId="0" applyFont="0" applyFill="0" applyBorder="0" applyAlignment="0" applyProtection="0"/>
    <xf numFmtId="17" fontId="30" fillId="0" borderId="0" applyFont="0" applyFill="0" applyBorder="0" applyAlignment="0" applyProtection="0">
      <alignment horizontal="center"/>
    </xf>
    <xf numFmtId="260" fontId="19" fillId="0" borderId="0" applyFont="0" applyFill="0" applyBorder="0" applyAlignment="0" applyProtection="0"/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225" fontId="6" fillId="0" borderId="0" applyFont="0" applyFill="0" applyBorder="0" applyAlignment="0" applyProtection="0"/>
    <xf numFmtId="216" fontId="19" fillId="0" borderId="0" applyFont="0" applyFill="0" applyBorder="0" applyAlignment="0" applyProtection="0"/>
    <xf numFmtId="0" fontId="6" fillId="0" borderId="0">
      <alignment horizontal="right"/>
    </xf>
    <xf numFmtId="0" fontId="62" fillId="0" borderId="0" applyNumberFormat="0" applyBorder="0" applyAlignment="0"/>
    <xf numFmtId="37" fontId="99" fillId="0" borderId="0"/>
    <xf numFmtId="0" fontId="53" fillId="0" borderId="0"/>
    <xf numFmtId="261" fontId="19" fillId="0" borderId="0"/>
    <xf numFmtId="0" fontId="19" fillId="0" borderId="0" applyNumberFormat="0" applyFont="0" applyBorder="0" applyAlignment="0"/>
    <xf numFmtId="215" fontId="53" fillId="0" borderId="0"/>
    <xf numFmtId="0" fontId="56" fillId="0" borderId="0"/>
    <xf numFmtId="40" fontId="3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9" fillId="0" borderId="0"/>
    <xf numFmtId="0" fontId="100" fillId="0" borderId="0"/>
    <xf numFmtId="0" fontId="101" fillId="0" borderId="22"/>
    <xf numFmtId="0" fontId="6" fillId="0" borderId="0"/>
    <xf numFmtId="14" fontId="31" fillId="0" borderId="0" applyFont="0" applyFill="0" applyBorder="0" applyAlignment="0" applyProtection="0"/>
    <xf numFmtId="0" fontId="21" fillId="0" borderId="0">
      <alignment horizontal="center"/>
    </xf>
    <xf numFmtId="37" fontId="6" fillId="0" borderId="0" applyFont="0" applyFill="0" applyBorder="0" applyAlignment="0" applyProtection="0"/>
    <xf numFmtId="30" fontId="6" fillId="0" borderId="0" applyNumberFormat="0" applyFill="0" applyBorder="0" applyAlignment="0" applyProtection="0"/>
    <xf numFmtId="262" fontId="102" fillId="16" borderId="14"/>
    <xf numFmtId="0" fontId="6" fillId="27" borderId="0" applyNumberFormat="0" applyFont="0" applyBorder="0" applyAlignment="0"/>
    <xf numFmtId="0" fontId="19" fillId="0" borderId="0" applyFill="0" applyBorder="0" applyProtection="0"/>
    <xf numFmtId="263" fontId="19" fillId="0" borderId="0" applyFont="0" applyFill="0" applyBorder="0" applyProtection="0"/>
    <xf numFmtId="264" fontId="102" fillId="16" borderId="14" applyFont="0" applyFill="0" applyBorder="0" applyAlignment="0" applyProtection="0"/>
    <xf numFmtId="40" fontId="103" fillId="6" borderId="0">
      <alignment horizontal="right"/>
    </xf>
    <xf numFmtId="0" fontId="104" fillId="6" borderId="0">
      <alignment horizontal="right"/>
    </xf>
    <xf numFmtId="0" fontId="105" fillId="6" borderId="20"/>
    <xf numFmtId="0" fontId="105" fillId="0" borderId="0" applyBorder="0">
      <alignment horizontal="centerContinuous"/>
    </xf>
    <xf numFmtId="0" fontId="106" fillId="0" borderId="0" applyBorder="0">
      <alignment horizontal="centerContinuous"/>
    </xf>
    <xf numFmtId="216" fontId="44" fillId="0" borderId="0" applyFill="0" applyBorder="0" applyAlignment="0" applyProtection="0"/>
    <xf numFmtId="0" fontId="6" fillId="0" borderId="0" applyFont="0" applyFill="0" applyBorder="0" applyAlignment="0" applyProtection="0"/>
    <xf numFmtId="215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0" fontId="107" fillId="0" borderId="0" applyProtection="0">
      <alignment horizontal="left"/>
    </xf>
    <xf numFmtId="1" fontId="108" fillId="0" borderId="0" applyProtection="0">
      <alignment horizontal="right" vertical="center"/>
    </xf>
    <xf numFmtId="265" fontId="30" fillId="0" borderId="0">
      <alignment horizontal="center"/>
    </xf>
    <xf numFmtId="185" fontId="31" fillId="28" borderId="0" applyNumberFormat="0" applyFont="0" applyBorder="0" applyAlignment="0" applyProtection="0"/>
    <xf numFmtId="0" fontId="6" fillId="0" borderId="34" applyNumberFormat="0">
      <alignment vertical="center"/>
    </xf>
    <xf numFmtId="0" fontId="6" fillId="0" borderId="0" applyFont="0" applyFill="0" applyBorder="0" applyAlignment="0" applyProtection="0"/>
    <xf numFmtId="2" fontId="56" fillId="0" borderId="0"/>
    <xf numFmtId="195" fontId="20" fillId="0" borderId="22">
      <alignment horizontal="right"/>
    </xf>
    <xf numFmtId="1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266" fontId="30" fillId="0" borderId="0" applyFont="0" applyFill="0" applyBorder="0" applyAlignment="0" applyProtection="0">
      <alignment horizontal="center"/>
    </xf>
    <xf numFmtId="30" fontId="6" fillId="0" borderId="0" applyFill="0" applyBorder="0">
      <alignment horizontal="right"/>
      <protection locked="0"/>
    </xf>
    <xf numFmtId="0" fontId="19" fillId="0" borderId="0"/>
    <xf numFmtId="267" fontId="56" fillId="0" borderId="0" applyFont="0" applyFill="0" applyBorder="0" applyAlignment="0" applyProtection="0"/>
    <xf numFmtId="216" fontId="19" fillId="0" borderId="0"/>
    <xf numFmtId="3" fontId="6" fillId="0" borderId="0"/>
    <xf numFmtId="10" fontId="56" fillId="0" borderId="0"/>
    <xf numFmtId="10" fontId="56" fillId="25" borderId="0"/>
    <xf numFmtId="9" fontId="56" fillId="0" borderId="0" applyFont="0" applyFill="0" applyBorder="0" applyAlignment="0" applyProtection="0"/>
    <xf numFmtId="0" fontId="62" fillId="0" borderId="0" applyNumberFormat="0" applyFont="0" applyFill="0" applyBorder="0" applyAlignment="0" applyProtection="0">
      <alignment horizontal="left"/>
    </xf>
    <xf numFmtId="15" fontId="62" fillId="0" borderId="0" applyFont="0" applyFill="0" applyBorder="0" applyAlignment="0" applyProtection="0"/>
    <xf numFmtId="4" fontId="62" fillId="0" borderId="0" applyFont="0" applyFill="0" applyBorder="0" applyAlignment="0" applyProtection="0"/>
    <xf numFmtId="0" fontId="18" fillId="0" borderId="30">
      <alignment horizontal="center"/>
    </xf>
    <xf numFmtId="3" fontId="62" fillId="0" borderId="0" applyFont="0" applyFill="0" applyBorder="0" applyAlignment="0" applyProtection="0"/>
    <xf numFmtId="0" fontId="62" fillId="29" borderId="0" applyNumberFormat="0" applyFont="0" applyBorder="0" applyAlignment="0" applyProtection="0"/>
    <xf numFmtId="268" fontId="45" fillId="0" borderId="0" applyFont="0" applyFill="0" applyBorder="0" applyAlignment="0" applyProtection="0">
      <alignment horizontal="right"/>
    </xf>
    <xf numFmtId="216" fontId="109" fillId="0" borderId="36" applyNumberFormat="0" applyFill="0" applyBorder="0" applyAlignment="0" applyProtection="0"/>
    <xf numFmtId="0" fontId="110" fillId="0" borderId="22" applyNumberFormat="0" applyFill="0" applyBorder="0" applyAlignment="0" applyProtection="0">
      <protection hidden="1"/>
    </xf>
    <xf numFmtId="216" fontId="111" fillId="0" borderId="0">
      <alignment horizontal="right"/>
    </xf>
    <xf numFmtId="0" fontId="61" fillId="0" borderId="0" applyNumberFormat="0" applyFill="0" applyBorder="0">
      <alignment vertical="top"/>
    </xf>
    <xf numFmtId="177" fontId="19" fillId="0" borderId="0" applyFont="0" applyFill="0" applyBorder="0" applyAlignment="0" applyProtection="0"/>
    <xf numFmtId="188" fontId="6" fillId="0" borderId="0">
      <alignment horizontal="right"/>
    </xf>
    <xf numFmtId="0" fontId="6" fillId="0" borderId="0"/>
    <xf numFmtId="269" fontId="6" fillId="0" borderId="0" applyFill="0" applyBorder="0">
      <alignment horizontal="right"/>
      <protection hidden="1"/>
    </xf>
    <xf numFmtId="0" fontId="112" fillId="19" borderId="14">
      <alignment horizontal="center" vertical="center" wrapText="1"/>
      <protection hidden="1"/>
    </xf>
    <xf numFmtId="38" fontId="113" fillId="0" borderId="0" applyFont="0" applyFill="0" applyBorder="0" applyAlignment="0" applyProtection="0"/>
    <xf numFmtId="270" fontId="6" fillId="0" borderId="0">
      <alignment horizontal="right"/>
    </xf>
    <xf numFmtId="271" fontId="6" fillId="0" borderId="0">
      <alignment horizontal="right"/>
    </xf>
    <xf numFmtId="177" fontId="19" fillId="0" borderId="0" applyFont="0" applyFill="0" applyBorder="0" applyAlignment="0" applyProtection="0"/>
    <xf numFmtId="0" fontId="114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115" fillId="30" borderId="0" applyNumberFormat="0" applyBorder="0" applyAlignment="0" applyProtection="0">
      <alignment horizontal="center" wrapText="1"/>
    </xf>
    <xf numFmtId="0" fontId="33" fillId="0" borderId="0" applyNumberFormat="0" applyFill="0" applyBorder="0" applyAlignment="0" applyProtection="0"/>
    <xf numFmtId="0" fontId="116" fillId="30" borderId="0" applyNumberFormat="0" applyBorder="0" applyAlignment="0" applyProtection="0"/>
    <xf numFmtId="0" fontId="19" fillId="0" borderId="0"/>
    <xf numFmtId="0" fontId="114" fillId="0" borderId="0" applyNumberFormat="0" applyFill="0" applyBorder="0" applyAlignment="0"/>
    <xf numFmtId="188" fontId="6" fillId="0" borderId="0">
      <alignment horizontal="right"/>
    </xf>
    <xf numFmtId="179" fontId="58" fillId="0" borderId="0" applyFill="0" applyBorder="0" applyAlignment="0" applyProtection="0"/>
    <xf numFmtId="0" fontId="6" fillId="0" borderId="0"/>
    <xf numFmtId="0" fontId="100" fillId="0" borderId="0"/>
    <xf numFmtId="0" fontId="33" fillId="0" borderId="0" applyNumberFormat="0"/>
    <xf numFmtId="188" fontId="6" fillId="0" borderId="0">
      <alignment horizontal="right"/>
    </xf>
    <xf numFmtId="0" fontId="6" fillId="0" borderId="0"/>
    <xf numFmtId="0" fontId="6" fillId="0" borderId="0"/>
    <xf numFmtId="270" fontId="6" fillId="0" borderId="0">
      <alignment horizontal="right"/>
    </xf>
    <xf numFmtId="0" fontId="6" fillId="0" borderId="0"/>
    <xf numFmtId="0" fontId="33" fillId="0" borderId="0" applyNumberFormat="0" applyFill="0" applyBorder="0" applyAlignment="0" applyProtection="0"/>
    <xf numFmtId="0" fontId="117" fillId="0" borderId="0" applyNumberFormat="0" applyFill="0" applyBorder="0" applyProtection="0"/>
    <xf numFmtId="0" fontId="118" fillId="31" borderId="0" applyNumberFormat="0" applyBorder="0" applyProtection="0"/>
    <xf numFmtId="0" fontId="119" fillId="32" borderId="0" applyNumberFormat="0" applyBorder="0" applyProtection="0"/>
    <xf numFmtId="0" fontId="120" fillId="0" borderId="0" applyNumberFormat="0" applyFill="0" applyBorder="0" applyProtection="0"/>
    <xf numFmtId="0" fontId="121" fillId="0" borderId="0" applyNumberFormat="0" applyFill="0" applyBorder="0" applyProtection="0"/>
    <xf numFmtId="0" fontId="122" fillId="0" borderId="0" applyNumberFormat="0" applyFill="0" applyBorder="0" applyProtection="0"/>
    <xf numFmtId="0" fontId="31" fillId="0" borderId="0" applyFill="0" applyBorder="0" applyProtection="0">
      <alignment horizontal="right" wrapText="1"/>
    </xf>
    <xf numFmtId="0" fontId="123" fillId="0" borderId="0" applyNumberFormat="0" applyFill="0" applyBorder="0" applyProtection="0"/>
    <xf numFmtId="0" fontId="41" fillId="0" borderId="0">
      <alignment vertical="top"/>
    </xf>
    <xf numFmtId="180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265" fontId="6" fillId="8" borderId="0">
      <alignment horizontal="center"/>
    </xf>
    <xf numFmtId="201" fontId="6" fillId="8" borderId="0">
      <alignment horizontal="center"/>
    </xf>
    <xf numFmtId="37" fontId="6" fillId="0" borderId="18" applyNumberFormat="0" applyFont="0" applyFill="0" applyAlignment="0" applyProtection="0"/>
    <xf numFmtId="272" fontId="6" fillId="0" borderId="0">
      <alignment horizontal="right"/>
    </xf>
    <xf numFmtId="0" fontId="124" fillId="0" borderId="0" applyBorder="0" applyProtection="0">
      <alignment vertical="center"/>
    </xf>
    <xf numFmtId="0" fontId="36" fillId="0" borderId="36" applyBorder="0" applyProtection="0">
      <alignment horizontal="right" vertical="center"/>
    </xf>
    <xf numFmtId="0" fontId="125" fillId="18" borderId="0" applyBorder="0" applyProtection="0">
      <alignment horizontal="centerContinuous" vertical="center"/>
    </xf>
    <xf numFmtId="0" fontId="125" fillId="33" borderId="36" applyBorder="0" applyProtection="0">
      <alignment horizontal="centerContinuous" vertical="center"/>
    </xf>
    <xf numFmtId="0" fontId="57" fillId="0" borderId="0" applyFill="0" applyBorder="0" applyProtection="0"/>
    <xf numFmtId="0" fontId="126" fillId="0" borderId="0" applyFill="0" applyBorder="0" applyProtection="0">
      <alignment horizontal="left"/>
    </xf>
    <xf numFmtId="0" fontId="75" fillId="0" borderId="19" applyFill="0" applyBorder="0" applyProtection="0">
      <alignment horizontal="left" vertical="top"/>
    </xf>
    <xf numFmtId="0" fontId="6" fillId="34" borderId="38" applyNumberFormat="0" applyFont="0">
      <alignment horizontal="center" vertical="center"/>
    </xf>
    <xf numFmtId="0" fontId="33" fillId="0" borderId="0" applyNumberFormat="0" applyFill="0" applyBorder="0" applyAlignment="0" applyProtection="0"/>
    <xf numFmtId="0" fontId="127" fillId="0" borderId="0"/>
    <xf numFmtId="0" fontId="9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40" fontId="6" fillId="0" borderId="0"/>
    <xf numFmtId="0" fontId="55" fillId="0" borderId="0" applyNumberFormat="0" applyFill="0" applyBorder="0" applyAlignment="0" applyProtection="0"/>
    <xf numFmtId="0" fontId="62" fillId="0" borderId="0" applyBorder="0"/>
    <xf numFmtId="0" fontId="6" fillId="0" borderId="0"/>
    <xf numFmtId="273" fontId="6" fillId="0" borderId="0"/>
    <xf numFmtId="0" fontId="128" fillId="15" borderId="22"/>
    <xf numFmtId="0" fontId="129" fillId="0" borderId="39">
      <protection locked="0"/>
    </xf>
    <xf numFmtId="0" fontId="130" fillId="35" borderId="40" applyNumberFormat="0" applyAlignment="0" applyProtection="0"/>
    <xf numFmtId="0" fontId="130" fillId="0" borderId="0" applyNumberFormat="0" applyAlignment="0" applyProtection="0"/>
    <xf numFmtId="0" fontId="131" fillId="4" borderId="0" applyNumberFormat="0" applyAlignment="0" applyProtection="0"/>
    <xf numFmtId="0" fontId="6" fillId="0" borderId="41" applyNumberFormat="0" applyFont="0" applyFill="0" applyAlignment="0"/>
    <xf numFmtId="274" fontId="19" fillId="0" borderId="0" applyFill="0" applyBorder="0" applyProtection="0"/>
    <xf numFmtId="275" fontId="19" fillId="0" borderId="0" applyFill="0" applyBorder="0" applyProtection="0"/>
    <xf numFmtId="216" fontId="19" fillId="0" borderId="13" applyNumberFormat="0" applyFont="0" applyFill="0" applyAlignment="0" applyProtection="0"/>
    <xf numFmtId="195" fontId="132" fillId="22" borderId="0">
      <protection locked="0"/>
    </xf>
    <xf numFmtId="276" fontId="6" fillId="0" borderId="0" applyFont="0" applyFill="0" applyBorder="0" applyAlignment="0" applyProtection="0"/>
    <xf numFmtId="277" fontId="6" fillId="0" borderId="0" applyFont="0" applyFill="0" applyBorder="0" applyAlignment="0" applyProtection="0"/>
    <xf numFmtId="0" fontId="133" fillId="0" borderId="0"/>
    <xf numFmtId="0" fontId="134" fillId="0" borderId="0"/>
    <xf numFmtId="1" fontId="134" fillId="0" borderId="0"/>
    <xf numFmtId="0" fontId="36" fillId="0" borderId="0"/>
    <xf numFmtId="186" fontId="90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86" fontId="90" fillId="0" borderId="0">
      <protection locked="0"/>
    </xf>
    <xf numFmtId="278" fontId="90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279" fontId="45" fillId="0" borderId="0"/>
    <xf numFmtId="0" fontId="58" fillId="0" borderId="0" applyFont="0" applyFill="0" applyBorder="0" applyAlignment="0" applyProtection="0"/>
    <xf numFmtId="262" fontId="135" fillId="16" borderId="0" applyFont="0" applyFill="0" applyBorder="0" applyAlignment="0" applyProtection="0">
      <alignment horizontal="center"/>
    </xf>
    <xf numFmtId="0" fontId="137" fillId="36" borderId="0" applyNumberFormat="0" applyAlignment="0" applyProtection="0"/>
    <xf numFmtId="0" fontId="138" fillId="5" borderId="0" applyNumberFormat="0" applyAlignment="0" applyProtection="0"/>
  </cellStyleXfs>
  <cellXfs count="117">
    <xf numFmtId="0" fontId="0" fillId="0" borderId="0" xfId="0"/>
    <xf numFmtId="0" fontId="0" fillId="3" borderId="0" xfId="0" applyFill="1"/>
    <xf numFmtId="183" fontId="0" fillId="3" borderId="0" xfId="0" applyNumberFormat="1" applyFill="1"/>
    <xf numFmtId="2" fontId="0" fillId="3" borderId="0" xfId="0" applyNumberFormat="1" applyFill="1"/>
    <xf numFmtId="14" fontId="0" fillId="3" borderId="0" xfId="0" applyNumberFormat="1" applyFill="1"/>
    <xf numFmtId="184" fontId="0" fillId="3" borderId="0" xfId="0" applyNumberFormat="1" applyFill="1"/>
    <xf numFmtId="0" fontId="5" fillId="3" borderId="0" xfId="0" applyFont="1" applyFill="1"/>
    <xf numFmtId="0" fontId="0" fillId="3" borderId="2" xfId="0" applyFill="1" applyBorder="1"/>
    <xf numFmtId="0" fontId="0" fillId="3" borderId="4" xfId="0" applyFill="1" applyBorder="1"/>
    <xf numFmtId="0" fontId="0" fillId="3" borderId="7" xfId="0" applyFill="1" applyBorder="1"/>
    <xf numFmtId="0" fontId="0" fillId="2" borderId="10" xfId="0" applyFill="1" applyBorder="1"/>
    <xf numFmtId="183" fontId="1" fillId="2" borderId="11" xfId="0" applyNumberFormat="1" applyFont="1" applyFill="1" applyBorder="1"/>
    <xf numFmtId="183" fontId="9" fillId="2" borderId="12" xfId="0" applyNumberFormat="1" applyFont="1" applyFill="1" applyBorder="1"/>
    <xf numFmtId="0" fontId="10" fillId="3" borderId="0" xfId="0" applyFont="1" applyFill="1"/>
    <xf numFmtId="2" fontId="0" fillId="3" borderId="0" xfId="0" applyNumberFormat="1" applyFill="1" applyBorder="1"/>
    <xf numFmtId="2" fontId="2" fillId="3" borderId="0" xfId="0" applyNumberFormat="1" applyFont="1" applyFill="1" applyBorder="1"/>
    <xf numFmtId="183" fontId="5" fillId="3" borderId="0" xfId="0" applyNumberFormat="1" applyFont="1" applyFill="1"/>
    <xf numFmtId="0" fontId="8" fillId="0" borderId="0" xfId="2" applyFont="1" applyAlignment="1" applyProtection="1">
      <alignment vertical="center"/>
    </xf>
    <xf numFmtId="0" fontId="0" fillId="3" borderId="0" xfId="0" applyFill="1" applyAlignment="1">
      <alignment horizontal="center"/>
    </xf>
    <xf numFmtId="186" fontId="0" fillId="3" borderId="8" xfId="0" applyNumberFormat="1" applyFill="1" applyBorder="1"/>
    <xf numFmtId="186" fontId="0" fillId="3" borderId="1" xfId="0" applyNumberFormat="1" applyFill="1" applyBorder="1"/>
    <xf numFmtId="186" fontId="0" fillId="3" borderId="5" xfId="0" applyNumberFormat="1" applyFill="1" applyBorder="1"/>
    <xf numFmtId="0" fontId="11" fillId="0" borderId="0" xfId="0" applyFont="1" applyFill="1"/>
    <xf numFmtId="0" fontId="12" fillId="3" borderId="0" xfId="0" applyFont="1" applyFill="1"/>
    <xf numFmtId="0" fontId="5" fillId="3" borderId="0" xfId="0" applyFont="1" applyFill="1" applyAlignment="1">
      <alignment horizontal="center"/>
    </xf>
    <xf numFmtId="3" fontId="12" fillId="3" borderId="0" xfId="0" applyNumberFormat="1" applyFont="1" applyFill="1"/>
    <xf numFmtId="0" fontId="1" fillId="3" borderId="0" xfId="0" applyFont="1" applyFill="1" applyAlignment="1">
      <alignment horizontal="centerContinuous"/>
    </xf>
    <xf numFmtId="183" fontId="9" fillId="2" borderId="21" xfId="0" applyNumberFormat="1" applyFont="1" applyFill="1" applyBorder="1"/>
    <xf numFmtId="0" fontId="16" fillId="5" borderId="0" xfId="0" applyFont="1" applyFill="1" applyBorder="1" applyAlignment="1">
      <alignment vertical="center"/>
    </xf>
    <xf numFmtId="0" fontId="17" fillId="0" borderId="0" xfId="0" applyFont="1"/>
    <xf numFmtId="0" fontId="130" fillId="0" borderId="42" xfId="906" applyBorder="1" applyAlignment="1">
      <alignment vertical="center"/>
    </xf>
    <xf numFmtId="0" fontId="130" fillId="0" borderId="43" xfId="906" applyBorder="1" applyAlignment="1">
      <alignment vertical="center"/>
    </xf>
    <xf numFmtId="0" fontId="130" fillId="0" borderId="44" xfId="906" applyBorder="1" applyAlignment="1">
      <alignment vertical="center"/>
    </xf>
    <xf numFmtId="183" fontId="130" fillId="0" borderId="44" xfId="906" applyNumberFormat="1" applyBorder="1" applyAlignment="1">
      <alignment vertical="center"/>
    </xf>
    <xf numFmtId="0" fontId="131" fillId="4" borderId="0" xfId="907" applyAlignment="1">
      <alignment vertical="center"/>
    </xf>
    <xf numFmtId="0" fontId="138" fillId="5" borderId="0" xfId="984" applyAlignment="1">
      <alignment vertical="center"/>
    </xf>
    <xf numFmtId="183" fontId="136" fillId="5" borderId="0" xfId="984" applyNumberFormat="1" applyFont="1" applyAlignment="1">
      <alignment horizontal="right" vertical="center"/>
    </xf>
    <xf numFmtId="0" fontId="130" fillId="0" borderId="43" xfId="906" quotePrefix="1" applyBorder="1" applyAlignment="1">
      <alignment vertical="center"/>
    </xf>
    <xf numFmtId="3" fontId="130" fillId="0" borderId="43" xfId="906" applyNumberFormat="1" applyBorder="1" applyAlignment="1">
      <alignment vertical="center"/>
    </xf>
    <xf numFmtId="0" fontId="130" fillId="0" borderId="44" xfId="906" applyBorder="1" applyAlignment="1">
      <alignment horizontal="right" vertical="center"/>
    </xf>
    <xf numFmtId="3" fontId="130" fillId="0" borderId="44" xfId="906" applyNumberFormat="1" applyBorder="1" applyAlignment="1">
      <alignment vertical="center"/>
    </xf>
    <xf numFmtId="0" fontId="130" fillId="0" borderId="44" xfId="906" quotePrefix="1" applyBorder="1" applyAlignment="1">
      <alignment vertical="center"/>
    </xf>
    <xf numFmtId="3" fontId="139" fillId="0" borderId="44" xfId="906" applyNumberFormat="1" applyFont="1" applyBorder="1" applyAlignment="1">
      <alignment vertical="center"/>
    </xf>
    <xf numFmtId="186" fontId="2" fillId="3" borderId="1" xfId="0" quotePrefix="1" applyNumberFormat="1" applyFont="1" applyFill="1" applyBorder="1" applyAlignment="1">
      <alignment horizontal="right" vertical="center"/>
    </xf>
    <xf numFmtId="186" fontId="2" fillId="3" borderId="1" xfId="0" applyNumberFormat="1" applyFont="1" applyFill="1" applyBorder="1" applyAlignment="1">
      <alignment horizontal="right" vertical="center"/>
    </xf>
    <xf numFmtId="186" fontId="2" fillId="3" borderId="9" xfId="0" applyNumberFormat="1" applyFont="1" applyFill="1" applyBorder="1" applyAlignment="1">
      <alignment horizontal="right"/>
    </xf>
    <xf numFmtId="186" fontId="2" fillId="3" borderId="3" xfId="0" applyNumberFormat="1" applyFont="1" applyFill="1" applyBorder="1" applyAlignment="1">
      <alignment horizontal="right"/>
    </xf>
    <xf numFmtId="186" fontId="2" fillId="3" borderId="5" xfId="0" applyNumberFormat="1" applyFont="1" applyFill="1" applyBorder="1" applyAlignment="1">
      <alignment horizontal="right"/>
    </xf>
    <xf numFmtId="186" fontId="2" fillId="3" borderId="6" xfId="0" applyNumberFormat="1" applyFont="1" applyFill="1" applyBorder="1" applyAlignment="1">
      <alignment horizontal="right"/>
    </xf>
    <xf numFmtId="0" fontId="131" fillId="4" borderId="0" xfId="907" applyAlignment="1">
      <alignment horizontal="center" vertical="center"/>
    </xf>
    <xf numFmtId="186" fontId="0" fillId="3" borderId="1" xfId="0" applyNumberFormat="1" applyFill="1" applyBorder="1" applyAlignment="1">
      <alignment horizontal="right"/>
    </xf>
    <xf numFmtId="188" fontId="130" fillId="0" borderId="44" xfId="906" applyNumberFormat="1" applyBorder="1" applyAlignment="1">
      <alignment vertical="center"/>
    </xf>
    <xf numFmtId="2" fontId="130" fillId="0" borderId="44" xfId="906" applyNumberFormat="1" applyBorder="1" applyAlignment="1">
      <alignment vertical="center"/>
    </xf>
    <xf numFmtId="183" fontId="131" fillId="4" borderId="0" xfId="907" applyNumberFormat="1" applyAlignment="1">
      <alignment vertical="center"/>
    </xf>
    <xf numFmtId="188" fontId="130" fillId="0" borderId="43" xfId="906" applyNumberFormat="1" applyBorder="1" applyAlignment="1">
      <alignment vertical="center"/>
    </xf>
    <xf numFmtId="183" fontId="136" fillId="36" borderId="0" xfId="983" applyNumberFormat="1" applyFont="1" applyAlignment="1">
      <alignment vertical="center"/>
    </xf>
    <xf numFmtId="0" fontId="3" fillId="3" borderId="0" xfId="0" applyFont="1" applyFill="1"/>
    <xf numFmtId="0" fontId="130" fillId="0" borderId="42" xfId="906" quotePrefix="1" applyBorder="1" applyAlignment="1">
      <alignment vertical="center"/>
    </xf>
    <xf numFmtId="14" fontId="130" fillId="0" borderId="42" xfId="906" applyNumberFormat="1" applyBorder="1" applyAlignment="1">
      <alignment horizontal="center" vertical="center"/>
    </xf>
    <xf numFmtId="14" fontId="130" fillId="0" borderId="42" xfId="906" applyNumberFormat="1" applyBorder="1" applyAlignment="1">
      <alignment vertical="center"/>
    </xf>
    <xf numFmtId="2" fontId="130" fillId="0" borderId="42" xfId="906" applyNumberFormat="1" applyBorder="1" applyAlignment="1">
      <alignment horizontal="right" vertical="center"/>
    </xf>
    <xf numFmtId="3" fontId="130" fillId="0" borderId="42" xfId="906" applyNumberFormat="1" applyBorder="1" applyAlignment="1">
      <alignment horizontal="right" vertical="center"/>
    </xf>
    <xf numFmtId="187" fontId="130" fillId="0" borderId="42" xfId="906" applyNumberFormat="1" applyBorder="1" applyAlignment="1">
      <alignment vertical="center"/>
    </xf>
    <xf numFmtId="187" fontId="130" fillId="0" borderId="42" xfId="906" applyNumberFormat="1" applyBorder="1" applyAlignment="1">
      <alignment horizontal="right" vertical="center"/>
    </xf>
    <xf numFmtId="185" fontId="130" fillId="0" borderId="42" xfId="906" applyNumberFormat="1" applyBorder="1" applyAlignment="1">
      <alignment horizontal="right" vertical="center"/>
    </xf>
    <xf numFmtId="188" fontId="130" fillId="0" borderId="42" xfId="906" applyNumberFormat="1" applyBorder="1" applyAlignment="1">
      <alignment horizontal="right" vertical="center"/>
    </xf>
    <xf numFmtId="14" fontId="130" fillId="0" borderId="44" xfId="906" applyNumberFormat="1" applyBorder="1" applyAlignment="1">
      <alignment horizontal="center" vertical="center"/>
    </xf>
    <xf numFmtId="3" fontId="130" fillId="0" borderId="44" xfId="906" applyNumberFormat="1" applyBorder="1" applyAlignment="1">
      <alignment horizontal="right" vertical="center"/>
    </xf>
    <xf numFmtId="187" fontId="130" fillId="0" borderId="44" xfId="906" applyNumberFormat="1" applyBorder="1" applyAlignment="1">
      <alignment vertical="center"/>
    </xf>
    <xf numFmtId="187" fontId="130" fillId="0" borderId="44" xfId="906" applyNumberFormat="1" applyBorder="1" applyAlignment="1">
      <alignment horizontal="right" vertical="center"/>
    </xf>
    <xf numFmtId="185" fontId="130" fillId="0" borderId="44" xfId="906" applyNumberFormat="1" applyBorder="1" applyAlignment="1">
      <alignment horizontal="right" vertical="center"/>
    </xf>
    <xf numFmtId="188" fontId="130" fillId="0" borderId="44" xfId="906" applyNumberFormat="1" applyBorder="1" applyAlignment="1">
      <alignment horizontal="right" vertical="center"/>
    </xf>
    <xf numFmtId="4" fontId="130" fillId="0" borderId="44" xfId="906" applyNumberFormat="1" applyBorder="1" applyAlignment="1">
      <alignment horizontal="right" vertical="center"/>
    </xf>
    <xf numFmtId="14" fontId="130" fillId="0" borderId="43" xfId="906" applyNumberFormat="1" applyBorder="1" applyAlignment="1">
      <alignment horizontal="center" vertical="center"/>
    </xf>
    <xf numFmtId="3" fontId="130" fillId="0" borderId="43" xfId="906" applyNumberFormat="1" applyBorder="1" applyAlignment="1">
      <alignment horizontal="right" vertical="center"/>
    </xf>
    <xf numFmtId="187" fontId="130" fillId="0" borderId="43" xfId="906" applyNumberFormat="1" applyBorder="1" applyAlignment="1">
      <alignment vertical="center"/>
    </xf>
    <xf numFmtId="187" fontId="130" fillId="0" borderId="43" xfId="906" applyNumberFormat="1" applyBorder="1" applyAlignment="1">
      <alignment horizontal="right" vertical="center"/>
    </xf>
    <xf numFmtId="185" fontId="130" fillId="0" borderId="43" xfId="906" applyNumberFormat="1" applyBorder="1" applyAlignment="1">
      <alignment horizontal="right" vertical="center"/>
    </xf>
    <xf numFmtId="188" fontId="130" fillId="0" borderId="43" xfId="906" applyNumberFormat="1" applyBorder="1" applyAlignment="1">
      <alignment horizontal="right" vertical="center"/>
    </xf>
    <xf numFmtId="4" fontId="130" fillId="0" borderId="44" xfId="906" applyNumberFormat="1" applyBorder="1" applyAlignment="1">
      <alignment vertical="center"/>
    </xf>
    <xf numFmtId="185" fontId="130" fillId="0" borderId="44" xfId="906" applyNumberFormat="1" applyBorder="1" applyAlignment="1">
      <alignment vertical="center"/>
    </xf>
    <xf numFmtId="14" fontId="130" fillId="0" borderId="43" xfId="906" applyNumberFormat="1" applyBorder="1" applyAlignment="1">
      <alignment vertical="center"/>
    </xf>
    <xf numFmtId="4" fontId="130" fillId="0" borderId="43" xfId="906" applyNumberFormat="1" applyBorder="1" applyAlignment="1">
      <alignment horizontal="right" vertical="center"/>
    </xf>
    <xf numFmtId="0" fontId="139" fillId="0" borderId="44" xfId="906" applyFont="1" applyBorder="1" applyAlignment="1">
      <alignment vertical="center"/>
    </xf>
    <xf numFmtId="0" fontId="139" fillId="0" borderId="44" xfId="906" applyFont="1" applyBorder="1" applyAlignment="1">
      <alignment horizontal="center" vertical="center"/>
    </xf>
    <xf numFmtId="2" fontId="139" fillId="0" borderId="44" xfId="906" applyNumberFormat="1" applyFont="1" applyBorder="1" applyAlignment="1">
      <alignment vertical="center"/>
    </xf>
    <xf numFmtId="3" fontId="139" fillId="0" borderId="44" xfId="906" applyNumberFormat="1" applyFont="1" applyBorder="1" applyAlignment="1">
      <alignment horizontal="right" vertical="center"/>
    </xf>
    <xf numFmtId="187" fontId="139" fillId="0" borderId="44" xfId="906" applyNumberFormat="1" applyFont="1" applyBorder="1" applyAlignment="1">
      <alignment vertical="center"/>
    </xf>
    <xf numFmtId="187" fontId="139" fillId="0" borderId="44" xfId="906" applyNumberFormat="1" applyFont="1" applyBorder="1" applyAlignment="1">
      <alignment horizontal="right" vertical="center"/>
    </xf>
    <xf numFmtId="185" fontId="139" fillId="0" borderId="44" xfId="906" applyNumberFormat="1" applyFont="1" applyBorder="1" applyAlignment="1">
      <alignment horizontal="right" vertical="center"/>
    </xf>
    <xf numFmtId="188" fontId="139" fillId="0" borderId="44" xfId="906" applyNumberFormat="1" applyFont="1" applyBorder="1" applyAlignment="1">
      <alignment horizontal="right" vertical="center"/>
    </xf>
    <xf numFmtId="185" fontId="139" fillId="0" borderId="44" xfId="906" applyNumberFormat="1" applyFont="1" applyBorder="1" applyAlignment="1">
      <alignment vertical="center"/>
    </xf>
    <xf numFmtId="4" fontId="139" fillId="0" borderId="44" xfId="906" applyNumberFormat="1" applyFont="1" applyBorder="1" applyAlignment="1">
      <alignment vertical="center"/>
    </xf>
    <xf numFmtId="0" fontId="3" fillId="3" borderId="0" xfId="0" quotePrefix="1" applyFont="1" applyFill="1"/>
    <xf numFmtId="0" fontId="139" fillId="0" borderId="0" xfId="906" applyFont="1" applyBorder="1" applyAlignment="1">
      <alignment vertical="center"/>
    </xf>
    <xf numFmtId="183" fontId="9" fillId="2" borderId="45" xfId="0" applyNumberFormat="1" applyFont="1" applyFill="1" applyBorder="1"/>
    <xf numFmtId="0" fontId="1" fillId="2" borderId="12" xfId="0" applyFont="1" applyFill="1" applyBorder="1"/>
    <xf numFmtId="0" fontId="5" fillId="0" borderId="0" xfId="0" applyFont="1" applyFill="1"/>
    <xf numFmtId="0" fontId="1" fillId="3" borderId="0" xfId="0" applyFont="1" applyFill="1" applyAlignment="1">
      <alignment horizontal="right"/>
    </xf>
    <xf numFmtId="0" fontId="0" fillId="6" borderId="0" xfId="0" applyFill="1"/>
    <xf numFmtId="3" fontId="130" fillId="0" borderId="44" xfId="906" applyNumberFormat="1" applyFont="1" applyBorder="1" applyAlignment="1">
      <alignment vertical="center"/>
    </xf>
    <xf numFmtId="2" fontId="130" fillId="0" borderId="44" xfId="906" applyNumberFormat="1" applyFont="1" applyBorder="1" applyAlignment="1">
      <alignment vertical="center"/>
    </xf>
    <xf numFmtId="0" fontId="0" fillId="3" borderId="0" xfId="0" applyFont="1" applyFill="1"/>
    <xf numFmtId="0" fontId="15" fillId="37" borderId="46" xfId="0" applyFont="1" applyFill="1" applyBorder="1" applyAlignment="1">
      <alignment vertical="center"/>
    </xf>
    <xf numFmtId="0" fontId="140" fillId="11" borderId="47" xfId="905" applyFont="1" applyFill="1" applyBorder="1" applyAlignment="1">
      <alignment vertical="center"/>
    </xf>
    <xf numFmtId="0" fontId="130" fillId="0" borderId="0" xfId="906" applyBorder="1" applyAlignment="1">
      <alignment vertical="center"/>
    </xf>
    <xf numFmtId="183" fontId="130" fillId="0" borderId="43" xfId="906" applyNumberFormat="1" applyBorder="1" applyAlignment="1">
      <alignment vertical="center"/>
    </xf>
    <xf numFmtId="3" fontId="130" fillId="0" borderId="0" xfId="906" applyNumberFormat="1" applyBorder="1" applyAlignment="1">
      <alignment horizontal="right" vertical="center"/>
    </xf>
    <xf numFmtId="0" fontId="140" fillId="11" borderId="47" xfId="0" applyFont="1" applyFill="1" applyBorder="1"/>
    <xf numFmtId="0" fontId="140" fillId="11" borderId="48" xfId="0" applyFont="1" applyFill="1" applyBorder="1"/>
    <xf numFmtId="185" fontId="130" fillId="0" borderId="0" xfId="906" applyNumberFormat="1" applyBorder="1" applyAlignment="1">
      <alignment horizontal="right" vertical="center"/>
    </xf>
    <xf numFmtId="4" fontId="130" fillId="0" borderId="0" xfId="906" applyNumberFormat="1" applyBorder="1" applyAlignment="1">
      <alignment horizontal="right" vertical="center"/>
    </xf>
    <xf numFmtId="0" fontId="140" fillId="11" borderId="49" xfId="905" applyFont="1" applyFill="1" applyBorder="1" applyAlignment="1">
      <alignment vertical="center"/>
    </xf>
    <xf numFmtId="0" fontId="0" fillId="0" borderId="0" xfId="0" applyFont="1"/>
    <xf numFmtId="0" fontId="130" fillId="0" borderId="16" xfId="906" applyBorder="1" applyAlignment="1">
      <alignment horizontal="left" vertical="center" wrapText="1"/>
    </xf>
    <xf numFmtId="0" fontId="130" fillId="0" borderId="27" xfId="906" applyBorder="1" applyAlignment="1">
      <alignment horizontal="left" vertical="center" wrapText="1"/>
    </xf>
    <xf numFmtId="0" fontId="130" fillId="0" borderId="17" xfId="906" applyBorder="1" applyAlignment="1">
      <alignment horizontal="left" vertical="center" wrapText="1"/>
    </xf>
  </cellXfs>
  <cellStyles count="985">
    <cellStyle name="_x000a_386grabber=M" xfId="5" xr:uid="{00000000-0005-0000-0000-000000000000}"/>
    <cellStyle name="#" xfId="6" xr:uid="{00000000-0005-0000-0000-000001000000}"/>
    <cellStyle name="#-" xfId="7" xr:uid="{00000000-0005-0000-0000-000002000000}"/>
    <cellStyle name="$" xfId="8" xr:uid="{00000000-0005-0000-0000-000003000000}"/>
    <cellStyle name="$-" xfId="9" xr:uid="{00000000-0005-0000-0000-000004000000}"/>
    <cellStyle name="$0.00" xfId="10" xr:uid="{00000000-0005-0000-0000-000005000000}"/>
    <cellStyle name="%" xfId="11" xr:uid="{00000000-0005-0000-0000-000006000000}"/>
    <cellStyle name="%-" xfId="12" xr:uid="{00000000-0005-0000-0000-000007000000}"/>
    <cellStyle name="," xfId="13" xr:uid="{00000000-0005-0000-0000-000008000000}"/>
    <cellStyle name="[ercemt" xfId="14" xr:uid="{00000000-0005-0000-0000-000009000000}"/>
    <cellStyle name="_%(SignOnly)" xfId="15" xr:uid="{00000000-0005-0000-0000-00000A000000}"/>
    <cellStyle name="_%(SignSpaceOnly)" xfId="16" xr:uid="{00000000-0005-0000-0000-00000B000000}"/>
    <cellStyle name="_5jny0144" xfId="17" xr:uid="{00000000-0005-0000-0000-00000C000000}"/>
    <cellStyle name="_5jny1296" xfId="18" xr:uid="{00000000-0005-0000-0000-00000D000000}"/>
    <cellStyle name="_6bny1016" xfId="19" xr:uid="{00000000-0005-0000-0000-00000E000000}"/>
    <cellStyle name="_Adam_Comps" xfId="20" xr:uid="{00000000-0005-0000-0000-00000F000000}"/>
    <cellStyle name="_Asia Retail FB Trading Comps (Output &amp; Consoli. List)" xfId="21" xr:uid="{00000000-0005-0000-0000-000010000000}"/>
    <cellStyle name="_Chattem Mgmt Case v8" xfId="22" xr:uid="{00000000-0005-0000-0000-000011000000}"/>
    <cellStyle name="_Comma" xfId="23" xr:uid="{00000000-0005-0000-0000-000012000000}"/>
    <cellStyle name="_Currency" xfId="24" xr:uid="{00000000-0005-0000-0000-000013000000}"/>
    <cellStyle name="_CurrencySpace" xfId="25" xr:uid="{00000000-0005-0000-0000-000014000000}"/>
    <cellStyle name="_Euro" xfId="26" xr:uid="{00000000-0005-0000-0000-000015000000}"/>
    <cellStyle name="_Heading" xfId="27" xr:uid="{00000000-0005-0000-0000-000016000000}"/>
    <cellStyle name="_Highlight" xfId="28" xr:uid="{00000000-0005-0000-0000-000017000000}"/>
    <cellStyle name="_Luxury Goods Comps latest" xfId="29" xr:uid="{00000000-0005-0000-0000-000018000000}"/>
    <cellStyle name="_Multiple" xfId="30" xr:uid="{00000000-0005-0000-0000-000019000000}"/>
    <cellStyle name="_MultipleSpace" xfId="31" xr:uid="{00000000-0005-0000-0000-00001A000000}"/>
    <cellStyle name="_Project Cup model 6-21-04" xfId="32" xr:uid="{00000000-0005-0000-0000-00001B000000}"/>
    <cellStyle name="_SubHeading" xfId="33" xr:uid="{00000000-0005-0000-0000-00001C000000}"/>
    <cellStyle name="_Table" xfId="34" xr:uid="{00000000-0005-0000-0000-00001D000000}"/>
    <cellStyle name="_TableHead" xfId="35" xr:uid="{00000000-0005-0000-0000-00001E000000}"/>
    <cellStyle name="_TableRowHead" xfId="36" xr:uid="{00000000-0005-0000-0000-00001F000000}"/>
    <cellStyle name="_TableSuperHead" xfId="37" xr:uid="{00000000-0005-0000-0000-000020000000}"/>
    <cellStyle name="_TDH001 Consumer comps 070130" xfId="38" xr:uid="{00000000-0005-0000-0000-000021000000}"/>
    <cellStyle name="_TDI1602 Non-Food Retail Historic Transactions 060428" xfId="39" xr:uid="{00000000-0005-0000-0000-000022000000}"/>
    <cellStyle name="_TDN517 Aluminium Comps Database 060610" xfId="40" xr:uid="{00000000-0005-0000-0000-000023000000}"/>
    <cellStyle name="_TDN883 Trading comps 061101" xfId="41" xr:uid="{00000000-0005-0000-0000-000024000000}"/>
    <cellStyle name="_TDU649 Utilities Trading Comps 070216" xfId="42" xr:uid="{00000000-0005-0000-0000-000025000000}"/>
    <cellStyle name="_Technology Trading Comps 090327" xfId="43" xr:uid="{00000000-0005-0000-0000-000026000000}"/>
    <cellStyle name="_Vikash Asia Retail FB Trading Comps-Output-Vikash Verma" xfId="44" xr:uid="{00000000-0005-0000-0000-000027000000}"/>
    <cellStyle name="£ BP" xfId="45" xr:uid="{00000000-0005-0000-0000-000028000000}"/>
    <cellStyle name="¥ JY" xfId="46" xr:uid="{00000000-0005-0000-0000-000029000000}"/>
    <cellStyle name="+/-" xfId="47" xr:uid="{00000000-0005-0000-0000-00002A000000}"/>
    <cellStyle name="=C:\WINNT\SYSTEM32\COMMAND.COM" xfId="48" xr:uid="{00000000-0005-0000-0000-00002B000000}"/>
    <cellStyle name="0,0" xfId="49" xr:uid="{00000000-0005-0000-0000-00002C000000}"/>
    <cellStyle name="0,0 F" xfId="50" xr:uid="{00000000-0005-0000-0000-00002D000000}"/>
    <cellStyle name="0,0%" xfId="51" xr:uid="{00000000-0005-0000-0000-00002E000000}"/>
    <cellStyle name="0,0_Co&amp;Lo180800" xfId="52" xr:uid="{00000000-0005-0000-0000-00002F000000}"/>
    <cellStyle name="0,00x" xfId="53" xr:uid="{00000000-0005-0000-0000-000030000000}"/>
    <cellStyle name="0,0x" xfId="54" xr:uid="{00000000-0005-0000-0000-000031000000}"/>
    <cellStyle name="0.0 aligned" xfId="55" xr:uid="{00000000-0005-0000-0000-000032000000}"/>
    <cellStyle name="0.00 aligned" xfId="56" xr:uid="{00000000-0005-0000-0000-000033000000}"/>
    <cellStyle name="000" xfId="57" xr:uid="{00000000-0005-0000-0000-000034000000}"/>
    <cellStyle name="000 MF" xfId="58" xr:uid="{00000000-0005-0000-0000-000035000000}"/>
    <cellStyle name="000,0" xfId="59" xr:uid="{00000000-0005-0000-0000-000036000000}"/>
    <cellStyle name="000_Halloween version SPV" xfId="60" xr:uid="{00000000-0005-0000-0000-000037000000}"/>
    <cellStyle name="1,comma" xfId="61" xr:uid="{00000000-0005-0000-0000-000038000000}"/>
    <cellStyle name="2 Decimal Places" xfId="62" xr:uid="{00000000-0005-0000-0000-000039000000}"/>
    <cellStyle name="2-units" xfId="63" xr:uid="{00000000-0005-0000-0000-00003A000000}"/>
    <cellStyle name="A" xfId="64" xr:uid="{00000000-0005-0000-0000-00003B000000}"/>
    <cellStyle name="A_Block Space" xfId="65" xr:uid="{00000000-0005-0000-0000-00003C000000}"/>
    <cellStyle name="A_Do not Change" xfId="66" xr:uid="{00000000-0005-0000-0000-00003D000000}"/>
    <cellStyle name="A_Estimate" xfId="67" xr:uid="{00000000-0005-0000-0000-00003E000000}"/>
    <cellStyle name="A_Memo" xfId="68" xr:uid="{00000000-0005-0000-0000-00003F000000}"/>
    <cellStyle name="A_Normal" xfId="69" xr:uid="{00000000-0005-0000-0000-000040000000}"/>
    <cellStyle name="A_Normal Forecast" xfId="70" xr:uid="{00000000-0005-0000-0000-000041000000}"/>
    <cellStyle name="A_Normal Forecast_EVEBITDA" xfId="71" xr:uid="{00000000-0005-0000-0000-000042000000}"/>
    <cellStyle name="A_Normal Forecast_Indgen-specialty5" xfId="72" xr:uid="{00000000-0005-0000-0000-000043000000}"/>
    <cellStyle name="A_Normal Forecast_Indgen-specialty5.xls Chart 1" xfId="73" xr:uid="{00000000-0005-0000-0000-000044000000}"/>
    <cellStyle name="A_Normal Forecast_Indgen-specialty5.xls Chart 3" xfId="74" xr:uid="{00000000-0005-0000-0000-000045000000}"/>
    <cellStyle name="A_Normal Forecast_Specialty.xls Chart 1" xfId="75" xr:uid="{00000000-0005-0000-0000-000046000000}"/>
    <cellStyle name="A_Normal Forecast_Specialty.xls Chart 1-1" xfId="76" xr:uid="{00000000-0005-0000-0000-000047000000}"/>
    <cellStyle name="A_Normal Forecast_Specialty.xls Chart 1-2" xfId="77" xr:uid="{00000000-0005-0000-0000-000048000000}"/>
    <cellStyle name="A_Normal Forecast_Specialty.xls Chart 1-3" xfId="78" xr:uid="{00000000-0005-0000-0000-000049000000}"/>
    <cellStyle name="A_Normal Forecast_Specialty.xls Chart 1-4" xfId="79" xr:uid="{00000000-0005-0000-0000-00004A000000}"/>
    <cellStyle name="A_Normal Forecast_Specialty.xls Chart 1-5" xfId="80" xr:uid="{00000000-0005-0000-0000-00004B000000}"/>
    <cellStyle name="A_Normal Historical" xfId="81" xr:uid="{00000000-0005-0000-0000-00004C000000}"/>
    <cellStyle name="A_Normal Historical_EVEBITDA" xfId="82" xr:uid="{00000000-0005-0000-0000-00004D000000}"/>
    <cellStyle name="A_Normal Historical_Indgen-specialty5" xfId="83" xr:uid="{00000000-0005-0000-0000-00004E000000}"/>
    <cellStyle name="A_Normal Historical_Indgen-specialty5.xls Chart 1" xfId="84" xr:uid="{00000000-0005-0000-0000-00004F000000}"/>
    <cellStyle name="A_Normal Historical_Indgen-specialty5.xls Chart 3" xfId="85" xr:uid="{00000000-0005-0000-0000-000050000000}"/>
    <cellStyle name="A_Normal Historical_Specialty.xls Chart 1" xfId="86" xr:uid="{00000000-0005-0000-0000-000051000000}"/>
    <cellStyle name="A_Normal Historical_Specialty.xls Chart 1-1" xfId="87" xr:uid="{00000000-0005-0000-0000-000052000000}"/>
    <cellStyle name="A_Normal Historical_Specialty.xls Chart 1-2" xfId="88" xr:uid="{00000000-0005-0000-0000-000053000000}"/>
    <cellStyle name="A_Normal Historical_Specialty.xls Chart 1-3" xfId="89" xr:uid="{00000000-0005-0000-0000-000054000000}"/>
    <cellStyle name="A_Normal Historical_Specialty.xls Chart 1-4" xfId="90" xr:uid="{00000000-0005-0000-0000-000055000000}"/>
    <cellStyle name="A_Normal Historical_Specialty.xls Chart 1-5" xfId="91" xr:uid="{00000000-0005-0000-0000-000056000000}"/>
    <cellStyle name="A_Rate_Data" xfId="92" xr:uid="{00000000-0005-0000-0000-000057000000}"/>
    <cellStyle name="A_Rate_Data Historical" xfId="93" xr:uid="{00000000-0005-0000-0000-000058000000}"/>
    <cellStyle name="A_Rate_Data Historical_2aCH0068_2" xfId="94" xr:uid="{00000000-0005-0000-0000-000059000000}"/>
    <cellStyle name="A_Rate_Data Historical_2cCH0074.xls Chart 1" xfId="95" xr:uid="{00000000-0005-0000-0000-00005A000000}"/>
    <cellStyle name="A_Rate_Data Historical_2cCH0074.xls Chart 1-1" xfId="96" xr:uid="{00000000-0005-0000-0000-00005B000000}"/>
    <cellStyle name="A_Rate_Data_2aCH0068_2" xfId="97" xr:uid="{00000000-0005-0000-0000-00005C000000}"/>
    <cellStyle name="A_Rate_Data_2cCH0074.xls Chart 1" xfId="98" xr:uid="{00000000-0005-0000-0000-00005D000000}"/>
    <cellStyle name="A_Rate_Data_2cCH0074.xls Chart 1-1" xfId="99" xr:uid="{00000000-0005-0000-0000-00005E000000}"/>
    <cellStyle name="A_Rate_Title" xfId="100" xr:uid="{00000000-0005-0000-0000-00005F000000}"/>
    <cellStyle name="A_Sum" xfId="101" xr:uid="{00000000-0005-0000-0000-000060000000}"/>
    <cellStyle name="A_SUM_Row Major" xfId="102" xr:uid="{00000000-0005-0000-0000-000061000000}"/>
    <cellStyle name="A_SUM_Row Major_EVEBITDA" xfId="103" xr:uid="{00000000-0005-0000-0000-000062000000}"/>
    <cellStyle name="A_SUM_Row Major_Indgen-specialty5" xfId="104" xr:uid="{00000000-0005-0000-0000-000063000000}"/>
    <cellStyle name="A_SUM_Row Major_Indgen-specialty5.xls Chart 1" xfId="105" xr:uid="{00000000-0005-0000-0000-000064000000}"/>
    <cellStyle name="A_SUM_Row Major_Indgen-specialty5.xls Chart 3" xfId="106" xr:uid="{00000000-0005-0000-0000-000065000000}"/>
    <cellStyle name="A_SUM_Row Major_Specialty.xls Chart 1" xfId="107" xr:uid="{00000000-0005-0000-0000-000066000000}"/>
    <cellStyle name="A_SUM_Row Major_Specialty.xls Chart 1-1" xfId="108" xr:uid="{00000000-0005-0000-0000-000067000000}"/>
    <cellStyle name="A_SUM_Row Major_Specialty.xls Chart 1-2" xfId="109" xr:uid="{00000000-0005-0000-0000-000068000000}"/>
    <cellStyle name="A_SUM_Row Major_Specialty.xls Chart 1-3" xfId="110" xr:uid="{00000000-0005-0000-0000-000069000000}"/>
    <cellStyle name="A_SUM_Row Major_Specialty.xls Chart 1-4" xfId="111" xr:uid="{00000000-0005-0000-0000-00006A000000}"/>
    <cellStyle name="A_SUM_Row Major_Specialty.xls Chart 1-5" xfId="112" xr:uid="{00000000-0005-0000-0000-00006B000000}"/>
    <cellStyle name="A_SUM_Row Minor" xfId="113" xr:uid="{00000000-0005-0000-0000-00006C000000}"/>
    <cellStyle name="A_SUM_Row Minor_EVEBITDA" xfId="114" xr:uid="{00000000-0005-0000-0000-00006D000000}"/>
    <cellStyle name="A_SUM_Row Minor_Indgen-specialty5" xfId="115" xr:uid="{00000000-0005-0000-0000-00006E000000}"/>
    <cellStyle name="A_SUM_Row Minor_Indgen-specialty5.xls Chart 1" xfId="116" xr:uid="{00000000-0005-0000-0000-00006F000000}"/>
    <cellStyle name="A_SUM_Row Minor_Indgen-specialty5.xls Chart 3" xfId="117" xr:uid="{00000000-0005-0000-0000-000070000000}"/>
    <cellStyle name="A_SUM_Row Minor_Specialty.xls Chart 1" xfId="118" xr:uid="{00000000-0005-0000-0000-000071000000}"/>
    <cellStyle name="A_SUM_Row Minor_Specialty.xls Chart 1-1" xfId="119" xr:uid="{00000000-0005-0000-0000-000072000000}"/>
    <cellStyle name="A_SUM_Row Minor_Specialty.xls Chart 1-2" xfId="120" xr:uid="{00000000-0005-0000-0000-000073000000}"/>
    <cellStyle name="A_SUM_Row Minor_Specialty.xls Chart 1-3" xfId="121" xr:uid="{00000000-0005-0000-0000-000074000000}"/>
    <cellStyle name="A_SUM_Row Minor_Specialty.xls Chart 1-4" xfId="122" xr:uid="{00000000-0005-0000-0000-000075000000}"/>
    <cellStyle name="A_SUM_Row Minor_Specialty.xls Chart 1-5" xfId="123" xr:uid="{00000000-0005-0000-0000-000076000000}"/>
    <cellStyle name="A_Title" xfId="124" xr:uid="{00000000-0005-0000-0000-000077000000}"/>
    <cellStyle name="A_YearHeadings" xfId="125" xr:uid="{00000000-0005-0000-0000-000078000000}"/>
    <cellStyle name="Accounting" xfId="126" xr:uid="{00000000-0005-0000-0000-000079000000}"/>
    <cellStyle name="Accounting [0]" xfId="127" xr:uid="{00000000-0005-0000-0000-00007A000000}"/>
    <cellStyle name="Accounting [1]" xfId="128" xr:uid="{00000000-0005-0000-0000-00007B000000}"/>
    <cellStyle name="Accounting[0]" xfId="129" xr:uid="{00000000-0005-0000-0000-00007C000000}"/>
    <cellStyle name="Actual" xfId="130" xr:uid="{00000000-0005-0000-0000-00007D000000}"/>
    <cellStyle name="AFE" xfId="131" xr:uid="{00000000-0005-0000-0000-00007E000000}"/>
    <cellStyle name="Agara" xfId="132" xr:uid="{00000000-0005-0000-0000-00007F000000}"/>
    <cellStyle name="Alert" xfId="133" xr:uid="{00000000-0005-0000-0000-000080000000}"/>
    <cellStyle name="ar" xfId="134" xr:uid="{00000000-0005-0000-0000-000081000000}"/>
    <cellStyle name="Arial 10" xfId="135" xr:uid="{00000000-0005-0000-0000-000082000000}"/>
    <cellStyle name="Arial 12" xfId="136" xr:uid="{00000000-0005-0000-0000-000083000000}"/>
    <cellStyle name="Array" xfId="137" xr:uid="{00000000-0005-0000-0000-000084000000}"/>
    <cellStyle name="Array Enter" xfId="138" xr:uid="{00000000-0005-0000-0000-000085000000}"/>
    <cellStyle name="A-Título" xfId="139" xr:uid="{00000000-0005-0000-0000-000086000000}"/>
    <cellStyle name="b" xfId="140" xr:uid="{00000000-0005-0000-0000-000087000000}"/>
    <cellStyle name="b." xfId="141" xr:uid="{00000000-0005-0000-0000-000088000000}"/>
    <cellStyle name="b_6bny1016" xfId="142" xr:uid="{00000000-0005-0000-0000-000089000000}"/>
    <cellStyle name="b_Adam_Comps" xfId="143" xr:uid="{00000000-0005-0000-0000-00008A000000}"/>
    <cellStyle name="b_BSY_Emory_PGTV comps 02_18_03" xfId="144" xr:uid="{00000000-0005-0000-0000-00008B000000}"/>
    <cellStyle name="b_CoreCableSatellite_comps_Media v.2" xfId="145" xr:uid="{00000000-0005-0000-0000-00008C000000}"/>
    <cellStyle name="b_JNY model 6-6-2006" xfId="146" xr:uid="{00000000-0005-0000-0000-00008D000000}"/>
    <cellStyle name="b_Master Utilities Comps 060210 with IBES links" xfId="147" xr:uid="{00000000-0005-0000-0000-00008E000000}"/>
    <cellStyle name="b_MMC trading comp" xfId="148" xr:uid="{00000000-0005-0000-0000-00008F000000}"/>
    <cellStyle name="b_Project World Series Financials" xfId="149" xr:uid="{00000000-0005-0000-0000-000090000000}"/>
    <cellStyle name="b_TDH001 Consumer comps 070130" xfId="150" xr:uid="{00000000-0005-0000-0000-000091000000}"/>
    <cellStyle name="b_WACC" xfId="151" xr:uid="{00000000-0005-0000-0000-000092000000}"/>
    <cellStyle name="-Bas de tableau" xfId="152" xr:uid="{00000000-0005-0000-0000-000093000000}"/>
    <cellStyle name="blank" xfId="153" xr:uid="{00000000-0005-0000-0000-000094000000}"/>
    <cellStyle name="Blue" xfId="154" xr:uid="{00000000-0005-0000-0000-000095000000}"/>
    <cellStyle name="blue$00" xfId="155" xr:uid="{00000000-0005-0000-0000-000096000000}"/>
    <cellStyle name="Bold/Border" xfId="156" xr:uid="{00000000-0005-0000-0000-000097000000}"/>
    <cellStyle name="Boolean" xfId="157" xr:uid="{00000000-0005-0000-0000-000098000000}"/>
    <cellStyle name="Border Heavy" xfId="158" xr:uid="{00000000-0005-0000-0000-000099000000}"/>
    <cellStyle name="Border Thin" xfId="159" xr:uid="{00000000-0005-0000-0000-00009A000000}"/>
    <cellStyle name="British Pound" xfId="160" xr:uid="{00000000-0005-0000-0000-00009B000000}"/>
    <cellStyle name="B-Título" xfId="161" xr:uid="{00000000-0005-0000-0000-00009C000000}"/>
    <cellStyle name="Bullet" xfId="162" xr:uid="{00000000-0005-0000-0000-00009D000000}"/>
    <cellStyle name="c" xfId="163" xr:uid="{00000000-0005-0000-0000-00009E000000}"/>
    <cellStyle name="Case" xfId="164" xr:uid="{00000000-0005-0000-0000-00009F000000}"/>
    <cellStyle name="CenterHead" xfId="165" xr:uid="{00000000-0005-0000-0000-0000A0000000}"/>
    <cellStyle name="Col_head1" xfId="166" xr:uid="{00000000-0005-0000-0000-0000A1000000}"/>
    <cellStyle name="ColHeader" xfId="167" xr:uid="{00000000-0005-0000-0000-0000A2000000}"/>
    <cellStyle name="ColHeading" xfId="168" xr:uid="{00000000-0005-0000-0000-0000A3000000}"/>
    <cellStyle name="Comma  - Style1" xfId="169" xr:uid="{00000000-0005-0000-0000-0000A4000000}"/>
    <cellStyle name="Comma  - Style2" xfId="170" xr:uid="{00000000-0005-0000-0000-0000A5000000}"/>
    <cellStyle name="Comma  - Style3" xfId="171" xr:uid="{00000000-0005-0000-0000-0000A6000000}"/>
    <cellStyle name="Comma  - Style4" xfId="172" xr:uid="{00000000-0005-0000-0000-0000A7000000}"/>
    <cellStyle name="Comma  - Style5" xfId="173" xr:uid="{00000000-0005-0000-0000-0000A8000000}"/>
    <cellStyle name="Comma  - Style6" xfId="174" xr:uid="{00000000-0005-0000-0000-0000A9000000}"/>
    <cellStyle name="Comma  - Style7" xfId="175" xr:uid="{00000000-0005-0000-0000-0000AA000000}"/>
    <cellStyle name="Comma  - Style8" xfId="176" xr:uid="{00000000-0005-0000-0000-0000AB000000}"/>
    <cellStyle name="Comma (1)_cedar model v2" xfId="177" xr:uid="{00000000-0005-0000-0000-0000AC000000}"/>
    <cellStyle name="Comma ," xfId="178" xr:uid="{00000000-0005-0000-0000-0000AD000000}"/>
    <cellStyle name="Comma [1]" xfId="179" xr:uid="{00000000-0005-0000-0000-0000AE000000}"/>
    <cellStyle name="Comma 0" xfId="180" xr:uid="{00000000-0005-0000-0000-0000AF000000}"/>
    <cellStyle name="Comma 0*" xfId="181" xr:uid="{00000000-0005-0000-0000-0000B0000000}"/>
    <cellStyle name="Comma 0_6bny1016" xfId="182" xr:uid="{00000000-0005-0000-0000-0000B1000000}"/>
    <cellStyle name="Comma 2" xfId="183" xr:uid="{00000000-0005-0000-0000-0000B2000000}"/>
    <cellStyle name="Comma 2*" xfId="184" xr:uid="{00000000-0005-0000-0000-0000B3000000}"/>
    <cellStyle name="Comma 2_6bny1016" xfId="185" xr:uid="{00000000-0005-0000-0000-0000B4000000}"/>
    <cellStyle name="Comma 3*" xfId="186" xr:uid="{00000000-0005-0000-0000-0000B5000000}"/>
    <cellStyle name="Comma, 0 Dec, Parens, Zero -" xfId="187" xr:uid="{00000000-0005-0000-0000-0000B6000000}"/>
    <cellStyle name="Comma0" xfId="188" xr:uid="{00000000-0005-0000-0000-0000B7000000}"/>
    <cellStyle name="comma3" xfId="189" xr:uid="{00000000-0005-0000-0000-0000B8000000}"/>
    <cellStyle name="Company" xfId="190" xr:uid="{00000000-0005-0000-0000-0000B9000000}"/>
    <cellStyle name="comps" xfId="191" xr:uid="{00000000-0005-0000-0000-0000BA000000}"/>
    <cellStyle name="COVERAGE" xfId="192" xr:uid="{00000000-0005-0000-0000-0000BB000000}"/>
    <cellStyle name="CS" xfId="193" xr:uid="{00000000-0005-0000-0000-0000BC000000}"/>
    <cellStyle name="CurRatio" xfId="194" xr:uid="{00000000-0005-0000-0000-0000BD000000}"/>
    <cellStyle name="Currency (no dec.)" xfId="195" xr:uid="{00000000-0005-0000-0000-0000BE000000}"/>
    <cellStyle name="Currency [00]" xfId="196" xr:uid="{00000000-0005-0000-0000-0000BF000000}"/>
    <cellStyle name="Currency [1]" xfId="197" xr:uid="{00000000-0005-0000-0000-0000C0000000}"/>
    <cellStyle name="Currency 0" xfId="198" xr:uid="{00000000-0005-0000-0000-0000C1000000}"/>
    <cellStyle name="Currency 2" xfId="199" xr:uid="{00000000-0005-0000-0000-0000C2000000}"/>
    <cellStyle name="Currency 2*" xfId="200" xr:uid="{00000000-0005-0000-0000-0000C3000000}"/>
    <cellStyle name="Currency 2_6bny1016" xfId="201" xr:uid="{00000000-0005-0000-0000-0000C4000000}"/>
    <cellStyle name="Currency 3*" xfId="202" xr:uid="{00000000-0005-0000-0000-0000C5000000}"/>
    <cellStyle name="Currency0" xfId="203" xr:uid="{00000000-0005-0000-0000-0000C6000000}"/>
    <cellStyle name="Currency2" xfId="204" xr:uid="{00000000-0005-0000-0000-0000C7000000}"/>
    <cellStyle name="currnecy" xfId="205" xr:uid="{00000000-0005-0000-0000-0000C8000000}"/>
    <cellStyle name="d" xfId="206" xr:uid="{00000000-0005-0000-0000-0000C9000000}"/>
    <cellStyle name="D_050117 CCA EW - CCA - 11 Jan 05 (DB adj)" xfId="207" xr:uid="{00000000-0005-0000-0000-0000CA000000}"/>
    <cellStyle name="D_050204 CCA EW - CCA - 11 Jan 05 (DB adj) - 4" xfId="208" xr:uid="{00000000-0005-0000-0000-0000CB000000}"/>
    <cellStyle name="D_15 Nov 2004_CCA Jason" xfId="209" xr:uid="{00000000-0005-0000-0000-0000CC000000}"/>
    <cellStyle name="D_22 Nov 2004_CCA Jason" xfId="210" xr:uid="{00000000-0005-0000-0000-0000CD000000}"/>
    <cellStyle name="D_5 Nov 2004_CCA Jason_revised.xls dlgChart" xfId="211" xr:uid="{00000000-0005-0000-0000-0000CE000000}"/>
    <cellStyle name="D_8 Nov 2004_CCA Jason" xfId="212" xr:uid="{00000000-0005-0000-0000-0000CF000000}"/>
    <cellStyle name="D_8 Nov 2004_CCA Jason.xls Chart 1" xfId="213" xr:uid="{00000000-0005-0000-0000-0000D0000000}"/>
    <cellStyle name="D_Adam_Comps" xfId="214" xr:uid="{00000000-0005-0000-0000-0000D1000000}"/>
    <cellStyle name="D_Comps File Generic Media" xfId="215" xr:uid="{00000000-0005-0000-0000-0000D2000000}"/>
    <cellStyle name="D_Copy of DMT496 Professional Publishing Comps 050714 Abhas" xfId="216" xr:uid="{00000000-0005-0000-0000-0000D3000000}"/>
    <cellStyle name="D_Copy of TDI1183 Template 051219 II Mili v1" xfId="217" xr:uid="{00000000-0005-0000-0000-0000D4000000}"/>
    <cellStyle name="D_Copy of TDI1183 Template 051219 II Neeraj" xfId="218" xr:uid="{00000000-0005-0000-0000-0000D5000000}"/>
    <cellStyle name="D_Copy of TDI1183 Template 051219 II Neeraj QC1 ILUKA Babneet" xfId="219" xr:uid="{00000000-0005-0000-0000-0000D6000000}"/>
    <cellStyle name="D_Copy of TDI1183 Template 051219 Nikunj" xfId="220" xr:uid="{00000000-0005-0000-0000-0000D7000000}"/>
    <cellStyle name="D_Directories Trading Multiples 10Jan2005" xfId="221" xr:uid="{00000000-0005-0000-0000-0000D8000000}"/>
    <cellStyle name="D_DMT448 Comps 050622 Ankur" xfId="222" xr:uid="{00000000-0005-0000-0000-0000D9000000}"/>
    <cellStyle name="D_DMT448 Comps 050622 Puneet" xfId="223" xr:uid="{00000000-0005-0000-0000-0000DA000000}"/>
    <cellStyle name="D_DMT448 Comps 050622 Puneet QC Sumit" xfId="224" xr:uid="{00000000-0005-0000-0000-0000DB000000}"/>
    <cellStyle name="D_DMT458 Comps 050628 Abhishek" xfId="225" xr:uid="{00000000-0005-0000-0000-0000DC000000}"/>
    <cellStyle name="D_DMT458 Comps 050628 Abhishek QC Beasley and Chrysalis" xfId="226" xr:uid="{00000000-0005-0000-0000-0000DD000000}"/>
    <cellStyle name="D_DMT458 Comps 050628 Abhishek Radio and Emmis QCD" xfId="227" xr:uid="{00000000-0005-0000-0000-0000DE000000}"/>
    <cellStyle name="D_DMT458 Comps 050628 Manish QC Ulster" xfId="228" xr:uid="{00000000-0005-0000-0000-0000DF000000}"/>
    <cellStyle name="D_DMT458 Comps 050628 Puneet" xfId="229" xr:uid="{00000000-0005-0000-0000-0000E0000000}"/>
    <cellStyle name="D_DMT458 Comps 050628 Puneet vQC" xfId="230" xr:uid="{00000000-0005-0000-0000-0000E1000000}"/>
    <cellStyle name="D_DMT458 Comps 050628 Rajan" xfId="231" xr:uid="{00000000-0005-0000-0000-0000E2000000}"/>
    <cellStyle name="D_DMT458 Comps 050628 Rajan 5 Cos Final vQC Anish" xfId="232" xr:uid="{00000000-0005-0000-0000-0000E3000000}"/>
    <cellStyle name="D_DMT458 Comps 050628 Rajan SMG QCd" xfId="233" xr:uid="{00000000-0005-0000-0000-0000E4000000}"/>
    <cellStyle name="D_DMT458 Comps 050630 Abhishek" xfId="234" xr:uid="{00000000-0005-0000-0000-0000E5000000}"/>
    <cellStyle name="D_DMT458 Comps 050630 Abhishek QC Sumit" xfId="235" xr:uid="{00000000-0005-0000-0000-0000E6000000}"/>
    <cellStyle name="D_DMT458 Comps 050630 Ankur" xfId="236" xr:uid="{00000000-0005-0000-0000-0000E7000000}"/>
    <cellStyle name="D_DMT458 Comps 050630 Ankur QC Sumit" xfId="237" xr:uid="{00000000-0005-0000-0000-0000E8000000}"/>
    <cellStyle name="D_DMT458 Comps 050630 SUMIT for Reed Elsevier from 462" xfId="238" xr:uid="{00000000-0005-0000-0000-0000E9000000}"/>
    <cellStyle name="D_DMT462 Comps 050628 Ankur" xfId="239" xr:uid="{00000000-0005-0000-0000-0000EA000000}"/>
    <cellStyle name="D_DMT462 Comps 050628 Ankur Arbitron QC" xfId="240" xr:uid="{00000000-0005-0000-0000-0000EB000000}"/>
    <cellStyle name="D_DMT462 Comps 050629 Abhishek" xfId="241" xr:uid="{00000000-0005-0000-0000-0000EC000000}"/>
    <cellStyle name="D_DMT462 Comps 050629 Abhishek QCd" xfId="242" xr:uid="{00000000-0005-0000-0000-0000ED000000}"/>
    <cellStyle name="D_DMT462 Comps 050629 Ankur Ipsos QC" xfId="243" xr:uid="{00000000-0005-0000-0000-0000EE000000}"/>
    <cellStyle name="D_DMT462 Comps 050629 Puneet" xfId="244" xr:uid="{00000000-0005-0000-0000-0000EF000000}"/>
    <cellStyle name="D_DMT462 Comps 050629 Puneet QC Reuters" xfId="245" xr:uid="{00000000-0005-0000-0000-0000F0000000}"/>
    <cellStyle name="D_DMT462 Comps 050629 Rajan" xfId="246" xr:uid="{00000000-0005-0000-0000-0000F1000000}"/>
    <cellStyle name="D_DMT462 Comps 050629 Rajan QCd" xfId="247" xr:uid="{00000000-0005-0000-0000-0000F2000000}"/>
    <cellStyle name="D_DMT482 Consumer Comps 050707 Puneet" xfId="248" xr:uid="{00000000-0005-0000-0000-0000F3000000}"/>
    <cellStyle name="D_DMT482 Consumer Publishing Comps 050707 Puneet" xfId="249" xr:uid="{00000000-0005-0000-0000-0000F4000000}"/>
    <cellStyle name="D_DMT482 Consumer Publishing Comps 050708 Amit" xfId="250" xr:uid="{00000000-0005-0000-0000-0000F5000000}"/>
    <cellStyle name="D_DMT482 Consumer Publishing Comps 050709" xfId="251" xr:uid="{00000000-0005-0000-0000-0000F6000000}"/>
    <cellStyle name="D_DMT482 Newspaper Comps 050709" xfId="252" xr:uid="{00000000-0005-0000-0000-0000F7000000}"/>
    <cellStyle name="D_DMT482 Newspapers Comps 050708" xfId="253" xr:uid="{00000000-0005-0000-0000-0000F8000000}"/>
    <cellStyle name="D_DMT482 Newspapers Comps 050708 Manas" xfId="254" xr:uid="{00000000-0005-0000-0000-0000F9000000}"/>
    <cellStyle name="D_DMT482 Newspapers Comps 050708 Pankaj" xfId="255" xr:uid="{00000000-0005-0000-0000-0000FA000000}"/>
    <cellStyle name="D_DMT482 Professional Publishing Comps 050708 Puneet" xfId="256" xr:uid="{00000000-0005-0000-0000-0000FB000000}"/>
    <cellStyle name="D_DMT482 Professional Publishing Comps 050708 Rajesh" xfId="257" xr:uid="{00000000-0005-0000-0000-0000FC000000}"/>
    <cellStyle name="D_DMT482 Professional Publishing Comps 050712" xfId="258" xr:uid="{00000000-0005-0000-0000-0000FD000000}"/>
    <cellStyle name="D_DMT482 Radio Comps 050709 Pankaj" xfId="259" xr:uid="{00000000-0005-0000-0000-0000FE000000}"/>
    <cellStyle name="D_DMT482 Radio Comps 050712" xfId="260" xr:uid="{00000000-0005-0000-0000-0000FF000000}"/>
    <cellStyle name="D_DMT489 Comps 050716" xfId="261" xr:uid="{00000000-0005-0000-0000-000000010000}"/>
    <cellStyle name="D_DMT493 Media Comps 050714" xfId="262" xr:uid="{00000000-0005-0000-0000-000001010000}"/>
    <cellStyle name="D_DMT493 Media Comps 050714 Puneet" xfId="263" xr:uid="{00000000-0005-0000-0000-000002010000}"/>
    <cellStyle name="D_DMT496 Comps 050714" xfId="264" xr:uid="{00000000-0005-0000-0000-000003010000}"/>
    <cellStyle name="D_DMT496 Professional Publishing Comps 050714" xfId="265" xr:uid="{00000000-0005-0000-0000-000004010000}"/>
    <cellStyle name="D_DMT496 Professional Publishing Comps 050714 Abhishek" xfId="266" xr:uid="{00000000-0005-0000-0000-000005010000}"/>
    <cellStyle name="D_DMT496 Professional Publishing Comps 050714 Amit" xfId="267" xr:uid="{00000000-0005-0000-0000-000006010000}"/>
    <cellStyle name="D_DMT496 Professional Publishing Comps 050714 Ankur" xfId="268" xr:uid="{00000000-0005-0000-0000-000007010000}"/>
    <cellStyle name="D_DMT496 Professional Publishing Comps 050714 Manish" xfId="269" xr:uid="{00000000-0005-0000-0000-000008010000}"/>
    <cellStyle name="D_DMT496 Professional Publishing Comps 050714 Pankaj" xfId="270" xr:uid="{00000000-0005-0000-0000-000009010000}"/>
    <cellStyle name="D_DMT496A Comps 050715 Abhas" xfId="271" xr:uid="{00000000-0005-0000-0000-00000A010000}"/>
    <cellStyle name="D_DMT496A Comps 050715 Abhishek" xfId="272" xr:uid="{00000000-0005-0000-0000-00000B010000}"/>
    <cellStyle name="D_DMT496A Comps 050715 Amit" xfId="273" xr:uid="{00000000-0005-0000-0000-00000C010000}"/>
    <cellStyle name="D_DMT496A Comps 050715 Manas" xfId="274" xr:uid="{00000000-0005-0000-0000-00000D010000}"/>
    <cellStyle name="D_DMT496A Comps 050715 Pankaj" xfId="275" xr:uid="{00000000-0005-0000-0000-00000E010000}"/>
    <cellStyle name="D_DMT496A Comps 050715 QC 2 Pankaj" xfId="276" xr:uid="{00000000-0005-0000-0000-00000F010000}"/>
    <cellStyle name="D_DMT496A Comps 050715 QC Antena Amit" xfId="277" xr:uid="{00000000-0005-0000-0000-000010010000}"/>
    <cellStyle name="D_DMT496A Comps 050715 QC BEC Pankaj" xfId="278" xr:uid="{00000000-0005-0000-0000-000011010000}"/>
    <cellStyle name="D_DMT496A Comps 050715 QC Disney Amit" xfId="279" xr:uid="{00000000-0005-0000-0000-000012010000}"/>
    <cellStyle name="D_DMT496A Comps 050715 QC EMI Abhas" xfId="280" xr:uid="{00000000-0005-0000-0000-000013010000}"/>
    <cellStyle name="D_DMT496A Comps 050715 QC M6 metro Amit" xfId="281" xr:uid="{00000000-0005-0000-0000-000014010000}"/>
    <cellStyle name="D_DMT496A Comps 050715 QC Mediaset Abhishek" xfId="282" xr:uid="{00000000-0005-0000-0000-000015010000}"/>
    <cellStyle name="D_DMT496A Comps 050715 QC Newscorp Abhishek" xfId="283" xr:uid="{00000000-0005-0000-0000-000016010000}"/>
    <cellStyle name="D_DMT496A Comps 050715 QC Premiere Amit" xfId="284" xr:uid="{00000000-0005-0000-0000-000017010000}"/>
    <cellStyle name="D_DMT496A Comps 050715 QC Prosieben Abhas" xfId="285" xr:uid="{00000000-0005-0000-0000-000018010000}"/>
    <cellStyle name="D_DMT496A Comps 050715 QC RTL Abhishek" xfId="286" xr:uid="{00000000-0005-0000-0000-000019010000}"/>
    <cellStyle name="D_DMT496A Comps 050715 QC Sogecable Manas" xfId="287" xr:uid="{00000000-0005-0000-0000-00001A010000}"/>
    <cellStyle name="D_DMT496A Comps 050715 QC Telecinco Amit" xfId="288" xr:uid="{00000000-0005-0000-0000-00001B010000}"/>
    <cellStyle name="D_DMT496A Comps 050715 QC TF1 Rajan" xfId="289" xr:uid="{00000000-0005-0000-0000-00001C010000}"/>
    <cellStyle name="D_DMT496A Comps 050715 QC Time warner Abhas" xfId="290" xr:uid="{00000000-0005-0000-0000-00001D010000}"/>
    <cellStyle name="D_DMT496A Comps 050715 QC TVN Srilatha" xfId="291" xr:uid="{00000000-0005-0000-0000-00001E010000}"/>
    <cellStyle name="D_DMT496A Comps 050715 QC Viacom Abhas" xfId="292" xr:uid="{00000000-0005-0000-0000-00001F010000}"/>
    <cellStyle name="D_DMT496A Comps 050715 QC WMG Pankaj" xfId="293" xr:uid="{00000000-0005-0000-0000-000020010000}"/>
    <cellStyle name="D_DMT496A Comps 050715 Rajan" xfId="294" xr:uid="{00000000-0005-0000-0000-000021010000}"/>
    <cellStyle name="D_DMT496A Comps 050715 Srilatha" xfId="295" xr:uid="{00000000-0005-0000-0000-000022010000}"/>
    <cellStyle name="D_DMT496B Comps 050715 4Kids Sorabh" xfId="296" xr:uid="{00000000-0005-0000-0000-000023010000}"/>
    <cellStyle name="D_DMT496B Comps 050715 Abhishek" xfId="297" xr:uid="{00000000-0005-0000-0000-000024010000}"/>
    <cellStyle name="D_DMT496B Comps 050716 Amit" xfId="298" xr:uid="{00000000-0005-0000-0000-000025010000}"/>
    <cellStyle name="D_DMT496B Comps 050716 Jetix Sorabh" xfId="299" xr:uid="{00000000-0005-0000-0000-000026010000}"/>
    <cellStyle name="D_DMT503 Media Comps 050721 Puneet" xfId="300" xr:uid="{00000000-0005-0000-0000-000027010000}"/>
    <cellStyle name="D_DMT505 Media Comps 050722 Puneet" xfId="301" xr:uid="{00000000-0005-0000-0000-000028010000}"/>
    <cellStyle name="D_DMT505 Media Comps 050722 Rajan" xfId="302" xr:uid="{00000000-0005-0000-0000-000029010000}"/>
    <cellStyle name="D_DMT506 Media Comps 050722 Manas" xfId="303" xr:uid="{00000000-0005-0000-0000-00002A010000}"/>
    <cellStyle name="D_DMT506 Media Comps 050723 Himanshu" xfId="304" xr:uid="{00000000-0005-0000-0000-00002B010000}"/>
    <cellStyle name="D_DMT506 Media Comps 050723 Saurabh" xfId="305" xr:uid="{00000000-0005-0000-0000-00002C010000}"/>
    <cellStyle name="D_DMT506 QC SUMIT Media Comps 050722 Amazon" xfId="306" xr:uid="{00000000-0005-0000-0000-00002D010000}"/>
    <cellStyle name="D_DMT506 QC SUMIT Media Comps 050723" xfId="307" xr:uid="{00000000-0005-0000-0000-00002E010000}"/>
    <cellStyle name="D_DMT507 Media Comps 050725" xfId="308" xr:uid="{00000000-0005-0000-0000-00002F010000}"/>
    <cellStyle name="D_DMT507 Media Comps 050725 Electronics Arts Sorabh" xfId="309" xr:uid="{00000000-0005-0000-0000-000030010000}"/>
    <cellStyle name="D_DMT507 Media Comps 050725 Himanshu" xfId="310" xr:uid="{00000000-0005-0000-0000-000031010000}"/>
    <cellStyle name="D_DMT507 Media Comps 050725 Manas" xfId="311" xr:uid="{00000000-0005-0000-0000-000032010000}"/>
    <cellStyle name="D_DMT507 Media Comps 050725 Manish" xfId="312" xr:uid="{00000000-0005-0000-0000-000033010000}"/>
    <cellStyle name="D_DMT507 Media Comps 050725 Pankaj" xfId="313" xr:uid="{00000000-0005-0000-0000-000034010000}"/>
    <cellStyle name="D_DMT507 Media Comps 050725 Pixar Sorabh" xfId="314" xr:uid="{00000000-0005-0000-0000-000035010000}"/>
    <cellStyle name="D_DMT507 Media Comps 050725 reamworks Sorabh" xfId="315" xr:uid="{00000000-0005-0000-0000-000036010000}"/>
    <cellStyle name="D_DMT507 Media Comps 050725 THQ Sorabh" xfId="316" xr:uid="{00000000-0005-0000-0000-000037010000}"/>
    <cellStyle name="D_DMT507 Media Comps Template" xfId="317" xr:uid="{00000000-0005-0000-0000-000038010000}"/>
    <cellStyle name="D_DMT562 Software Games Comps 050830" xfId="318" xr:uid="{00000000-0005-0000-0000-000039010000}"/>
    <cellStyle name="D_DMT562 Software Games Comps 050830 Infogrames" xfId="319" xr:uid="{00000000-0005-0000-0000-00003A010000}"/>
    <cellStyle name="D_DMT562 Software Games Comps 050830 Pankaj" xfId="320" xr:uid="{00000000-0005-0000-0000-00003B010000}"/>
    <cellStyle name="D_DMT562 Software Games Comps 050830 Puneet" xfId="321" xr:uid="{00000000-0005-0000-0000-00003C010000}"/>
    <cellStyle name="D_DMT568 Media Comps 050902 Set 4 Puneet" xfId="322" xr:uid="{00000000-0005-0000-0000-00003D010000}"/>
    <cellStyle name="D_DMT591 Media Comps 050916" xfId="323" xr:uid="{00000000-0005-0000-0000-00003E010000}"/>
    <cellStyle name="D_DMT591 Media Comps 050916 Avneesh" xfId="324" xr:uid="{00000000-0005-0000-0000-00003F010000}"/>
    <cellStyle name="D_DMT591 Media Comps 050916 Avneesh Qc" xfId="325" xr:uid="{00000000-0005-0000-0000-000040010000}"/>
    <cellStyle name="D_DMT591 Media Comps 050916 Himanshu" xfId="326" xr:uid="{00000000-0005-0000-0000-000041010000}"/>
    <cellStyle name="D_DMT591 Media Comps 050916 Manas" xfId="327" xr:uid="{00000000-0005-0000-0000-000042010000}"/>
    <cellStyle name="D_DMT591 Media Comps 050916 Manish" xfId="328" xr:uid="{00000000-0005-0000-0000-000043010000}"/>
    <cellStyle name="D_DMT591 Media Comps 050916 Rajesh" xfId="329" xr:uid="{00000000-0005-0000-0000-000044010000}"/>
    <cellStyle name="D_DMT607 Agencies Comps 051005 Jitesh (New Template)" xfId="330" xr:uid="{00000000-0005-0000-0000-000045010000}"/>
    <cellStyle name="D_DMT607 Agencies Comps 051005 Manas (New Template)" xfId="331" xr:uid="{00000000-0005-0000-0000-000046010000}"/>
    <cellStyle name="D_DMT629 Media Comps 051024 Kapil" xfId="332" xr:uid="{00000000-0005-0000-0000-000047010000}"/>
    <cellStyle name="D_DMT629 Media Comps 051024 Nikunj" xfId="333" xr:uid="{00000000-0005-0000-0000-000048010000}"/>
    <cellStyle name="D_DMT629 Media Comps 051024 Rajesh" xfId="334" xr:uid="{00000000-0005-0000-0000-000049010000}"/>
    <cellStyle name="D_DMT629 Media Comps 051024 Ubisoft Kapil QC" xfId="335" xr:uid="{00000000-0005-0000-0000-00004A010000}"/>
    <cellStyle name="D_DMT629 Media Comps 051024 vishal ii" xfId="336" xr:uid="{00000000-0005-0000-0000-00004B010000}"/>
    <cellStyle name="D_DMT629 Media Comps 051024 Yogesh" xfId="337" xr:uid="{00000000-0005-0000-0000-00004C010000}"/>
    <cellStyle name="D_DMT629 Media Comps 051025 Electronics Arts QC Anish" xfId="338" xr:uid="{00000000-0005-0000-0000-00004D010000}"/>
    <cellStyle name="D_DMT629 Media Comps 051025 Himanshu" xfId="339" xr:uid="{00000000-0005-0000-0000-00004E010000}"/>
    <cellStyle name="D_DMT629 Media Comps 051025 Pankaj" xfId="340" xr:uid="{00000000-0005-0000-0000-00004F010000}"/>
    <cellStyle name="D_DMT629 Media Comps 051025 vishal THQ QC" xfId="341" xr:uid="{00000000-0005-0000-0000-000050010000}"/>
    <cellStyle name="D_DMT667 Media Comps 051118  Anish" xfId="342" xr:uid="{00000000-0005-0000-0000-000051010000}"/>
    <cellStyle name="D_DMT667 Media Comps 051118 Charanjeet" xfId="343" xr:uid="{00000000-0005-0000-0000-000052010000}"/>
    <cellStyle name="D_DMT667 Media Comps 051118 Gaurav" xfId="344" xr:uid="{00000000-0005-0000-0000-000053010000}"/>
    <cellStyle name="D_DMT667 Media Comps 051118 Madhur" xfId="345" xr:uid="{00000000-0005-0000-0000-000054010000}"/>
    <cellStyle name="D_DMT667 Media Comps 051118 Rajan" xfId="346" xr:uid="{00000000-0005-0000-0000-000055010000}"/>
    <cellStyle name="D_DMT667 Media Comps 051118 Sweta" xfId="347" xr:uid="{00000000-0005-0000-0000-000056010000}"/>
    <cellStyle name="D_DMT667 Media Comps 051118 Vaibhav" xfId="348" xr:uid="{00000000-0005-0000-0000-000057010000}"/>
    <cellStyle name="D_DMT667 Media Comps 051118 Varun" xfId="349" xr:uid="{00000000-0005-0000-0000-000058010000}"/>
    <cellStyle name="D_DMT667 Media Comps 051118 Vimal" xfId="350" xr:uid="{00000000-0005-0000-0000-000059010000}"/>
    <cellStyle name="D_DMT708 Video_Wireless Comps 051209 Avneesh" xfId="351" xr:uid="{00000000-0005-0000-0000-00005A010000}"/>
    <cellStyle name="D_graph synthèse des valos Circuit A" xfId="352" xr:uid="{00000000-0005-0000-0000-00005B010000}"/>
    <cellStyle name="D_graph synthèse des valos Circuit A_050117 CCA EW - CCA - 11 Jan 05 (DB adj)" xfId="353" xr:uid="{00000000-0005-0000-0000-00005C010000}"/>
    <cellStyle name="D_graph synthèse des valos Circuit A_050204 CCA EW - CCA - 11 Jan 05 (DB adj) - 4" xfId="354" xr:uid="{00000000-0005-0000-0000-00005D010000}"/>
    <cellStyle name="D_graph synthèse des valos Circuit A_15 Nov 2004_CCA Jason" xfId="355" xr:uid="{00000000-0005-0000-0000-00005E010000}"/>
    <cellStyle name="D_graph synthèse des valos Circuit A_22 Nov 2004_CCA Jason" xfId="356" xr:uid="{00000000-0005-0000-0000-00005F010000}"/>
    <cellStyle name="D_graph synthèse des valos Circuit A_5 Nov 2004_CCA Jason_revised.xls dlgChart" xfId="357" xr:uid="{00000000-0005-0000-0000-000060010000}"/>
    <cellStyle name="D_graph synthèse des valos Circuit A_8 Nov 2004_CCA Jason" xfId="358" xr:uid="{00000000-0005-0000-0000-000061010000}"/>
    <cellStyle name="D_graph synthèse des valos Circuit A_8 Nov 2004_CCA Jason.xls Chart 1" xfId="359" xr:uid="{00000000-0005-0000-0000-000062010000}"/>
    <cellStyle name="D_graph synthèse des valos Circuit A_Comps File Generic Media" xfId="360" xr:uid="{00000000-0005-0000-0000-000063010000}"/>
    <cellStyle name="D_graph synthèse des valos Circuit A_Copy of DMT496 Professional Publishing Comps 050714 Abhas" xfId="361" xr:uid="{00000000-0005-0000-0000-000064010000}"/>
    <cellStyle name="D_graph synthèse des valos Circuit A_Copy of TDI1183 Template 051219 II Mili v1" xfId="362" xr:uid="{00000000-0005-0000-0000-000065010000}"/>
    <cellStyle name="D_graph synthèse des valos Circuit A_Copy of TDI1183 Template 051219 II Neeraj" xfId="363" xr:uid="{00000000-0005-0000-0000-000066010000}"/>
    <cellStyle name="D_graph synthèse des valos Circuit A_Copy of TDI1183 Template 051219 II Neeraj QC1 ILUKA Babneet" xfId="364" xr:uid="{00000000-0005-0000-0000-000067010000}"/>
    <cellStyle name="D_graph synthèse des valos Circuit A_Copy of TDI1183 Template 051219 Nikunj" xfId="365" xr:uid="{00000000-0005-0000-0000-000068010000}"/>
    <cellStyle name="D_graph synthèse des valos Circuit A_Directories Trading Multiples 10Jan2005" xfId="366" xr:uid="{00000000-0005-0000-0000-000069010000}"/>
    <cellStyle name="D_graph synthèse des valos Circuit A_DMT448 Comps 050622 Ankur" xfId="367" xr:uid="{00000000-0005-0000-0000-00006A010000}"/>
    <cellStyle name="D_graph synthèse des valos Circuit A_DMT448 Comps 050622 Puneet" xfId="368" xr:uid="{00000000-0005-0000-0000-00006B010000}"/>
    <cellStyle name="D_graph synthèse des valos Circuit A_DMT448 Comps 050622 Puneet QC Sumit" xfId="369" xr:uid="{00000000-0005-0000-0000-00006C010000}"/>
    <cellStyle name="D_graph synthèse des valos Circuit A_DMT458 Comps 050628 Abhishek" xfId="370" xr:uid="{00000000-0005-0000-0000-00006D010000}"/>
    <cellStyle name="D_graph synthèse des valos Circuit A_DMT458 Comps 050628 Abhishek QC Beasley and Chrysalis" xfId="371" xr:uid="{00000000-0005-0000-0000-00006E010000}"/>
    <cellStyle name="D_graph synthèse des valos Circuit A_DMT458 Comps 050628 Abhishek Radio and Emmis QCD" xfId="372" xr:uid="{00000000-0005-0000-0000-00006F010000}"/>
    <cellStyle name="D_graph synthèse des valos Circuit A_DMT458 Comps 050628 Manish QC Ulster" xfId="373" xr:uid="{00000000-0005-0000-0000-000070010000}"/>
    <cellStyle name="D_graph synthèse des valos Circuit A_DMT458 Comps 050628 Puneet" xfId="374" xr:uid="{00000000-0005-0000-0000-000071010000}"/>
    <cellStyle name="D_graph synthèse des valos Circuit A_DMT458 Comps 050628 Puneet vQC" xfId="375" xr:uid="{00000000-0005-0000-0000-000072010000}"/>
    <cellStyle name="D_graph synthèse des valos Circuit A_DMT458 Comps 050628 Rajan" xfId="376" xr:uid="{00000000-0005-0000-0000-000073010000}"/>
    <cellStyle name="D_graph synthèse des valos Circuit A_DMT458 Comps 050628 Rajan 5 Cos Final vQC Anish" xfId="377" xr:uid="{00000000-0005-0000-0000-000074010000}"/>
    <cellStyle name="D_graph synthèse des valos Circuit A_DMT458 Comps 050628 Rajan SMG QCd" xfId="378" xr:uid="{00000000-0005-0000-0000-000075010000}"/>
    <cellStyle name="D_graph synthèse des valos Circuit A_DMT458 Comps 050630 Abhishek" xfId="379" xr:uid="{00000000-0005-0000-0000-000076010000}"/>
    <cellStyle name="D_graph synthèse des valos Circuit A_DMT458 Comps 050630 Abhishek QC Sumit" xfId="380" xr:uid="{00000000-0005-0000-0000-000077010000}"/>
    <cellStyle name="D_graph synthèse des valos Circuit A_DMT458 Comps 050630 Ankur" xfId="381" xr:uid="{00000000-0005-0000-0000-000078010000}"/>
    <cellStyle name="D_graph synthèse des valos Circuit A_DMT458 Comps 050630 Ankur QC Sumit" xfId="382" xr:uid="{00000000-0005-0000-0000-000079010000}"/>
    <cellStyle name="D_graph synthèse des valos Circuit A_DMT458 Comps 050630 SUMIT for Reed Elsevier from 462" xfId="383" xr:uid="{00000000-0005-0000-0000-00007A010000}"/>
    <cellStyle name="D_graph synthèse des valos Circuit A_DMT462 Comps 050628 Ankur" xfId="384" xr:uid="{00000000-0005-0000-0000-00007B010000}"/>
    <cellStyle name="D_graph synthèse des valos Circuit A_DMT462 Comps 050628 Ankur Arbitron QC" xfId="385" xr:uid="{00000000-0005-0000-0000-00007C010000}"/>
    <cellStyle name="D_graph synthèse des valos Circuit A_DMT462 Comps 050629 Abhishek" xfId="386" xr:uid="{00000000-0005-0000-0000-00007D010000}"/>
    <cellStyle name="D_graph synthèse des valos Circuit A_DMT462 Comps 050629 Abhishek QCd" xfId="387" xr:uid="{00000000-0005-0000-0000-00007E010000}"/>
    <cellStyle name="D_graph synthèse des valos Circuit A_DMT462 Comps 050629 Ankur Ipsos QC" xfId="388" xr:uid="{00000000-0005-0000-0000-00007F010000}"/>
    <cellStyle name="D_graph synthèse des valos Circuit A_DMT462 Comps 050629 Puneet" xfId="389" xr:uid="{00000000-0005-0000-0000-000080010000}"/>
    <cellStyle name="D_graph synthèse des valos Circuit A_DMT462 Comps 050629 Puneet QC Reuters" xfId="390" xr:uid="{00000000-0005-0000-0000-000081010000}"/>
    <cellStyle name="D_graph synthèse des valos Circuit A_DMT462 Comps 050629 Rajan" xfId="391" xr:uid="{00000000-0005-0000-0000-000082010000}"/>
    <cellStyle name="D_graph synthèse des valos Circuit A_DMT462 Comps 050629 Rajan QCd" xfId="392" xr:uid="{00000000-0005-0000-0000-000083010000}"/>
    <cellStyle name="D_graph synthèse des valos Circuit A_DMT482 Consumer Comps 050707 Puneet" xfId="393" xr:uid="{00000000-0005-0000-0000-000084010000}"/>
    <cellStyle name="D_graph synthèse des valos Circuit A_DMT482 Consumer Publishing Comps 050707 Puneet" xfId="394" xr:uid="{00000000-0005-0000-0000-000085010000}"/>
    <cellStyle name="D_graph synthèse des valos Circuit A_DMT482 Consumer Publishing Comps 050708 Amit" xfId="395" xr:uid="{00000000-0005-0000-0000-000086010000}"/>
    <cellStyle name="D_graph synthèse des valos Circuit A_DMT482 Consumer Publishing Comps 050709" xfId="396" xr:uid="{00000000-0005-0000-0000-000087010000}"/>
    <cellStyle name="D_graph synthèse des valos Circuit A_DMT482 Newspaper Comps 050709" xfId="397" xr:uid="{00000000-0005-0000-0000-000088010000}"/>
    <cellStyle name="D_graph synthèse des valos Circuit A_DMT482 Newspapers Comps 050708" xfId="398" xr:uid="{00000000-0005-0000-0000-000089010000}"/>
    <cellStyle name="D_graph synthèse des valos Circuit A_DMT482 Newspapers Comps 050708 Manas" xfId="399" xr:uid="{00000000-0005-0000-0000-00008A010000}"/>
    <cellStyle name="D_graph synthèse des valos Circuit A_DMT482 Newspapers Comps 050708 Pankaj" xfId="400" xr:uid="{00000000-0005-0000-0000-00008B010000}"/>
    <cellStyle name="D_graph synthèse des valos Circuit A_DMT482 Professional Publishing Comps 050708 Puneet" xfId="401" xr:uid="{00000000-0005-0000-0000-00008C010000}"/>
    <cellStyle name="D_graph synthèse des valos Circuit A_DMT482 Professional Publishing Comps 050708 Rajesh" xfId="402" xr:uid="{00000000-0005-0000-0000-00008D010000}"/>
    <cellStyle name="D_graph synthèse des valos Circuit A_DMT482 Professional Publishing Comps 050712" xfId="403" xr:uid="{00000000-0005-0000-0000-00008E010000}"/>
    <cellStyle name="D_graph synthèse des valos Circuit A_DMT482 Radio Comps 050709 Pankaj" xfId="404" xr:uid="{00000000-0005-0000-0000-00008F010000}"/>
    <cellStyle name="D_graph synthèse des valos Circuit A_DMT482 Radio Comps 050712" xfId="405" xr:uid="{00000000-0005-0000-0000-000090010000}"/>
    <cellStyle name="D_graph synthèse des valos Circuit A_DMT489 Comps 050716" xfId="406" xr:uid="{00000000-0005-0000-0000-000091010000}"/>
    <cellStyle name="D_graph synthèse des valos Circuit A_DMT493 Media Comps 050714" xfId="407" xr:uid="{00000000-0005-0000-0000-000092010000}"/>
    <cellStyle name="D_graph synthèse des valos Circuit A_DMT493 Media Comps 050714 Puneet" xfId="408" xr:uid="{00000000-0005-0000-0000-000093010000}"/>
    <cellStyle name="D_graph synthèse des valos Circuit A_DMT496 Comps 050714" xfId="409" xr:uid="{00000000-0005-0000-0000-000094010000}"/>
    <cellStyle name="D_graph synthèse des valos Circuit A_DMT496 Professional Publishing Comps 050714" xfId="410" xr:uid="{00000000-0005-0000-0000-000095010000}"/>
    <cellStyle name="D_graph synthèse des valos Circuit A_DMT496 Professional Publishing Comps 050714 Abhishek" xfId="411" xr:uid="{00000000-0005-0000-0000-000096010000}"/>
    <cellStyle name="D_graph synthèse des valos Circuit A_DMT496 Professional Publishing Comps 050714 Amit" xfId="412" xr:uid="{00000000-0005-0000-0000-000097010000}"/>
    <cellStyle name="D_graph synthèse des valos Circuit A_DMT496 Professional Publishing Comps 050714 Ankur" xfId="413" xr:uid="{00000000-0005-0000-0000-000098010000}"/>
    <cellStyle name="D_graph synthèse des valos Circuit A_DMT496 Professional Publishing Comps 050714 Manish" xfId="414" xr:uid="{00000000-0005-0000-0000-000099010000}"/>
    <cellStyle name="D_graph synthèse des valos Circuit A_DMT496 Professional Publishing Comps 050714 Pankaj" xfId="415" xr:uid="{00000000-0005-0000-0000-00009A010000}"/>
    <cellStyle name="D_graph synthèse des valos Circuit A_DMT496A Comps 050715 Abhas" xfId="416" xr:uid="{00000000-0005-0000-0000-00009B010000}"/>
    <cellStyle name="D_graph synthèse des valos Circuit A_DMT496A Comps 050715 Abhishek" xfId="417" xr:uid="{00000000-0005-0000-0000-00009C010000}"/>
    <cellStyle name="D_graph synthèse des valos Circuit A_DMT496A Comps 050715 Amit" xfId="418" xr:uid="{00000000-0005-0000-0000-00009D010000}"/>
    <cellStyle name="D_graph synthèse des valos Circuit A_DMT496A Comps 050715 Manas" xfId="419" xr:uid="{00000000-0005-0000-0000-00009E010000}"/>
    <cellStyle name="D_graph synthèse des valos Circuit A_DMT496A Comps 050715 Pankaj" xfId="420" xr:uid="{00000000-0005-0000-0000-00009F010000}"/>
    <cellStyle name="D_graph synthèse des valos Circuit A_DMT496A Comps 050715 QC 2 Pankaj" xfId="421" xr:uid="{00000000-0005-0000-0000-0000A0010000}"/>
    <cellStyle name="D_graph synthèse des valos Circuit A_DMT496A Comps 050715 QC Antena Amit" xfId="422" xr:uid="{00000000-0005-0000-0000-0000A1010000}"/>
    <cellStyle name="D_graph synthèse des valos Circuit A_DMT496A Comps 050715 QC BEC Pankaj" xfId="423" xr:uid="{00000000-0005-0000-0000-0000A2010000}"/>
    <cellStyle name="D_graph synthèse des valos Circuit A_DMT496A Comps 050715 QC Disney Amit" xfId="424" xr:uid="{00000000-0005-0000-0000-0000A3010000}"/>
    <cellStyle name="D_graph synthèse des valos Circuit A_DMT496A Comps 050715 QC EMI Abhas" xfId="425" xr:uid="{00000000-0005-0000-0000-0000A4010000}"/>
    <cellStyle name="D_graph synthèse des valos Circuit A_DMT496A Comps 050715 QC M6 metro Amit" xfId="426" xr:uid="{00000000-0005-0000-0000-0000A5010000}"/>
    <cellStyle name="D_graph synthèse des valos Circuit A_DMT496A Comps 050715 QC Mediaset Abhishek" xfId="427" xr:uid="{00000000-0005-0000-0000-0000A6010000}"/>
    <cellStyle name="D_graph synthèse des valos Circuit A_DMT496A Comps 050715 QC Newscorp Abhishek" xfId="428" xr:uid="{00000000-0005-0000-0000-0000A7010000}"/>
    <cellStyle name="D_graph synthèse des valos Circuit A_DMT496A Comps 050715 QC Premiere Amit" xfId="429" xr:uid="{00000000-0005-0000-0000-0000A8010000}"/>
    <cellStyle name="D_graph synthèse des valos Circuit A_DMT496A Comps 050715 QC Prosieben Abhas" xfId="430" xr:uid="{00000000-0005-0000-0000-0000A9010000}"/>
    <cellStyle name="D_graph synthèse des valos Circuit A_DMT496A Comps 050715 QC RTL Abhishek" xfId="431" xr:uid="{00000000-0005-0000-0000-0000AA010000}"/>
    <cellStyle name="D_graph synthèse des valos Circuit A_DMT496A Comps 050715 QC Sogecable Manas" xfId="432" xr:uid="{00000000-0005-0000-0000-0000AB010000}"/>
    <cellStyle name="D_graph synthèse des valos Circuit A_DMT496A Comps 050715 QC Telecinco Amit" xfId="433" xr:uid="{00000000-0005-0000-0000-0000AC010000}"/>
    <cellStyle name="D_graph synthèse des valos Circuit A_DMT496A Comps 050715 QC TF1 Rajan" xfId="434" xr:uid="{00000000-0005-0000-0000-0000AD010000}"/>
    <cellStyle name="D_graph synthèse des valos Circuit A_DMT496A Comps 050715 QC Time warner Abhas" xfId="435" xr:uid="{00000000-0005-0000-0000-0000AE010000}"/>
    <cellStyle name="D_graph synthèse des valos Circuit A_DMT496A Comps 050715 QC TVN Srilatha" xfId="436" xr:uid="{00000000-0005-0000-0000-0000AF010000}"/>
    <cellStyle name="D_graph synthèse des valos Circuit A_DMT496A Comps 050715 QC Viacom Abhas" xfId="437" xr:uid="{00000000-0005-0000-0000-0000B0010000}"/>
    <cellStyle name="D_graph synthèse des valos Circuit A_DMT496A Comps 050715 QC WMG Pankaj" xfId="438" xr:uid="{00000000-0005-0000-0000-0000B1010000}"/>
    <cellStyle name="D_graph synthèse des valos Circuit A_DMT496A Comps 050715 Rajan" xfId="439" xr:uid="{00000000-0005-0000-0000-0000B2010000}"/>
    <cellStyle name="D_graph synthèse des valos Circuit A_DMT496A Comps 050715 Srilatha" xfId="440" xr:uid="{00000000-0005-0000-0000-0000B3010000}"/>
    <cellStyle name="D_graph synthèse des valos Circuit A_DMT496B Comps 050715 4Kids Sorabh" xfId="441" xr:uid="{00000000-0005-0000-0000-0000B4010000}"/>
    <cellStyle name="D_graph synthèse des valos Circuit A_DMT496B Comps 050715 Abhishek" xfId="442" xr:uid="{00000000-0005-0000-0000-0000B5010000}"/>
    <cellStyle name="D_graph synthèse des valos Circuit A_DMT496B Comps 050716 Amit" xfId="443" xr:uid="{00000000-0005-0000-0000-0000B6010000}"/>
    <cellStyle name="D_graph synthèse des valos Circuit A_DMT496B Comps 050716 Jetix Sorabh" xfId="444" xr:uid="{00000000-0005-0000-0000-0000B7010000}"/>
    <cellStyle name="D_graph synthèse des valos Circuit A_DMT503 Media Comps 050721 Puneet" xfId="445" xr:uid="{00000000-0005-0000-0000-0000B8010000}"/>
    <cellStyle name="D_graph synthèse des valos Circuit A_DMT505 Media Comps 050722 Puneet" xfId="446" xr:uid="{00000000-0005-0000-0000-0000B9010000}"/>
    <cellStyle name="D_graph synthèse des valos Circuit A_DMT505 Media Comps 050722 Rajan" xfId="447" xr:uid="{00000000-0005-0000-0000-0000BA010000}"/>
    <cellStyle name="D_graph synthèse des valos Circuit A_DMT506 Media Comps 050722 Manas" xfId="448" xr:uid="{00000000-0005-0000-0000-0000BB010000}"/>
    <cellStyle name="D_graph synthèse des valos Circuit A_DMT506 Media Comps 050723 Himanshu" xfId="449" xr:uid="{00000000-0005-0000-0000-0000BC010000}"/>
    <cellStyle name="D_graph synthèse des valos Circuit A_DMT506 Media Comps 050723 Saurabh" xfId="450" xr:uid="{00000000-0005-0000-0000-0000BD010000}"/>
    <cellStyle name="D_graph synthèse des valos Circuit A_DMT506 QC SUMIT Media Comps 050722 Amazon" xfId="451" xr:uid="{00000000-0005-0000-0000-0000BE010000}"/>
    <cellStyle name="D_graph synthèse des valos Circuit A_DMT506 QC SUMIT Media Comps 050723" xfId="452" xr:uid="{00000000-0005-0000-0000-0000BF010000}"/>
    <cellStyle name="D_graph synthèse des valos Circuit A_DMT507 Media Comps 050725" xfId="453" xr:uid="{00000000-0005-0000-0000-0000C0010000}"/>
    <cellStyle name="D_graph synthèse des valos Circuit A_DMT507 Media Comps 050725 Electronics Arts Sorabh" xfId="454" xr:uid="{00000000-0005-0000-0000-0000C1010000}"/>
    <cellStyle name="D_graph synthèse des valos Circuit A_DMT507 Media Comps 050725 Himanshu" xfId="455" xr:uid="{00000000-0005-0000-0000-0000C2010000}"/>
    <cellStyle name="D_graph synthèse des valos Circuit A_DMT507 Media Comps 050725 Manas" xfId="456" xr:uid="{00000000-0005-0000-0000-0000C3010000}"/>
    <cellStyle name="D_graph synthèse des valos Circuit A_DMT507 Media Comps 050725 Manish" xfId="457" xr:uid="{00000000-0005-0000-0000-0000C4010000}"/>
    <cellStyle name="D_graph synthèse des valos Circuit A_DMT507 Media Comps 050725 Pankaj" xfId="458" xr:uid="{00000000-0005-0000-0000-0000C5010000}"/>
    <cellStyle name="D_graph synthèse des valos Circuit A_DMT507 Media Comps 050725 Pixar Sorabh" xfId="459" xr:uid="{00000000-0005-0000-0000-0000C6010000}"/>
    <cellStyle name="D_graph synthèse des valos Circuit A_DMT507 Media Comps 050725 reamworks Sorabh" xfId="460" xr:uid="{00000000-0005-0000-0000-0000C7010000}"/>
    <cellStyle name="D_graph synthèse des valos Circuit A_DMT507 Media Comps 050725 THQ Sorabh" xfId="461" xr:uid="{00000000-0005-0000-0000-0000C8010000}"/>
    <cellStyle name="D_graph synthèse des valos Circuit A_DMT507 Media Comps Template" xfId="462" xr:uid="{00000000-0005-0000-0000-0000C9010000}"/>
    <cellStyle name="D_graph synthèse des valos Circuit A_DMT562 Software Games Comps 050830" xfId="463" xr:uid="{00000000-0005-0000-0000-0000CA010000}"/>
    <cellStyle name="D_graph synthèse des valos Circuit A_DMT562 Software Games Comps 050830 Infogrames" xfId="464" xr:uid="{00000000-0005-0000-0000-0000CB010000}"/>
    <cellStyle name="D_graph synthèse des valos Circuit A_DMT562 Software Games Comps 050830 Pankaj" xfId="465" xr:uid="{00000000-0005-0000-0000-0000CC010000}"/>
    <cellStyle name="D_graph synthèse des valos Circuit A_DMT562 Software Games Comps 050830 Puneet" xfId="466" xr:uid="{00000000-0005-0000-0000-0000CD010000}"/>
    <cellStyle name="D_graph synthèse des valos Circuit A_DMT568 Media Comps 050902 Set 4 Puneet" xfId="467" xr:uid="{00000000-0005-0000-0000-0000CE010000}"/>
    <cellStyle name="D_graph synthèse des valos Circuit A_DMT591 Media Comps 050916" xfId="468" xr:uid="{00000000-0005-0000-0000-0000CF010000}"/>
    <cellStyle name="D_graph synthèse des valos Circuit A_DMT591 Media Comps 050916 Avneesh" xfId="469" xr:uid="{00000000-0005-0000-0000-0000D0010000}"/>
    <cellStyle name="D_graph synthèse des valos Circuit A_DMT591 Media Comps 050916 Avneesh Qc" xfId="470" xr:uid="{00000000-0005-0000-0000-0000D1010000}"/>
    <cellStyle name="D_graph synthèse des valos Circuit A_DMT591 Media Comps 050916 Himanshu" xfId="471" xr:uid="{00000000-0005-0000-0000-0000D2010000}"/>
    <cellStyle name="D_graph synthèse des valos Circuit A_DMT591 Media Comps 050916 Manas" xfId="472" xr:uid="{00000000-0005-0000-0000-0000D3010000}"/>
    <cellStyle name="D_graph synthèse des valos Circuit A_DMT591 Media Comps 050916 Manish" xfId="473" xr:uid="{00000000-0005-0000-0000-0000D4010000}"/>
    <cellStyle name="D_graph synthèse des valos Circuit A_DMT591 Media Comps 050916 Rajesh" xfId="474" xr:uid="{00000000-0005-0000-0000-0000D5010000}"/>
    <cellStyle name="D_graph synthèse des valos Circuit A_DMT607 Agencies Comps 051005 Jitesh (New Template)" xfId="475" xr:uid="{00000000-0005-0000-0000-0000D6010000}"/>
    <cellStyle name="D_graph synthèse des valos Circuit A_DMT607 Agencies Comps 051005 Manas (New Template)" xfId="476" xr:uid="{00000000-0005-0000-0000-0000D7010000}"/>
    <cellStyle name="D_graph synthèse des valos Circuit A_DMT629 Media Comps 051024 Kapil" xfId="477" xr:uid="{00000000-0005-0000-0000-0000D8010000}"/>
    <cellStyle name="D_graph synthèse des valos Circuit A_DMT629 Media Comps 051024 Nikunj" xfId="478" xr:uid="{00000000-0005-0000-0000-0000D9010000}"/>
    <cellStyle name="D_graph synthèse des valos Circuit A_DMT629 Media Comps 051024 Rajesh" xfId="479" xr:uid="{00000000-0005-0000-0000-0000DA010000}"/>
    <cellStyle name="D_graph synthèse des valos Circuit A_DMT629 Media Comps 051024 Ubisoft Kapil QC" xfId="480" xr:uid="{00000000-0005-0000-0000-0000DB010000}"/>
    <cellStyle name="D_graph synthèse des valos Circuit A_DMT629 Media Comps 051024 vishal ii" xfId="481" xr:uid="{00000000-0005-0000-0000-0000DC010000}"/>
    <cellStyle name="D_graph synthèse des valos Circuit A_DMT629 Media Comps 051024 Yogesh" xfId="482" xr:uid="{00000000-0005-0000-0000-0000DD010000}"/>
    <cellStyle name="D_graph synthèse des valos Circuit A_DMT629 Media Comps 051025 Electronics Arts QC Anish" xfId="483" xr:uid="{00000000-0005-0000-0000-0000DE010000}"/>
    <cellStyle name="D_graph synthèse des valos Circuit A_DMT629 Media Comps 051025 Himanshu" xfId="484" xr:uid="{00000000-0005-0000-0000-0000DF010000}"/>
    <cellStyle name="D_graph synthèse des valos Circuit A_DMT629 Media Comps 051025 Pankaj" xfId="485" xr:uid="{00000000-0005-0000-0000-0000E0010000}"/>
    <cellStyle name="D_graph synthèse des valos Circuit A_DMT629 Media Comps 051025 vishal THQ QC" xfId="486" xr:uid="{00000000-0005-0000-0000-0000E1010000}"/>
    <cellStyle name="D_graph synthèse des valos Circuit A_DMT667 Media Comps 051118  Anish" xfId="487" xr:uid="{00000000-0005-0000-0000-0000E2010000}"/>
    <cellStyle name="D_graph synthèse des valos Circuit A_DMT667 Media Comps 051118 Charanjeet" xfId="488" xr:uid="{00000000-0005-0000-0000-0000E3010000}"/>
    <cellStyle name="D_graph synthèse des valos Circuit A_DMT667 Media Comps 051118 Gaurav" xfId="489" xr:uid="{00000000-0005-0000-0000-0000E4010000}"/>
    <cellStyle name="D_graph synthèse des valos Circuit A_DMT667 Media Comps 051118 Madhur" xfId="490" xr:uid="{00000000-0005-0000-0000-0000E5010000}"/>
    <cellStyle name="D_graph synthèse des valos Circuit A_DMT667 Media Comps 051118 Rajan" xfId="491" xr:uid="{00000000-0005-0000-0000-0000E6010000}"/>
    <cellStyle name="D_graph synthèse des valos Circuit A_DMT667 Media Comps 051118 Sweta" xfId="492" xr:uid="{00000000-0005-0000-0000-0000E7010000}"/>
    <cellStyle name="D_graph synthèse des valos Circuit A_DMT667 Media Comps 051118 Vaibhav" xfId="493" xr:uid="{00000000-0005-0000-0000-0000E8010000}"/>
    <cellStyle name="D_graph synthèse des valos Circuit A_DMT667 Media Comps 051118 Varun" xfId="494" xr:uid="{00000000-0005-0000-0000-0000E9010000}"/>
    <cellStyle name="D_graph synthèse des valos Circuit A_DMT667 Media Comps 051118 Vimal" xfId="495" xr:uid="{00000000-0005-0000-0000-0000EA010000}"/>
    <cellStyle name="D_graph synthèse des valos Circuit A_DMT708 Video_Wireless Comps 051209 Avneesh" xfId="496" xr:uid="{00000000-0005-0000-0000-0000EB010000}"/>
    <cellStyle name="D_graph synthèse des valos Circuit A_M&amp;M Comps 060206 Part II (Precious &amp; Coal) 060214" xfId="497" xr:uid="{00000000-0005-0000-0000-0000EC010000}"/>
    <cellStyle name="D_graph synthèse des valos Circuit A_Market Research Comps 25 August 2005" xfId="498" xr:uid="{00000000-0005-0000-0000-0000ED010000}"/>
    <cellStyle name="D_graph synthèse des valos Circuit A_Springer CCA Oct 11 JMv14" xfId="499" xr:uid="{00000000-0005-0000-0000-0000EE010000}"/>
    <cellStyle name="D_graph synthèse des valos Circuit A_Springer CCA Oct 11 JMv15" xfId="500" xr:uid="{00000000-0005-0000-0000-0000EF010000}"/>
    <cellStyle name="D_graph synthèse des valos Circuit A_TDI1183 Comps  051219 II Vishal2" xfId="501" xr:uid="{00000000-0005-0000-0000-0000F0010000}"/>
    <cellStyle name="D_graph synthèse des valos Circuit A_TDI1183 Comps 051219 QC1 Pankaj" xfId="502" xr:uid="{00000000-0005-0000-0000-0000F1010000}"/>
    <cellStyle name="D_graph synthèse des valos Circuit A_TDI1183 Comps 051219 QC1 Pankaj V1" xfId="503" xr:uid="{00000000-0005-0000-0000-0000F2010000}"/>
    <cellStyle name="D_graph synthèse des valos Circuit A_TDI1183 Comps 051220 AbhasV1" xfId="504" xr:uid="{00000000-0005-0000-0000-0000F3010000}"/>
    <cellStyle name="D_graph synthèse des valos Circuit A_TDI1183 Comps 051220 Ainul" xfId="505" xr:uid="{00000000-0005-0000-0000-0000F4010000}"/>
    <cellStyle name="D_graph synthèse des valos Circuit A_TDI1183 Comps 051221 vQC Ankur" xfId="506" xr:uid="{00000000-0005-0000-0000-0000F5010000}"/>
    <cellStyle name="D_graph synthèse des valos Circuit A_TDI1183 Comps 051222 SorabhV2" xfId="507" xr:uid="{00000000-0005-0000-0000-0000F6010000}"/>
    <cellStyle name="D_graph synthèse des valos Circuit A_TDI1183 Comps 051222 SorabhV3" xfId="508" xr:uid="{00000000-0005-0000-0000-0000F7010000}"/>
    <cellStyle name="D_graph synthèse des valos Circuit A_TDI1183 M&amp;M Comps 051221 Vimal" xfId="509" xr:uid="{00000000-0005-0000-0000-0000F8010000}"/>
    <cellStyle name="D_graph synthèse des valos Circuit A_TDI1183 Media Comps 051219 Abhishek New" xfId="510" xr:uid="{00000000-0005-0000-0000-0000F9010000}"/>
    <cellStyle name="D_graph synthèse des valos Circuit A_TDI1183 Media Comps 051219 Ritesh New" xfId="511" xr:uid="{00000000-0005-0000-0000-0000FA010000}"/>
    <cellStyle name="D_graph synthèse des valos Circuit A_TDI1183 Metal &amp; Mining 051219 Anurag" xfId="512" xr:uid="{00000000-0005-0000-0000-0000FB010000}"/>
    <cellStyle name="D_graph synthèse des valos Circuit A_TDI1183 QC SUMIT Template 051222" xfId="513" xr:uid="{00000000-0005-0000-0000-0000FC010000}"/>
    <cellStyle name="D_graph synthèse des valos Circuit A_TDI1183 Template 051219  Ashish" xfId="514" xr:uid="{00000000-0005-0000-0000-0000FD010000}"/>
    <cellStyle name="D_graph synthèse des valos Circuit A_TDI1183 Template 051219  Ashish QC1 Buenaventura Babneet" xfId="515" xr:uid="{00000000-0005-0000-0000-0000FE010000}"/>
    <cellStyle name="D_graph synthèse des valos Circuit A_TDI1183 Template 051219 II Amit M" xfId="516" xr:uid="{00000000-0005-0000-0000-0000FF010000}"/>
    <cellStyle name="D_graph synthèse des valos Circuit A_TDI1183 Template 051219 II Amit M V1" xfId="517" xr:uid="{00000000-0005-0000-0000-000000020000}"/>
    <cellStyle name="D_graph synthèse des valos Circuit A_TDI1183 Template 051219 II Anurag" xfId="518" xr:uid="{00000000-0005-0000-0000-000001020000}"/>
    <cellStyle name="D_graph synthèse des valos Circuit A_TDI1183 Template 051219 II Atul" xfId="519" xr:uid="{00000000-0005-0000-0000-000002020000}"/>
    <cellStyle name="D_graph synthèse des valos Circuit A_TDI1183 Template 051219 II Celtic Qc1 Yogendra" xfId="520" xr:uid="{00000000-0005-0000-0000-000003020000}"/>
    <cellStyle name="D_graph synthèse des valos Circuit A_TDI1183 Template 051219 II Himanshu Sahai" xfId="521" xr:uid="{00000000-0005-0000-0000-000004020000}"/>
    <cellStyle name="D_graph synthèse des valos Circuit A_TDI1183 Template 051219 II Kamlesh" xfId="522" xr:uid="{00000000-0005-0000-0000-000005020000}"/>
    <cellStyle name="D_graph synthèse des valos Circuit A_TDI1183 Template 051219 II Kamlesh QC1 ASSMANG, PETER HAMBRO Babneet" xfId="523" xr:uid="{00000000-0005-0000-0000-000006020000}"/>
    <cellStyle name="D_graph synthèse des valos Circuit A_TDI1183 Template 051219 II Kamlesh QC1 MERAFE Babneet" xfId="524" xr:uid="{00000000-0005-0000-0000-000007020000}"/>
    <cellStyle name="D_graph synthèse des valos Circuit A_TDI1183 Template 051219 II Lalit" xfId="525" xr:uid="{00000000-0005-0000-0000-000008020000}"/>
    <cellStyle name="D_graph synthèse des valos Circuit A_TDI1183 Template 051219 II Mili" xfId="526" xr:uid="{00000000-0005-0000-0000-000009020000}"/>
    <cellStyle name="D_graph synthèse des valos Circuit A_TDI1183 Template 051219 II Nandini" xfId="527" xr:uid="{00000000-0005-0000-0000-00000A020000}"/>
    <cellStyle name="D_graph synthèse des valos Circuit A_TDI1183 Template 051219 II Nitin New" xfId="528" xr:uid="{00000000-0005-0000-0000-00000B020000}"/>
    <cellStyle name="D_graph synthèse des valos Circuit A_TDI1183 Template 051219 II Sachin" xfId="529" xr:uid="{00000000-0005-0000-0000-00000C020000}"/>
    <cellStyle name="D_graph synthèse des valos Circuit A_TDI1183 Template 051219 II Vishal" xfId="530" xr:uid="{00000000-0005-0000-0000-00000D020000}"/>
    <cellStyle name="D_graph synthèse des valos Circuit A_TDI1183 Template 051219 II Vishal2" xfId="531" xr:uid="{00000000-0005-0000-0000-00000E020000}"/>
    <cellStyle name="D_graph synthèse des valos Circuit A_TDI1183 Template 051219 II Yogesh Final" xfId="532" xr:uid="{00000000-0005-0000-0000-00000F020000}"/>
    <cellStyle name="D_graph synthèse des valos Circuit A_TDI1183 Template 051219 Mukesh Revised II" xfId="533" xr:uid="{00000000-0005-0000-0000-000010020000}"/>
    <cellStyle name="D_graph synthèse des valos Circuit A_TDI1183 Template 051219 QC1 Newcrest_Yogendra" xfId="534" xr:uid="{00000000-0005-0000-0000-000011020000}"/>
    <cellStyle name="D_graph synthèse des valos Circuit A_TDI1183 Template 051220 II Himanshu Sahai" xfId="535" xr:uid="{00000000-0005-0000-0000-000012020000}"/>
    <cellStyle name="D_graph synthèse des valos Circuit A_TDI1183 Template 051220 II QC1 Alcan_Yogendra" xfId="536" xr:uid="{00000000-0005-0000-0000-000013020000}"/>
    <cellStyle name="D_graph synthèse des valos Circuit A_TDI1183 Template 051220 II QC1 Assore _Yogendra" xfId="537" xr:uid="{00000000-0005-0000-0000-000014020000}"/>
    <cellStyle name="D_graph synthèse des valos Circuit A_TDI1183 Template 051220 II QC1 Consol_Yogendra" xfId="538" xr:uid="{00000000-0005-0000-0000-000015020000}"/>
    <cellStyle name="D_graph synthèse des valos Circuit A_TDI1183 Template 051220 II QC1 Peabody_Yogendra" xfId="539" xr:uid="{00000000-0005-0000-0000-000016020000}"/>
    <cellStyle name="D_graph synthèse des valos Circuit A_TDI1183 Template 051220 II QC1 Rio Tinto_Yogendra" xfId="540" xr:uid="{00000000-0005-0000-0000-000017020000}"/>
    <cellStyle name="D_graph synthèse des valos Circuit A_TDI1183 Template 051220 Qc1 Abhishek" xfId="541" xr:uid="{00000000-0005-0000-0000-000018020000}"/>
    <cellStyle name="D_graph synthèse des valos Circuit A_TDI1183 Template 051220 Qc1 Ritesh" xfId="542" xr:uid="{00000000-0005-0000-0000-000019020000}"/>
    <cellStyle name="D_graph synthèse des valos Circuit A_TDI1212 M&amp;M Comps 060104 Part 1 Ainul" xfId="543" xr:uid="{00000000-0005-0000-0000-00001A020000}"/>
    <cellStyle name="D_graph synthèse des valos Circuit A_TDI1212 M&amp;M Comps 060104 Part 1 QC Anish" xfId="544" xr:uid="{00000000-0005-0000-0000-00001B020000}"/>
    <cellStyle name="D_graph synthèse des valos Circuit A_TDI1212 M&amp;M Comps 060104 vQC Ankur" xfId="545" xr:uid="{00000000-0005-0000-0000-00001C020000}"/>
    <cellStyle name="D_graph synthèse des valos Circuit A_TDI1212 M&amp;M Comps 060105 Part 1" xfId="546" xr:uid="{00000000-0005-0000-0000-00001D020000}"/>
    <cellStyle name="D_graph synthèse des valos Circuit A_TDI1212 M&amp;M Comps 060105 Part 1 060121 Pankaj(inludes LionOre)" xfId="547" xr:uid="{00000000-0005-0000-0000-00001E020000}"/>
    <cellStyle name="D_graph synthèse des valos Circuit A_TDI1212 M&amp;M Comps 060105 Part II (Precious metals &amp; Coal) " xfId="548" xr:uid="{00000000-0005-0000-0000-00001F020000}"/>
    <cellStyle name="D_graph synthèse des valos Circuit A_TDI1252 M&amp;M Comps 060121 Part 1" xfId="549" xr:uid="{00000000-0005-0000-0000-000020020000}"/>
    <cellStyle name="D_graph synthèse des valos Circuit A_TDI1301 M&amp;M Comps 060125 Himanshu" xfId="550" xr:uid="{00000000-0005-0000-0000-000021020000}"/>
    <cellStyle name="D_graph synthèse des valos Circuit A_TDI1317 Steel Comps 060130 Rajesh Garg" xfId="551" xr:uid="{00000000-0005-0000-0000-000022020000}"/>
    <cellStyle name="D_graph synthèse des valos Circuit A_TDI1317 Steel Comps 060130 v Puneet" xfId="552" xr:uid="{00000000-0005-0000-0000-000023020000}"/>
    <cellStyle name="D_graph synthèse des valos Circuit A_TDI1317 Steel Comps 060201v QC Manish" xfId="553" xr:uid="{00000000-0005-0000-0000-000024020000}"/>
    <cellStyle name="D_graph synthèse des valos Circuit A_TDI1317 Steel Comps 060202 QC Anish" xfId="554" xr:uid="{00000000-0005-0000-0000-000025020000}"/>
    <cellStyle name="D_graph synthèse des valos Circuit A_TDI1317 Steel Comps 060202 QC Consolidated 060206v1" xfId="555" xr:uid="{00000000-0005-0000-0000-000026020000}"/>
    <cellStyle name="D_graph synthèse des valos Circuit A_TDI1317 Steel Comps 060202 QC Consolidated till 060204v1" xfId="556" xr:uid="{00000000-0005-0000-0000-000027020000}"/>
    <cellStyle name="D_graph synthèse des valos Circuit A_TDI1317 Steel Comps 060202 v Ainul" xfId="557" xr:uid="{00000000-0005-0000-0000-000028020000}"/>
    <cellStyle name="D_graph synthèse des valos Circuit A_TDI1317 Steel Comps 060203 vQC Ankur" xfId="558" xr:uid="{00000000-0005-0000-0000-000029020000}"/>
    <cellStyle name="D_graph synthèse des valos Circuit A_TDI1317 Steel Comps Template 060130 Nikunj" xfId="559" xr:uid="{00000000-0005-0000-0000-00002A020000}"/>
    <cellStyle name="D_graph synthèse des valos Circuit A_TDI1317 Steel Comps Template 060130 Sachin" xfId="560" xr:uid="{00000000-0005-0000-0000-00002B020000}"/>
    <cellStyle name="D_graph synthèse des valos Circuit A_TDI1317 Steel Comps Template 060131 Ashish" xfId="561" xr:uid="{00000000-0005-0000-0000-00002C020000}"/>
    <cellStyle name="D_graph synthèse des valos Circuit A_TDI1318 M&amp;M Comps 060204 Aquarius Platinum Mili" xfId="562" xr:uid="{00000000-0005-0000-0000-00002D020000}"/>
    <cellStyle name="D_graph synthèse des valos Circuit A_TDI659 Comps File Generic Media Abhas 050615" xfId="563" xr:uid="{00000000-0005-0000-0000-00002E020000}"/>
    <cellStyle name="D_M&amp;M Comps 060206 Part II (Precious &amp; Coal) 060214" xfId="564" xr:uid="{00000000-0005-0000-0000-00002F020000}"/>
    <cellStyle name="D_Market Research Comps 25 August 2005" xfId="565" xr:uid="{00000000-0005-0000-0000-000030020000}"/>
    <cellStyle name="D_Springer CCA Oct 11 JMv14" xfId="566" xr:uid="{00000000-0005-0000-0000-000031020000}"/>
    <cellStyle name="D_Springer CCA Oct 11 JMv15" xfId="567" xr:uid="{00000000-0005-0000-0000-000032020000}"/>
    <cellStyle name="D_TDI1183 Comps  051219 II Vishal2" xfId="568" xr:uid="{00000000-0005-0000-0000-000033020000}"/>
    <cellStyle name="D_TDI1183 Comps 051219 QC1 Pankaj" xfId="569" xr:uid="{00000000-0005-0000-0000-000034020000}"/>
    <cellStyle name="D_TDI1183 Comps 051219 QC1 Pankaj V1" xfId="570" xr:uid="{00000000-0005-0000-0000-000035020000}"/>
    <cellStyle name="D_TDI1183 Comps 051220 AbhasV1" xfId="571" xr:uid="{00000000-0005-0000-0000-000036020000}"/>
    <cellStyle name="D_TDI1183 Comps 051220 Ainul" xfId="572" xr:uid="{00000000-0005-0000-0000-000037020000}"/>
    <cellStyle name="D_TDI1183 Comps 051221 vQC Ankur" xfId="573" xr:uid="{00000000-0005-0000-0000-000038020000}"/>
    <cellStyle name="D_TDI1183 Comps 051222 SorabhV2" xfId="574" xr:uid="{00000000-0005-0000-0000-000039020000}"/>
    <cellStyle name="D_TDI1183 Comps 051222 SorabhV3" xfId="575" xr:uid="{00000000-0005-0000-0000-00003A020000}"/>
    <cellStyle name="D_TDI1183 M&amp;M Comps 051221 Vimal" xfId="576" xr:uid="{00000000-0005-0000-0000-00003B020000}"/>
    <cellStyle name="D_TDI1183 Media Comps 051219 Abhishek New" xfId="577" xr:uid="{00000000-0005-0000-0000-00003C020000}"/>
    <cellStyle name="D_TDI1183 Media Comps 051219 Ritesh New" xfId="578" xr:uid="{00000000-0005-0000-0000-00003D020000}"/>
    <cellStyle name="D_TDI1183 Metal &amp; Mining 051219 Anurag" xfId="579" xr:uid="{00000000-0005-0000-0000-00003E020000}"/>
    <cellStyle name="D_TDI1183 QC SUMIT Template 051222" xfId="580" xr:uid="{00000000-0005-0000-0000-00003F020000}"/>
    <cellStyle name="D_TDI1183 Template 051219  Ashish" xfId="581" xr:uid="{00000000-0005-0000-0000-000040020000}"/>
    <cellStyle name="D_TDI1183 Template 051219  Ashish QC1 Buenaventura Babneet" xfId="582" xr:uid="{00000000-0005-0000-0000-000041020000}"/>
    <cellStyle name="D_TDI1183 Template 051219 II Amit M" xfId="583" xr:uid="{00000000-0005-0000-0000-000042020000}"/>
    <cellStyle name="D_TDI1183 Template 051219 II Amit M V1" xfId="584" xr:uid="{00000000-0005-0000-0000-000043020000}"/>
    <cellStyle name="D_TDI1183 Template 051219 II Anurag" xfId="585" xr:uid="{00000000-0005-0000-0000-000044020000}"/>
    <cellStyle name="D_TDI1183 Template 051219 II Atul" xfId="586" xr:uid="{00000000-0005-0000-0000-000045020000}"/>
    <cellStyle name="D_TDI1183 Template 051219 II Celtic Qc1 Yogendra" xfId="587" xr:uid="{00000000-0005-0000-0000-000046020000}"/>
    <cellStyle name="D_TDI1183 Template 051219 II Himanshu Sahai" xfId="588" xr:uid="{00000000-0005-0000-0000-000047020000}"/>
    <cellStyle name="D_TDI1183 Template 051219 II Kamlesh" xfId="589" xr:uid="{00000000-0005-0000-0000-000048020000}"/>
    <cellStyle name="D_TDI1183 Template 051219 II Kamlesh QC1 ASSMANG, PETER HAMBRO Babneet" xfId="590" xr:uid="{00000000-0005-0000-0000-000049020000}"/>
    <cellStyle name="D_TDI1183 Template 051219 II Kamlesh QC1 MERAFE Babneet" xfId="591" xr:uid="{00000000-0005-0000-0000-00004A020000}"/>
    <cellStyle name="D_TDI1183 Template 051219 II Lalit" xfId="592" xr:uid="{00000000-0005-0000-0000-00004B020000}"/>
    <cellStyle name="D_TDI1183 Template 051219 II Mili" xfId="593" xr:uid="{00000000-0005-0000-0000-00004C020000}"/>
    <cellStyle name="D_TDI1183 Template 051219 II Nandini" xfId="594" xr:uid="{00000000-0005-0000-0000-00004D020000}"/>
    <cellStyle name="D_TDI1183 Template 051219 II Nitin New" xfId="595" xr:uid="{00000000-0005-0000-0000-00004E020000}"/>
    <cellStyle name="D_TDI1183 Template 051219 II Sachin" xfId="596" xr:uid="{00000000-0005-0000-0000-00004F020000}"/>
    <cellStyle name="D_TDI1183 Template 051219 II Vishal" xfId="597" xr:uid="{00000000-0005-0000-0000-000050020000}"/>
    <cellStyle name="D_TDI1183 Template 051219 II Vishal2" xfId="598" xr:uid="{00000000-0005-0000-0000-000051020000}"/>
    <cellStyle name="D_TDI1183 Template 051219 II Yogesh Final" xfId="599" xr:uid="{00000000-0005-0000-0000-000052020000}"/>
    <cellStyle name="D_TDI1183 Template 051219 Mukesh Revised II" xfId="600" xr:uid="{00000000-0005-0000-0000-000053020000}"/>
    <cellStyle name="D_TDI1183 Template 051219 QC1 Newcrest_Yogendra" xfId="601" xr:uid="{00000000-0005-0000-0000-000054020000}"/>
    <cellStyle name="D_TDI1183 Template 051220 II Himanshu Sahai" xfId="602" xr:uid="{00000000-0005-0000-0000-000055020000}"/>
    <cellStyle name="D_TDI1183 Template 051220 II QC1 Alcan_Yogendra" xfId="603" xr:uid="{00000000-0005-0000-0000-000056020000}"/>
    <cellStyle name="D_TDI1183 Template 051220 II QC1 Assore _Yogendra" xfId="604" xr:uid="{00000000-0005-0000-0000-000057020000}"/>
    <cellStyle name="D_TDI1183 Template 051220 II QC1 Consol_Yogendra" xfId="605" xr:uid="{00000000-0005-0000-0000-000058020000}"/>
    <cellStyle name="D_TDI1183 Template 051220 II QC1 Peabody_Yogendra" xfId="606" xr:uid="{00000000-0005-0000-0000-000059020000}"/>
    <cellStyle name="D_TDI1183 Template 051220 II QC1 Rio Tinto_Yogendra" xfId="607" xr:uid="{00000000-0005-0000-0000-00005A020000}"/>
    <cellStyle name="D_TDI1183 Template 051220 Qc1 Abhishek" xfId="608" xr:uid="{00000000-0005-0000-0000-00005B020000}"/>
    <cellStyle name="D_TDI1183 Template 051220 Qc1 Ritesh" xfId="609" xr:uid="{00000000-0005-0000-0000-00005C020000}"/>
    <cellStyle name="D_TDI1212 M&amp;M Comps 060104 Part 1 Ainul" xfId="610" xr:uid="{00000000-0005-0000-0000-00005D020000}"/>
    <cellStyle name="D_TDI1212 M&amp;M Comps 060104 Part 1 QC Anish" xfId="611" xr:uid="{00000000-0005-0000-0000-00005E020000}"/>
    <cellStyle name="D_TDI1212 M&amp;M Comps 060104 vQC Ankur" xfId="612" xr:uid="{00000000-0005-0000-0000-00005F020000}"/>
    <cellStyle name="D_TDI1212 M&amp;M Comps 060105 Part 1" xfId="613" xr:uid="{00000000-0005-0000-0000-000060020000}"/>
    <cellStyle name="D_TDI1212 M&amp;M Comps 060105 Part 1 060121 Pankaj(inludes LionOre)" xfId="614" xr:uid="{00000000-0005-0000-0000-000061020000}"/>
    <cellStyle name="D_TDI1212 M&amp;M Comps 060105 Part II (Precious metals &amp; Coal) " xfId="615" xr:uid="{00000000-0005-0000-0000-000062020000}"/>
    <cellStyle name="D_TDI1252 M&amp;M Comps 060121 Part 1" xfId="616" xr:uid="{00000000-0005-0000-0000-000063020000}"/>
    <cellStyle name="D_TDI1301 M&amp;M Comps 060125 Himanshu" xfId="617" xr:uid="{00000000-0005-0000-0000-000064020000}"/>
    <cellStyle name="D_TDI1317 Steel Comps 060130 Rajesh Garg" xfId="618" xr:uid="{00000000-0005-0000-0000-000065020000}"/>
    <cellStyle name="D_TDI1317 Steel Comps 060130 v Puneet" xfId="619" xr:uid="{00000000-0005-0000-0000-000066020000}"/>
    <cellStyle name="D_TDI1317 Steel Comps 060201v QC Manish" xfId="620" xr:uid="{00000000-0005-0000-0000-000067020000}"/>
    <cellStyle name="D_TDI1317 Steel Comps 060202 QC Anish" xfId="621" xr:uid="{00000000-0005-0000-0000-000068020000}"/>
    <cellStyle name="D_TDI1317 Steel Comps 060202 QC Consolidated 060206v1" xfId="622" xr:uid="{00000000-0005-0000-0000-000069020000}"/>
    <cellStyle name="D_TDI1317 Steel Comps 060202 QC Consolidated till 060204v1" xfId="623" xr:uid="{00000000-0005-0000-0000-00006A020000}"/>
    <cellStyle name="D_TDI1317 Steel Comps 060202 v Ainul" xfId="624" xr:uid="{00000000-0005-0000-0000-00006B020000}"/>
    <cellStyle name="D_TDI1317 Steel Comps 060203 vQC Ankur" xfId="625" xr:uid="{00000000-0005-0000-0000-00006C020000}"/>
    <cellStyle name="D_TDI1317 Steel Comps Template 060130 Nikunj" xfId="626" xr:uid="{00000000-0005-0000-0000-00006D020000}"/>
    <cellStyle name="D_TDI1317 Steel Comps Template 060130 Sachin" xfId="627" xr:uid="{00000000-0005-0000-0000-00006E020000}"/>
    <cellStyle name="D_TDI1317 Steel Comps Template 060131 Ashish" xfId="628" xr:uid="{00000000-0005-0000-0000-00006F020000}"/>
    <cellStyle name="D_TDI1318 M&amp;M Comps 060204 Aquarius Platinum Mili" xfId="629" xr:uid="{00000000-0005-0000-0000-000070020000}"/>
    <cellStyle name="D_TDI659 Comps File Generic Media Abhas 050615" xfId="630" xr:uid="{00000000-0005-0000-0000-000071020000}"/>
    <cellStyle name="Dash" xfId="631" xr:uid="{00000000-0005-0000-0000-000072020000}"/>
    <cellStyle name="Date" xfId="632" xr:uid="{00000000-0005-0000-0000-000073020000}"/>
    <cellStyle name="Date Aligned" xfId="633" xr:uid="{00000000-0005-0000-0000-000074020000}"/>
    <cellStyle name="Date Aligned*" xfId="634" xr:uid="{00000000-0005-0000-0000-000075020000}"/>
    <cellStyle name="Date Aligned_6bny1016" xfId="635" xr:uid="{00000000-0005-0000-0000-000076020000}"/>
    <cellStyle name="Date m/d/yy" xfId="636" xr:uid="{00000000-0005-0000-0000-000077020000}"/>
    <cellStyle name="Date_4cny0981.xls Chart 11" xfId="637" xr:uid="{00000000-0005-0000-0000-000078020000}"/>
    <cellStyle name="date2" xfId="638" xr:uid="{00000000-0005-0000-0000-000079020000}"/>
    <cellStyle name="Day-Mon-Yr" xfId="639" xr:uid="{00000000-0005-0000-0000-00007A020000}"/>
    <cellStyle name="days" xfId="640" xr:uid="{00000000-0005-0000-0000-00007B020000}"/>
    <cellStyle name="Decimal Number" xfId="641" xr:uid="{00000000-0005-0000-0000-00007C020000}"/>
    <cellStyle name="Déprotégé" xfId="642" xr:uid="{00000000-0005-0000-0000-00007D020000}"/>
    <cellStyle name="dollar" xfId="643" xr:uid="{00000000-0005-0000-0000-00007E020000}"/>
    <cellStyle name="Dotted Line" xfId="644" xr:uid="{00000000-0005-0000-0000-00007F020000}"/>
    <cellStyle name="Double Accounting" xfId="645" xr:uid="{00000000-0005-0000-0000-000080020000}"/>
    <cellStyle name="Duizenden" xfId="646" xr:uid="{00000000-0005-0000-0000-000081020000}"/>
    <cellStyle name="dunkel" xfId="647" xr:uid="{00000000-0005-0000-0000-000082020000}"/>
    <cellStyle name="Equity research inputs" xfId="648" xr:uid="{00000000-0005-0000-0000-000083020000}"/>
    <cellStyle name="Euro" xfId="649" xr:uid="{00000000-0005-0000-0000-000084020000}"/>
    <cellStyle name="Euro-" xfId="650" xr:uid="{00000000-0005-0000-0000-000085020000}"/>
    <cellStyle name="Euro_Adam_Comps" xfId="651" xr:uid="{00000000-0005-0000-0000-000086020000}"/>
    <cellStyle name="ex_ratio" xfId="652" xr:uid="{00000000-0005-0000-0000-000087020000}"/>
    <cellStyle name="F2" xfId="653" xr:uid="{00000000-0005-0000-0000-000088020000}"/>
    <cellStyle name="F3" xfId="654" xr:uid="{00000000-0005-0000-0000-000089020000}"/>
    <cellStyle name="F4" xfId="655" xr:uid="{00000000-0005-0000-0000-00008A020000}"/>
    <cellStyle name="F5" xfId="656" xr:uid="{00000000-0005-0000-0000-00008B020000}"/>
    <cellStyle name="F6" xfId="657" xr:uid="{00000000-0005-0000-0000-00008C020000}"/>
    <cellStyle name="F7" xfId="658" xr:uid="{00000000-0005-0000-0000-00008D020000}"/>
    <cellStyle name="F8" xfId="659" xr:uid="{00000000-0005-0000-0000-00008E020000}"/>
    <cellStyle name="fact" xfId="660" xr:uid="{00000000-0005-0000-0000-00008F020000}"/>
    <cellStyle name="Fig" xfId="661" xr:uid="{00000000-0005-0000-0000-000090020000}"/>
    <cellStyle name="Fixed" xfId="662" xr:uid="{00000000-0005-0000-0000-000091020000}"/>
    <cellStyle name="Fixed [0]" xfId="663" xr:uid="{00000000-0005-0000-0000-000092020000}"/>
    <cellStyle name="Font_Actual" xfId="664" xr:uid="{00000000-0005-0000-0000-000093020000}"/>
    <cellStyle name="Footnote" xfId="665" xr:uid="{00000000-0005-0000-0000-000094020000}"/>
    <cellStyle name="Form_Std" xfId="666" xr:uid="{00000000-0005-0000-0000-000095020000}"/>
    <cellStyle name="Gilsans" xfId="667" xr:uid="{00000000-0005-0000-0000-000096020000}"/>
    <cellStyle name="Gilsansl" xfId="668" xr:uid="{00000000-0005-0000-0000-000097020000}"/>
    <cellStyle name="Grey" xfId="669" xr:uid="{00000000-0005-0000-0000-000098020000}"/>
    <cellStyle name="hard no" xfId="670" xr:uid="{00000000-0005-0000-0000-000099020000}"/>
    <cellStyle name="hard no." xfId="671" xr:uid="{00000000-0005-0000-0000-00009A020000}"/>
    <cellStyle name="Hard Percent" xfId="672" xr:uid="{00000000-0005-0000-0000-00009B020000}"/>
    <cellStyle name="Head" xfId="673" xr:uid="{00000000-0005-0000-0000-00009C020000}"/>
    <cellStyle name="Header" xfId="674" xr:uid="{00000000-0005-0000-0000-00009D020000}"/>
    <cellStyle name="Header1" xfId="675" xr:uid="{00000000-0005-0000-0000-00009E020000}"/>
    <cellStyle name="Header2" xfId="676" xr:uid="{00000000-0005-0000-0000-00009F020000}"/>
    <cellStyle name="Heading 1 2" xfId="677" xr:uid="{00000000-0005-0000-0000-0000A0020000}"/>
    <cellStyle name="Heading 2 2" xfId="678" xr:uid="{00000000-0005-0000-0000-0000A1020000}"/>
    <cellStyle name="Heading 3 2" xfId="679" xr:uid="{00000000-0005-0000-0000-0000A2020000}"/>
    <cellStyle name="Heading1" xfId="680" xr:uid="{00000000-0005-0000-0000-0000A3020000}"/>
    <cellStyle name="Heading2" xfId="681" xr:uid="{00000000-0005-0000-0000-0000A4020000}"/>
    <cellStyle name="Headings" xfId="682" xr:uid="{00000000-0005-0000-0000-0000A5020000}"/>
    <cellStyle name="hell" xfId="683" xr:uid="{00000000-0005-0000-0000-0000A6020000}"/>
    <cellStyle name="Hidden" xfId="684" xr:uid="{00000000-0005-0000-0000-0000A7020000}"/>
    <cellStyle name="Highlight" xfId="685" xr:uid="{00000000-0005-0000-0000-0000A8020000}"/>
    <cellStyle name="Hyperlink 2" xfId="686" xr:uid="{00000000-0005-0000-0000-0000AA020000}"/>
    <cellStyle name="Input [yellow]" xfId="687" xr:uid="{00000000-0005-0000-0000-0000AB020000}"/>
    <cellStyle name="input 10" xfId="688" xr:uid="{00000000-0005-0000-0000-0000AC020000}"/>
    <cellStyle name="input 11" xfId="689" xr:uid="{00000000-0005-0000-0000-0000AD020000}"/>
    <cellStyle name="input 12" xfId="690" xr:uid="{00000000-0005-0000-0000-0000AE020000}"/>
    <cellStyle name="input 13" xfId="691" xr:uid="{00000000-0005-0000-0000-0000AF020000}"/>
    <cellStyle name="input 14" xfId="692" xr:uid="{00000000-0005-0000-0000-0000B0020000}"/>
    <cellStyle name="input 15" xfId="693" xr:uid="{00000000-0005-0000-0000-0000B1020000}"/>
    <cellStyle name="input 16" xfId="694" xr:uid="{00000000-0005-0000-0000-0000B2020000}"/>
    <cellStyle name="input 17" xfId="695" xr:uid="{00000000-0005-0000-0000-0000B3020000}"/>
    <cellStyle name="input 2" xfId="696" xr:uid="{00000000-0005-0000-0000-0000B4020000}"/>
    <cellStyle name="input 3" xfId="697" xr:uid="{00000000-0005-0000-0000-0000B5020000}"/>
    <cellStyle name="input 4" xfId="698" xr:uid="{00000000-0005-0000-0000-0000B6020000}"/>
    <cellStyle name="input 5" xfId="699" xr:uid="{00000000-0005-0000-0000-0000B7020000}"/>
    <cellStyle name="input 6" xfId="700" xr:uid="{00000000-0005-0000-0000-0000B8020000}"/>
    <cellStyle name="input 7" xfId="701" xr:uid="{00000000-0005-0000-0000-0000B9020000}"/>
    <cellStyle name="input 8" xfId="702" xr:uid="{00000000-0005-0000-0000-0000BA020000}"/>
    <cellStyle name="input 9" xfId="703" xr:uid="{00000000-0005-0000-0000-0000BB020000}"/>
    <cellStyle name="Input1" xfId="704" xr:uid="{00000000-0005-0000-0000-0000BC020000}"/>
    <cellStyle name="InputBlueFont" xfId="705" xr:uid="{00000000-0005-0000-0000-0000BD020000}"/>
    <cellStyle name="inputs" xfId="706" xr:uid="{00000000-0005-0000-0000-0000BE020000}"/>
    <cellStyle name="Item" xfId="707" xr:uid="{00000000-0005-0000-0000-0000BF020000}"/>
    <cellStyle name="ItemTypeClass" xfId="708" xr:uid="{00000000-0005-0000-0000-0000C0020000}"/>
    <cellStyle name="Komma [0]_Blad1" xfId="709" xr:uid="{00000000-0005-0000-0000-0000C1020000}"/>
    <cellStyle name="Komma_Blad1" xfId="710" xr:uid="{00000000-0005-0000-0000-0000C2020000}"/>
    <cellStyle name="Left Line" xfId="711" xr:uid="{00000000-0005-0000-0000-0000C3020000}"/>
    <cellStyle name="Leftborder" xfId="712" xr:uid="{00000000-0005-0000-0000-0000C4020000}"/>
    <cellStyle name="Lien hypertexte" xfId="713" xr:uid="{00000000-0005-0000-0000-0000C5020000}"/>
    <cellStyle name="Lien hypertexte visité_Projet Epices - BP 020604 v3" xfId="714" xr:uid="{00000000-0005-0000-0000-0000C6020000}"/>
    <cellStyle name="Lien hypertexte_Profils Anglais" xfId="715" xr:uid="{00000000-0005-0000-0000-0000C7020000}"/>
    <cellStyle name="ligne_detail" xfId="716" xr:uid="{00000000-0005-0000-0000-0000C8020000}"/>
    <cellStyle name="m" xfId="717" xr:uid="{00000000-0005-0000-0000-0000C9020000}"/>
    <cellStyle name="m_JNY model 6-6-2006" xfId="718" xr:uid="{00000000-0005-0000-0000-0000CA020000}"/>
    <cellStyle name="m_MMC trading comp" xfId="719" xr:uid="{00000000-0005-0000-0000-0000CB020000}"/>
    <cellStyle name="m_Project World Series Financials" xfId="720" xr:uid="{00000000-0005-0000-0000-0000CC020000}"/>
    <cellStyle name="m_WACC" xfId="721" xr:uid="{00000000-0005-0000-0000-0000CD020000}"/>
    <cellStyle name="MacroCode" xfId="722" xr:uid="{00000000-0005-0000-0000-0000CE020000}"/>
    <cellStyle name="Magic" xfId="723" xr:uid="{00000000-0005-0000-0000-0000CF020000}"/>
    <cellStyle name="Major item" xfId="724" xr:uid="{00000000-0005-0000-0000-0000D0020000}"/>
    <cellStyle name="Map Distance" xfId="725" xr:uid="{00000000-0005-0000-0000-0000D1020000}"/>
    <cellStyle name="Map Labels" xfId="726" xr:uid="{00000000-0005-0000-0000-0000D2020000}"/>
    <cellStyle name="Map Legend" xfId="727" xr:uid="{00000000-0005-0000-0000-0000D3020000}"/>
    <cellStyle name="Map Title" xfId="728" xr:uid="{00000000-0005-0000-0000-0000D4020000}"/>
    <cellStyle name="MF" xfId="729" xr:uid="{00000000-0005-0000-0000-0000D5020000}"/>
    <cellStyle name="Mike" xfId="730" xr:uid="{00000000-0005-0000-0000-0000D6020000}"/>
    <cellStyle name="Millares [0]_Fondos Propios" xfId="731" xr:uid="{00000000-0005-0000-0000-0000D7020000}"/>
    <cellStyle name="Millares_Fondos Propios" xfId="732" xr:uid="{00000000-0005-0000-0000-0000D8020000}"/>
    <cellStyle name="Milliers [0]_Détails_IDA" xfId="733" xr:uid="{00000000-0005-0000-0000-0000D9020000}"/>
    <cellStyle name="Milliers_Cloture definitive Wanadoo dec 20031" xfId="734" xr:uid="{00000000-0005-0000-0000-0000DA020000}"/>
    <cellStyle name="millions" xfId="735" xr:uid="{00000000-0005-0000-0000-0000DB020000}"/>
    <cellStyle name="millions ($)" xfId="736" xr:uid="{00000000-0005-0000-0000-0000DC020000}"/>
    <cellStyle name="millions (no dec.)" xfId="737" xr:uid="{00000000-0005-0000-0000-0000DD020000}"/>
    <cellStyle name="millions_EutelSat.(2.18.01)" xfId="738" xr:uid="{00000000-0005-0000-0000-0000DE020000}"/>
    <cellStyle name="Mine" xfId="739" xr:uid="{00000000-0005-0000-0000-0000DF020000}"/>
    <cellStyle name="mkt.dat" xfId="740" xr:uid="{00000000-0005-0000-0000-0000E0020000}"/>
    <cellStyle name="Moneda [0]_Fondos Propios" xfId="741" xr:uid="{00000000-0005-0000-0000-0000E1020000}"/>
    <cellStyle name="Moneda_Fondos Propios" xfId="742" xr:uid="{00000000-0005-0000-0000-0000E2020000}"/>
    <cellStyle name="Monétaire [0]_Détails_IDA" xfId="743" xr:uid="{00000000-0005-0000-0000-0000E3020000}"/>
    <cellStyle name="Monétaire_Détails_IDA" xfId="744" xr:uid="{00000000-0005-0000-0000-0000E4020000}"/>
    <cellStyle name="Mon-Yr" xfId="745" xr:uid="{00000000-0005-0000-0000-0000E5020000}"/>
    <cellStyle name="mult" xfId="746" xr:uid="{00000000-0005-0000-0000-0000E6020000}"/>
    <cellStyle name="Multiple" xfId="747" xr:uid="{00000000-0005-0000-0000-0000E7020000}"/>
    <cellStyle name="MultipleBelow" xfId="748" xr:uid="{00000000-0005-0000-0000-0000E8020000}"/>
    <cellStyle name="Multiples" xfId="749" xr:uid="{00000000-0005-0000-0000-0000E9020000}"/>
    <cellStyle name="n" xfId="750" xr:uid="{00000000-0005-0000-0000-0000EA020000}"/>
    <cellStyle name="N/A" xfId="751" xr:uid="{00000000-0005-0000-0000-0000EB020000}"/>
    <cellStyle name="NO" xfId="752" xr:uid="{00000000-0005-0000-0000-0000EC020000}"/>
    <cellStyle name="no dec" xfId="753" xr:uid="{00000000-0005-0000-0000-0000ED020000}"/>
    <cellStyle name="nomral" xfId="754" xr:uid="{00000000-0005-0000-0000-0000EE020000}"/>
    <cellStyle name="norma" xfId="755" xr:uid="{00000000-0005-0000-0000-0000EF020000}"/>
    <cellStyle name="normail" xfId="756" xr:uid="{00000000-0005-0000-0000-0000F0020000}"/>
    <cellStyle name="normal'" xfId="757" xr:uid="{00000000-0005-0000-0000-0000F2020000}"/>
    <cellStyle name="Normal - Style1" xfId="758" xr:uid="{00000000-0005-0000-0000-0000F3020000}"/>
    <cellStyle name="Normal [2]" xfId="759" xr:uid="{00000000-0005-0000-0000-0000F4020000}"/>
    <cellStyle name="Normal 10" xfId="760" xr:uid="{00000000-0005-0000-0000-0000F5020000}"/>
    <cellStyle name="Normal 11" xfId="761" xr:uid="{00000000-0005-0000-0000-0000F6020000}"/>
    <cellStyle name="Normal 12" xfId="762" xr:uid="{00000000-0005-0000-0000-0000F7020000}"/>
    <cellStyle name="Normal 13" xfId="763" xr:uid="{00000000-0005-0000-0000-0000F8020000}"/>
    <cellStyle name="Normal 14" xfId="764" xr:uid="{00000000-0005-0000-0000-0000F9020000}"/>
    <cellStyle name="Normal 15" xfId="765" xr:uid="{00000000-0005-0000-0000-0000FA020000}"/>
    <cellStyle name="Normal 16" xfId="766" xr:uid="{00000000-0005-0000-0000-0000FB020000}"/>
    <cellStyle name="Normal 17" xfId="767" xr:uid="{00000000-0005-0000-0000-0000FC020000}"/>
    <cellStyle name="Normal 2" xfId="1" xr:uid="{00000000-0005-0000-0000-0000FD020000}"/>
    <cellStyle name="Normal 3" xfId="4" xr:uid="{00000000-0005-0000-0000-0000FE020000}"/>
    <cellStyle name="Normal 3 2" xfId="3" xr:uid="{00000000-0005-0000-0000-0000FF020000}"/>
    <cellStyle name="Normal 4" xfId="768" xr:uid="{00000000-0005-0000-0000-000000030000}"/>
    <cellStyle name="Normal 5" xfId="769" xr:uid="{00000000-0005-0000-0000-000001030000}"/>
    <cellStyle name="Normal 6" xfId="770" xr:uid="{00000000-0005-0000-0000-000002030000}"/>
    <cellStyle name="Normal 7" xfId="771" xr:uid="{00000000-0005-0000-0000-000003030000}"/>
    <cellStyle name="Normal 8" xfId="772" xr:uid="{00000000-0005-0000-0000-000004030000}"/>
    <cellStyle name="Normal 9" xfId="773" xr:uid="{00000000-0005-0000-0000-000005030000}"/>
    <cellStyle name="normal3" xfId="774" xr:uid="{00000000-0005-0000-0000-000006030000}"/>
    <cellStyle name="Note 2" xfId="775" xr:uid="{00000000-0005-0000-0000-000007030000}"/>
    <cellStyle name="Notes" xfId="776" xr:uid="{00000000-0005-0000-0000-000008030000}"/>
    <cellStyle name="nromal" xfId="777" xr:uid="{00000000-0005-0000-0000-000009030000}"/>
    <cellStyle name="Num_Date" xfId="778" xr:uid="{00000000-0005-0000-0000-00000A030000}"/>
    <cellStyle name="number" xfId="779" xr:uid="{00000000-0005-0000-0000-00000B030000}"/>
    <cellStyle name="Numbers" xfId="780" xr:uid="{00000000-0005-0000-0000-00000C030000}"/>
    <cellStyle name="Numbers - Bold - Italic" xfId="781" xr:uid="{00000000-0005-0000-0000-00000D030000}"/>
    <cellStyle name="of" xfId="782" xr:uid="{00000000-0005-0000-0000-00000E030000}"/>
    <cellStyle name="-Ombrage Jaune" xfId="783" xr:uid="{00000000-0005-0000-0000-00000F030000}"/>
    <cellStyle name="one dec_ten" xfId="784" xr:uid="{00000000-0005-0000-0000-000010030000}"/>
    <cellStyle name="one_dec" xfId="785" xr:uid="{00000000-0005-0000-0000-000011030000}"/>
    <cellStyle name="OnOff" xfId="786" xr:uid="{00000000-0005-0000-0000-000012030000}"/>
    <cellStyle name="Output Amounts" xfId="787" xr:uid="{00000000-0005-0000-0000-000013030000}"/>
    <cellStyle name="Output Column Headings" xfId="788" xr:uid="{00000000-0005-0000-0000-000014030000}"/>
    <cellStyle name="Output Line Items" xfId="789" xr:uid="{00000000-0005-0000-0000-000015030000}"/>
    <cellStyle name="Output Report Heading" xfId="790" xr:uid="{00000000-0005-0000-0000-000016030000}"/>
    <cellStyle name="Output Report Title" xfId="791" xr:uid="{00000000-0005-0000-0000-000017030000}"/>
    <cellStyle name="Output1" xfId="792" xr:uid="{00000000-0005-0000-0000-000018030000}"/>
    <cellStyle name="p" xfId="793" xr:uid="{00000000-0005-0000-0000-000019030000}"/>
    <cellStyle name="p_6bny1016" xfId="794" xr:uid="{00000000-0005-0000-0000-00001A030000}"/>
    <cellStyle name="p_WACC" xfId="795" xr:uid="{00000000-0005-0000-0000-00001B030000}"/>
    <cellStyle name="Page Heading" xfId="796" xr:uid="{00000000-0005-0000-0000-00001C030000}"/>
    <cellStyle name="Page Number" xfId="797" xr:uid="{00000000-0005-0000-0000-00001D030000}"/>
    <cellStyle name="parité" xfId="798" xr:uid="{00000000-0005-0000-0000-00001E030000}"/>
    <cellStyle name="Pattern_Forecast" xfId="799" xr:uid="{00000000-0005-0000-0000-00001F030000}"/>
    <cellStyle name="pb_table_format_total" xfId="800" xr:uid="{00000000-0005-0000-0000-000020030000}"/>
    <cellStyle name="pcent" xfId="801" xr:uid="{00000000-0005-0000-0000-000021030000}"/>
    <cellStyle name="Per aandeel" xfId="802" xr:uid="{00000000-0005-0000-0000-000022030000}"/>
    <cellStyle name="percemt" xfId="803" xr:uid="{00000000-0005-0000-0000-000023030000}"/>
    <cellStyle name="Percent [2]" xfId="804" xr:uid="{00000000-0005-0000-0000-000024030000}"/>
    <cellStyle name="Percent 10" xfId="805" xr:uid="{00000000-0005-0000-0000-000025030000}"/>
    <cellStyle name="Percent 11" xfId="806" xr:uid="{00000000-0005-0000-0000-000026030000}"/>
    <cellStyle name="Percent 12" xfId="807" xr:uid="{00000000-0005-0000-0000-000027030000}"/>
    <cellStyle name="Percent 13" xfId="808" xr:uid="{00000000-0005-0000-0000-000028030000}"/>
    <cellStyle name="Percent 14" xfId="809" xr:uid="{00000000-0005-0000-0000-000029030000}"/>
    <cellStyle name="Percent 15" xfId="810" xr:uid="{00000000-0005-0000-0000-00002A030000}"/>
    <cellStyle name="Percent 16" xfId="811" xr:uid="{00000000-0005-0000-0000-00002B030000}"/>
    <cellStyle name="Percent 17" xfId="812" xr:uid="{00000000-0005-0000-0000-00002C030000}"/>
    <cellStyle name="Percent 2" xfId="813" xr:uid="{00000000-0005-0000-0000-00002D030000}"/>
    <cellStyle name="Percent 3" xfId="814" xr:uid="{00000000-0005-0000-0000-00002E030000}"/>
    <cellStyle name="Percent 4" xfId="815" xr:uid="{00000000-0005-0000-0000-00002F030000}"/>
    <cellStyle name="Percent 5" xfId="816" xr:uid="{00000000-0005-0000-0000-000030030000}"/>
    <cellStyle name="Percent 6" xfId="817" xr:uid="{00000000-0005-0000-0000-000031030000}"/>
    <cellStyle name="Percent 7" xfId="818" xr:uid="{00000000-0005-0000-0000-000032030000}"/>
    <cellStyle name="Percent 8" xfId="819" xr:uid="{00000000-0005-0000-0000-000033030000}"/>
    <cellStyle name="Percent 9" xfId="820" xr:uid="{00000000-0005-0000-0000-000034030000}"/>
    <cellStyle name="Percent Decimal" xfId="821" xr:uid="{00000000-0005-0000-0000-000035030000}"/>
    <cellStyle name="PercentChange" xfId="822" xr:uid="{00000000-0005-0000-0000-000036030000}"/>
    <cellStyle name="percnet" xfId="823" xr:uid="{00000000-0005-0000-0000-000037030000}"/>
    <cellStyle name="Pound" xfId="824" xr:uid="{00000000-0005-0000-0000-000038030000}"/>
    <cellStyle name="prcie" xfId="825" xr:uid="{00000000-0005-0000-0000-000039030000}"/>
    <cellStyle name="Price" xfId="826" xr:uid="{00000000-0005-0000-0000-00003A030000}"/>
    <cellStyle name="Procenten" xfId="827" xr:uid="{00000000-0005-0000-0000-00003B030000}"/>
    <cellStyle name="Procenten estimate" xfId="828" xr:uid="{00000000-0005-0000-0000-00003C030000}"/>
    <cellStyle name="Procenten_EMI" xfId="829" xr:uid="{00000000-0005-0000-0000-00003D030000}"/>
    <cellStyle name="PSChar" xfId="830" xr:uid="{00000000-0005-0000-0000-00003E030000}"/>
    <cellStyle name="PSDate" xfId="831" xr:uid="{00000000-0005-0000-0000-00003F030000}"/>
    <cellStyle name="PSDec" xfId="832" xr:uid="{00000000-0005-0000-0000-000040030000}"/>
    <cellStyle name="PSHeading" xfId="833" xr:uid="{00000000-0005-0000-0000-000041030000}"/>
    <cellStyle name="PSInt" xfId="834" xr:uid="{00000000-0005-0000-0000-000042030000}"/>
    <cellStyle name="PSSpacer" xfId="835" xr:uid="{00000000-0005-0000-0000-000043030000}"/>
    <cellStyle name="Ratio" xfId="836" xr:uid="{00000000-0005-0000-0000-000044030000}"/>
    <cellStyle name="Red" xfId="837" xr:uid="{00000000-0005-0000-0000-000045030000}"/>
    <cellStyle name="Red Text" xfId="838" xr:uid="{00000000-0005-0000-0000-000046030000}"/>
    <cellStyle name="rod" xfId="839" xr:uid="{00000000-0005-0000-0000-000047030000}"/>
    <cellStyle name="RowHeader" xfId="840" xr:uid="{00000000-0005-0000-0000-000048030000}"/>
    <cellStyle name="s" xfId="841" xr:uid="{00000000-0005-0000-0000-000049030000}"/>
    <cellStyle name="S%" xfId="842" xr:uid="{00000000-0005-0000-0000-00004A030000}"/>
    <cellStyle name="SComment" xfId="843" xr:uid="{00000000-0005-0000-0000-00004B030000}"/>
    <cellStyle name="ScripFactor" xfId="844" xr:uid="{00000000-0005-0000-0000-00004C030000}"/>
    <cellStyle name="SectionHeading" xfId="845" xr:uid="{00000000-0005-0000-0000-00004D030000}"/>
    <cellStyle name="Separador de milhares [0]_Assumption" xfId="846" xr:uid="{00000000-0005-0000-0000-00004E030000}"/>
    <cellStyle name="SFig" xfId="847" xr:uid="{00000000-0005-0000-0000-00004F030000}"/>
    <cellStyle name="Sg%" xfId="848" xr:uid="{00000000-0005-0000-0000-000050030000}"/>
    <cellStyle name="share" xfId="849" xr:uid="{00000000-0005-0000-0000-000051030000}"/>
    <cellStyle name="SheetSubtitle1" xfId="850" xr:uid="{00000000-0005-0000-0000-000052030000}"/>
    <cellStyle name="SheetSubtitle2" xfId="851" xr:uid="{00000000-0005-0000-0000-000053030000}"/>
    <cellStyle name="SheetSubtitle3" xfId="852" xr:uid="{00000000-0005-0000-0000-000054030000}"/>
    <cellStyle name="SheetSubtitle3a" xfId="853" xr:uid="{00000000-0005-0000-0000-000055030000}"/>
    <cellStyle name="SheetSubtitle4" xfId="854" xr:uid="{00000000-0005-0000-0000-000056030000}"/>
    <cellStyle name="SheetSubtitle4a" xfId="855" xr:uid="{00000000-0005-0000-0000-000057030000}"/>
    <cellStyle name="SheetSubtitle5" xfId="856" xr:uid="{00000000-0005-0000-0000-000058030000}"/>
    <cellStyle name="SheetTitle" xfId="857" xr:uid="{00000000-0005-0000-0000-000059030000}"/>
    <cellStyle name="SI%" xfId="858" xr:uid="{00000000-0005-0000-0000-00005A030000}"/>
    <cellStyle name="Single Accounting" xfId="859" xr:uid="{00000000-0005-0000-0000-00005B030000}"/>
    <cellStyle name="Sname" xfId="860" xr:uid="{00000000-0005-0000-0000-00005C030000}"/>
    <cellStyle name="Source" xfId="861" xr:uid="{00000000-0005-0000-0000-00005D030000}"/>
    <cellStyle name="Sous-Titre" xfId="862" xr:uid="{00000000-0005-0000-0000-00005E030000}"/>
    <cellStyle name="SPerc" xfId="863" xr:uid="{00000000-0005-0000-0000-00005F030000}"/>
    <cellStyle name="Standaard_Blad1" xfId="864" xr:uid="{00000000-0005-0000-0000-000060030000}"/>
    <cellStyle name="Stitle" xfId="865" xr:uid="{00000000-0005-0000-0000-000061030000}"/>
    <cellStyle name="Ston" xfId="866" xr:uid="{00000000-0005-0000-0000-000062030000}"/>
    <cellStyle name="Style 1" xfId="867" xr:uid="{00000000-0005-0000-0000-000063030000}"/>
    <cellStyle name="Style 2" xfId="868" xr:uid="{00000000-0005-0000-0000-000064030000}"/>
    <cellStyle name="Style 21" xfId="869" xr:uid="{00000000-0005-0000-0000-000065030000}"/>
    <cellStyle name="Style 22" xfId="870" xr:uid="{00000000-0005-0000-0000-000066030000}"/>
    <cellStyle name="Style 23" xfId="871" xr:uid="{00000000-0005-0000-0000-000067030000}"/>
    <cellStyle name="Style 24" xfId="872" xr:uid="{00000000-0005-0000-0000-000068030000}"/>
    <cellStyle name="Style 25" xfId="873" xr:uid="{00000000-0005-0000-0000-000069030000}"/>
    <cellStyle name="Style 26" xfId="874" xr:uid="{00000000-0005-0000-0000-00006A030000}"/>
    <cellStyle name="Style 27" xfId="875" xr:uid="{00000000-0005-0000-0000-00006B030000}"/>
    <cellStyle name="Style 28" xfId="876" xr:uid="{00000000-0005-0000-0000-00006C030000}"/>
    <cellStyle name="Style 3" xfId="877" xr:uid="{00000000-0005-0000-0000-00006D030000}"/>
    <cellStyle name="Style 4" xfId="878" xr:uid="{00000000-0005-0000-0000-00006E030000}"/>
    <cellStyle name="Style 5" xfId="879" xr:uid="{00000000-0005-0000-0000-00006F030000}"/>
    <cellStyle name="Style 6" xfId="880" xr:uid="{00000000-0005-0000-0000-000070030000}"/>
    <cellStyle name="Style 7" xfId="881" xr:uid="{00000000-0005-0000-0000-000071030000}"/>
    <cellStyle name="style1" xfId="882" xr:uid="{00000000-0005-0000-0000-000072030000}"/>
    <cellStyle name="style2" xfId="883" xr:uid="{00000000-0005-0000-0000-000073030000}"/>
    <cellStyle name="subtotals" xfId="884" xr:uid="{00000000-0005-0000-0000-000074030000}"/>
    <cellStyle name="Sx" xfId="885" xr:uid="{00000000-0005-0000-0000-000075030000}"/>
    <cellStyle name="Table Head" xfId="886" xr:uid="{00000000-0005-0000-0000-000076030000}"/>
    <cellStyle name="Table Head Aligned" xfId="887" xr:uid="{00000000-0005-0000-0000-000077030000}"/>
    <cellStyle name="Table Head Blue" xfId="888" xr:uid="{00000000-0005-0000-0000-000078030000}"/>
    <cellStyle name="Table Head Green" xfId="889" xr:uid="{00000000-0005-0000-0000-000079030000}"/>
    <cellStyle name="Table Sub Head" xfId="890" xr:uid="{00000000-0005-0000-0000-00007A030000}"/>
    <cellStyle name="Table Title" xfId="891" xr:uid="{00000000-0005-0000-0000-00007B030000}"/>
    <cellStyle name="Table Units" xfId="892" xr:uid="{00000000-0005-0000-0000-00007C030000}"/>
    <cellStyle name="-Têtes de colonnes" xfId="893" xr:uid="{00000000-0005-0000-0000-00007D030000}"/>
    <cellStyle name="þ´Ì_x0010__x000c__x0010__x0009_à_x000c__x0003__x0009_ß_x0007_ÜÉ_x0009__x0007__x0001__x0001_" xfId="894" xr:uid="{00000000-0005-0000-0000-00007E030000}"/>
    <cellStyle name="Theirs" xfId="895" xr:uid="{00000000-0005-0000-0000-00007F030000}"/>
    <cellStyle name="Times 10" xfId="896" xr:uid="{00000000-0005-0000-0000-000080030000}"/>
    <cellStyle name="Times 12" xfId="897" xr:uid="{00000000-0005-0000-0000-000081030000}"/>
    <cellStyle name="Times New Roman" xfId="898" xr:uid="{00000000-0005-0000-0000-000082030000}"/>
    <cellStyle name="Title 2" xfId="899" xr:uid="{00000000-0005-0000-0000-000083030000}"/>
    <cellStyle name="Titles" xfId="900" xr:uid="{00000000-0005-0000-0000-000084030000}"/>
    <cellStyle name="Titre" xfId="901" xr:uid="{00000000-0005-0000-0000-000085030000}"/>
    <cellStyle name="Tons" xfId="902" xr:uid="{00000000-0005-0000-0000-000086030000}"/>
    <cellStyle name="TopGrey" xfId="903" xr:uid="{00000000-0005-0000-0000-000087030000}"/>
    <cellStyle name="Total 2" xfId="904" xr:uid="{00000000-0005-0000-0000-000088030000}"/>
    <cellStyle name="TR_InputData" xfId="905" xr:uid="{00000000-0005-0000-0000-000089030000}"/>
    <cellStyle name="TR_OutputData2" xfId="906" xr:uid="{00000000-0005-0000-0000-00008A030000}"/>
    <cellStyle name="TR_Title1" xfId="907" xr:uid="{00000000-0005-0000-0000-00008B030000}"/>
    <cellStyle name="TR_Title2" xfId="984" xr:uid="{00000000-0005-0000-0000-00008C030000}"/>
    <cellStyle name="TR_Title3" xfId="983" xr:uid="{00000000-0005-0000-0000-00008D030000}"/>
    <cellStyle name="-Trait bleu Bas" xfId="908" xr:uid="{00000000-0005-0000-0000-00008E030000}"/>
    <cellStyle name="twelv_dollar_no dec_elev" xfId="909" xr:uid="{00000000-0005-0000-0000-00008F030000}"/>
    <cellStyle name="twelve_no dec_elev" xfId="910" xr:uid="{00000000-0005-0000-0000-000090030000}"/>
    <cellStyle name="Under Line" xfId="911" xr:uid="{00000000-0005-0000-0000-000091030000}"/>
    <cellStyle name="Val_Std" xfId="912" xr:uid="{00000000-0005-0000-0000-000092030000}"/>
    <cellStyle name="Valuta [0]_Blad1" xfId="913" xr:uid="{00000000-0005-0000-0000-000093030000}"/>
    <cellStyle name="Valuta_Blad1" xfId="914" xr:uid="{00000000-0005-0000-0000-000094030000}"/>
    <cellStyle name="Währung_Berechnung_Synergien_BH_Model_BH_2K07_Book8_AccDilv2.xls Chart 1" xfId="915" xr:uid="{00000000-0005-0000-0000-000095030000}"/>
    <cellStyle name="wild guess" xfId="916" xr:uid="{00000000-0005-0000-0000-000096030000}"/>
    <cellStyle name="Wildguess" xfId="917" xr:uid="{00000000-0005-0000-0000-000097030000}"/>
    <cellStyle name="x" xfId="918" xr:uid="{00000000-0005-0000-0000-000098030000}"/>
    <cellStyle name="x [1]" xfId="919" xr:uid="{00000000-0005-0000-0000-000099030000}"/>
    <cellStyle name="x_ASTEC4BK" xfId="920" xr:uid="{00000000-0005-0000-0000-00009A030000}"/>
    <cellStyle name="x_ASTEC4BK_1" xfId="921" xr:uid="{00000000-0005-0000-0000-00009B030000}"/>
    <cellStyle name="x_ASTEC4BK_2" xfId="922" xr:uid="{00000000-0005-0000-0000-00009C030000}"/>
    <cellStyle name="x_ASTEC4BK_2_PENT10BK.XLS Chart 1" xfId="923" xr:uid="{00000000-0005-0000-0000-00009D030000}"/>
    <cellStyle name="x_ASTEC4BK_2_PENT10BK.XLS Chart 1_1" xfId="924" xr:uid="{00000000-0005-0000-0000-00009E030000}"/>
    <cellStyle name="x_ASTEC4BK_2_PENT10BK.XLS Chart 1-1" xfId="925" xr:uid="{00000000-0005-0000-0000-00009F030000}"/>
    <cellStyle name="x_ASTEC4BK_2_PENT10BK.XLS Chart 1-10" xfId="926" xr:uid="{00000000-0005-0000-0000-0000A0030000}"/>
    <cellStyle name="x_ASTEC4BK_2_PENT10BK.XLS Chart 1-11" xfId="927" xr:uid="{00000000-0005-0000-0000-0000A1030000}"/>
    <cellStyle name="x_ASTEC4BK_2_PENT10BK.XLS Chart 1-2" xfId="928" xr:uid="{00000000-0005-0000-0000-0000A2030000}"/>
    <cellStyle name="x_ASTEC4BK_2_PENT10BK.XLS Chart 1-3" xfId="929" xr:uid="{00000000-0005-0000-0000-0000A3030000}"/>
    <cellStyle name="x_ASTEC4BK_2_PENT10BK.XLS Chart 1-4" xfId="930" xr:uid="{00000000-0005-0000-0000-0000A4030000}"/>
    <cellStyle name="x_ASTEC4BK_2_PENT10BK.XLS Chart 1-5" xfId="931" xr:uid="{00000000-0005-0000-0000-0000A5030000}"/>
    <cellStyle name="x_ASTEC4BK_2_PENT10BK.XLS Chart 1-6" xfId="932" xr:uid="{00000000-0005-0000-0000-0000A6030000}"/>
    <cellStyle name="x_ASTEC4BK_2_PENT10BK.XLS Chart 1-7" xfId="933" xr:uid="{00000000-0005-0000-0000-0000A7030000}"/>
    <cellStyle name="x_ASTEC4BK_2_PENT10BK.XLS Chart 1-8" xfId="934" xr:uid="{00000000-0005-0000-0000-0000A8030000}"/>
    <cellStyle name="x_ASTEC4BK_2_PENT10BK.XLS Chart 1-9" xfId="935" xr:uid="{00000000-0005-0000-0000-0000A9030000}"/>
    <cellStyle name="x_ASTEC4BK_2_PENT10BK.XLS Chart 2" xfId="936" xr:uid="{00000000-0005-0000-0000-0000AA030000}"/>
    <cellStyle name="x_ASTEC4BK_2_PENT10BK.XLS Chart 2-1" xfId="937" xr:uid="{00000000-0005-0000-0000-0000AB030000}"/>
    <cellStyle name="x_ASTEC4BK_2_UDI4-BK" xfId="938" xr:uid="{00000000-0005-0000-0000-0000AC030000}"/>
    <cellStyle name="x_black5bk.xls Chart 1" xfId="939" xr:uid="{00000000-0005-0000-0000-0000AD030000}"/>
    <cellStyle name="x_BLACK5BK.XLS Chart 1-1" xfId="940" xr:uid="{00000000-0005-0000-0000-0000AE030000}"/>
    <cellStyle name="x_BLACK5BK.XLS Chart 1-2" xfId="941" xr:uid="{00000000-0005-0000-0000-0000AF030000}"/>
    <cellStyle name="x_UDI4-BK.xls Chart 1" xfId="942" xr:uid="{00000000-0005-0000-0000-0000B0030000}"/>
    <cellStyle name="x_UDI4-BK.XLS Chart 1_1" xfId="943" xr:uid="{00000000-0005-0000-0000-0000B1030000}"/>
    <cellStyle name="x_UDI4-BK.XLS Chart 1_1_PENT10BK.XLS Chart 1" xfId="944" xr:uid="{00000000-0005-0000-0000-0000B2030000}"/>
    <cellStyle name="x_UDI4-BK.XLS Chart 1_1_PENT10BK.XLS Chart 1_1" xfId="945" xr:uid="{00000000-0005-0000-0000-0000B3030000}"/>
    <cellStyle name="x_UDI4-BK.XLS Chart 1_1_PENT10BK.XLS Chart 1-1" xfId="946" xr:uid="{00000000-0005-0000-0000-0000B4030000}"/>
    <cellStyle name="x_UDI4-BK.XLS Chart 1_1_PENT10BK.XLS Chart 1-10" xfId="947" xr:uid="{00000000-0005-0000-0000-0000B5030000}"/>
    <cellStyle name="x_UDI4-BK.XLS Chart 1_1_PENT10BK.XLS Chart 1-11" xfId="948" xr:uid="{00000000-0005-0000-0000-0000B6030000}"/>
    <cellStyle name="x_UDI4-BK.XLS Chart 1_1_PENT10BK.XLS Chart 1-2" xfId="949" xr:uid="{00000000-0005-0000-0000-0000B7030000}"/>
    <cellStyle name="x_UDI4-BK.XLS Chart 1_1_PENT10BK.XLS Chart 1-3" xfId="950" xr:uid="{00000000-0005-0000-0000-0000B8030000}"/>
    <cellStyle name="x_UDI4-BK.XLS Chart 1_1_PENT10BK.XLS Chart 1-4" xfId="951" xr:uid="{00000000-0005-0000-0000-0000B9030000}"/>
    <cellStyle name="x_UDI4-BK.XLS Chart 1_1_PENT10BK.XLS Chart 1-5" xfId="952" xr:uid="{00000000-0005-0000-0000-0000BA030000}"/>
    <cellStyle name="x_UDI4-BK.XLS Chart 1_1_PENT10BK.XLS Chart 1-6" xfId="953" xr:uid="{00000000-0005-0000-0000-0000BB030000}"/>
    <cellStyle name="x_UDI4-BK.XLS Chart 1_1_PENT10BK.XLS Chart 1-7" xfId="954" xr:uid="{00000000-0005-0000-0000-0000BC030000}"/>
    <cellStyle name="x_UDI4-BK.XLS Chart 1_1_PENT10BK.XLS Chart 1-8" xfId="955" xr:uid="{00000000-0005-0000-0000-0000BD030000}"/>
    <cellStyle name="x_UDI4-BK.XLS Chart 1_1_PENT10BK.XLS Chart 1-9" xfId="956" xr:uid="{00000000-0005-0000-0000-0000BE030000}"/>
    <cellStyle name="x_UDI4-BK.XLS Chart 1_1_PENT10BK.XLS Chart 2" xfId="957" xr:uid="{00000000-0005-0000-0000-0000BF030000}"/>
    <cellStyle name="x_UDI4-BK.XLS Chart 1_1_PENT10BK.XLS Chart 2-1" xfId="958" xr:uid="{00000000-0005-0000-0000-0000C0030000}"/>
    <cellStyle name="x_UDI4-BK.XLS Chart 1_1_UDI4-BK" xfId="959" xr:uid="{00000000-0005-0000-0000-0000C1030000}"/>
    <cellStyle name="x_UDI4-BK.XLS Chart 1-1" xfId="960" xr:uid="{00000000-0005-0000-0000-0000C2030000}"/>
    <cellStyle name="x_UDI4-BK.XLS Chart 1-1_PENT10BK.XLS Chart 1" xfId="961" xr:uid="{00000000-0005-0000-0000-0000C3030000}"/>
    <cellStyle name="x_UDI4-BK.XLS Chart 1-1_PENT10BK.XLS Chart 1_1" xfId="962" xr:uid="{00000000-0005-0000-0000-0000C4030000}"/>
    <cellStyle name="x_UDI4-BK.XLS Chart 1-1_PENT10BK.XLS Chart 1-1" xfId="963" xr:uid="{00000000-0005-0000-0000-0000C5030000}"/>
    <cellStyle name="x_UDI4-BK.XLS Chart 1-1_PENT10BK.XLS Chart 1-10" xfId="964" xr:uid="{00000000-0005-0000-0000-0000C6030000}"/>
    <cellStyle name="x_UDI4-BK.XLS Chart 1-1_PENT10BK.XLS Chart 1-11" xfId="965" xr:uid="{00000000-0005-0000-0000-0000C7030000}"/>
    <cellStyle name="x_UDI4-BK.XLS Chart 1-1_PENT10BK.XLS Chart 1-2" xfId="966" xr:uid="{00000000-0005-0000-0000-0000C8030000}"/>
    <cellStyle name="x_UDI4-BK.XLS Chart 1-1_PENT10BK.XLS Chart 1-3" xfId="967" xr:uid="{00000000-0005-0000-0000-0000C9030000}"/>
    <cellStyle name="x_UDI4-BK.XLS Chart 1-1_PENT10BK.XLS Chart 1-4" xfId="968" xr:uid="{00000000-0005-0000-0000-0000CA030000}"/>
    <cellStyle name="x_UDI4-BK.XLS Chart 1-1_PENT10BK.XLS Chart 1-5" xfId="969" xr:uid="{00000000-0005-0000-0000-0000CB030000}"/>
    <cellStyle name="x_UDI4-BK.XLS Chart 1-1_PENT10BK.XLS Chart 1-6" xfId="970" xr:uid="{00000000-0005-0000-0000-0000CC030000}"/>
    <cellStyle name="x_UDI4-BK.XLS Chart 1-1_PENT10BK.XLS Chart 1-7" xfId="971" xr:uid="{00000000-0005-0000-0000-0000CD030000}"/>
    <cellStyle name="x_UDI4-BK.XLS Chart 1-1_PENT10BK.XLS Chart 1-8" xfId="972" xr:uid="{00000000-0005-0000-0000-0000CE030000}"/>
    <cellStyle name="x_UDI4-BK.XLS Chart 1-1_PENT10BK.XLS Chart 1-9" xfId="973" xr:uid="{00000000-0005-0000-0000-0000CF030000}"/>
    <cellStyle name="x_UDI4-BK.XLS Chart 1-1_PENT10BK.XLS Chart 2" xfId="974" xr:uid="{00000000-0005-0000-0000-0000D0030000}"/>
    <cellStyle name="x_UDI4-BK.XLS Chart 1-1_PENT10BK.XLS Chart 2-1" xfId="975" xr:uid="{00000000-0005-0000-0000-0000D1030000}"/>
    <cellStyle name="x_UDI4-BK.XLS Chart 1-1_UDI4-BK" xfId="976" xr:uid="{00000000-0005-0000-0000-0000D2030000}"/>
    <cellStyle name="Xman" xfId="977" xr:uid="{00000000-0005-0000-0000-0000D3030000}"/>
    <cellStyle name="xstyle" xfId="978" xr:uid="{00000000-0005-0000-0000-0000D4030000}"/>
    <cellStyle name="YEAR" xfId="979" xr:uid="{00000000-0005-0000-0000-0000D5030000}"/>
    <cellStyle name="Year Estimate" xfId="980" xr:uid="{00000000-0005-0000-0000-0000D6030000}"/>
    <cellStyle name="Yen" xfId="981" xr:uid="{00000000-0005-0000-0000-0000D7030000}"/>
    <cellStyle name="yn" xfId="982" xr:uid="{00000000-0005-0000-0000-0000D8030000}"/>
    <cellStyle name="표준" xfId="0" builtinId="0"/>
    <cellStyle name="하이퍼링크" xfId="2" builtinId="8"/>
  </cellStyles>
  <dxfs count="1">
    <dxf>
      <font>
        <color theme="0"/>
      </font>
      <numFmt numFmtId="2" formatCode="0.00"/>
      <border>
        <left/>
        <right/>
        <top style="thin">
          <color rgb="FFC2C2C2"/>
        </top>
        <bottom style="thin">
          <color rgb="FFC2C2C2"/>
        </bottom>
      </border>
    </dxf>
  </dxfs>
  <tableStyles count="0" defaultTableStyle="TableStyleMedium9" defaultPivotStyle="PivotStyleLight16"/>
  <colors>
    <mruColors>
      <color rgb="FFC2C2C2"/>
      <color rgb="FF0000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trrtdserver">
      <tp t="s">
        <v>Retrieving...</v>
        <stp/>
        <stp>{8E8E61DB-E8A7-46F7-A815-63E18493ECCE}_x0000_</stp>
        <tr r="BD10" s="2"/>
      </tp>
      <tp t="s">
        <v>Retrieving...</v>
        <stp/>
        <stp>{4A3A70AB-7A5C-4022-902B-0BDB9169A622}_x0000_</stp>
        <tr r="E10" s="2"/>
      </tp>
      <tp t="s">
        <v>Retrieving...</v>
        <stp/>
        <stp>{6BBD7ED9-409F-404E-B7A3-5076D53AF955}_x0000_</stp>
        <tr r="I60" s="1"/>
      </tp>
      <tp t="s">
        <v>Retrieving...</v>
        <stp/>
        <stp>{F6A7535B-3206-426A-B171-2C82EF2BE021}_x0000_</stp>
        <tr r="BC10" s="2"/>
      </tp>
      <tp t="s">
        <v>Retrieving...</v>
        <stp/>
        <stp>{42105BC9-C190-4B25-B808-581503EFB9D7}_x0000_</stp>
        <tr r="I62" s="1"/>
      </tp>
      <tp t="s">
        <v>Retrieving...</v>
        <stp/>
        <stp>{9FCE8782-7B17-4094-B8E5-F5DE6F94B6B1}_x0000_</stp>
        <tr r="AJ10" s="2"/>
      </tp>
      <tp t="s">
        <v>Retrieving...</v>
        <stp/>
        <stp>{67F127BD-2F01-41D9-AB36-661970B90F0A}_x0000_</stp>
        <tr r="I36" s="1"/>
      </tp>
      <tp t="s">
        <v>Retrieving...</v>
        <stp/>
        <stp>{21B52CE6-9849-4D17-A1D1-90EBD2AA26AD}_x0000_</stp>
        <tr r="AN8" s="2"/>
      </tp>
      <tp t="s">
        <v>Retrieving...</v>
        <stp/>
        <stp>{D2DDC179-154D-4272-8E05-088E654FA285}_x0000_</stp>
        <tr r="BE8" s="2"/>
      </tp>
      <tp t="s">
        <v>Retrieving...</v>
        <stp/>
        <stp>{3CFFACAE-8258-4505-94C2-256B8C046E29}_x0000_</stp>
        <tr r="AM8" s="2"/>
      </tp>
      <tp t="s">
        <v>Retrieving...</v>
        <stp/>
        <stp>{D305A991-EFC8-48C8-940B-B712E1327113}_x0000_</stp>
        <tr r="G10" s="2"/>
      </tp>
      <tp t="s">
        <v>Retrieving...</v>
        <stp/>
        <stp>{F04D2851-D3E7-47F5-911F-A452022FA0E8}_x0000_</stp>
        <tr r="AD5" s="1"/>
      </tp>
      <tp t="s">
        <v>Retrieving...</v>
        <stp/>
        <stp>{729986A0-76DB-4F4E-A92B-D8B93093ACA3}_x0000_</stp>
        <tr r="E8" s="2"/>
      </tp>
      <tp t="s">
        <v>Retrieving...</v>
        <stp/>
        <stp>{920EF8D3-9CBC-4FC1-A84A-128FCA56AB20}_x0000_</stp>
        <tr r="K50" s="1"/>
      </tp>
      <tp t="s">
        <v>Retrieving...</v>
        <stp/>
        <stp>{D0E63387-3416-492B-ACFF-6FB984DAA93C}_x0000_</stp>
        <tr r="E11" s="1"/>
      </tp>
      <tp t="s">
        <v>Retrieving...</v>
        <stp/>
        <stp>{01E8434F-9BAC-450A-8460-DE71BD2191EA}_x0000_</stp>
        <tr r="AP8" s="2"/>
      </tp>
      <tp t="s">
        <v>Retrieving...</v>
        <stp/>
        <stp>{6B606293-4747-4EF3-B766-014A56DDA3DF}_x0000_</stp>
        <tr r="I50" s="1"/>
      </tp>
      <tp t="s">
        <v>Retrieving...</v>
        <stp/>
        <stp>{6A6EB20E-68CC-44D1-A608-6C046AED4286}_x0000_</stp>
        <tr r="G36" s="1"/>
      </tp>
      <tp t="s">
        <v>Retrieving...</v>
        <stp/>
        <stp>{AB59B232-B0CE-45AC-9EA3-E8E5360D791E}_x0000_</stp>
        <tr r="F8" s="2"/>
      </tp>
      <tp t="s">
        <v>Retrieving...</v>
        <stp/>
        <stp>{7F09C398-1D40-4CB0-80DD-9F38B7901768}_x0000_</stp>
        <tr r="H50" s="1"/>
      </tp>
      <tp t="s">
        <v>Retrieving...</v>
        <stp/>
        <stp>{1A30A7F7-59BD-4E44-93EF-0F505C4FE660}_x0000_</stp>
        <tr r="I58" s="1"/>
      </tp>
      <tp t="s">
        <v>Retrieving...</v>
        <stp/>
        <stp>{F6352240-DB61-4D60-8D65-CE8B933071DA}_x0000_</stp>
        <tr r="I54" s="1"/>
      </tp>
      <tp t="s">
        <v>Retrieving...</v>
        <stp/>
        <stp>{897AD044-30DC-410B-973D-2621F79BD156}_x0000_</stp>
        <tr r="AO10" s="2"/>
      </tp>
      <tp t="s">
        <v>Retrieving...</v>
        <stp/>
        <stp>{91A172B5-CF7B-4B4D-AD63-95C090A9738D}_x0000_</stp>
        <tr r="CD5" s="2"/>
      </tp>
      <tp t="s">
        <v>Retrieving...</v>
        <stp/>
        <stp>{4D9503F4-2111-45DF-9604-B17601AD3D64}_x0000_</stp>
        <tr r="F10" s="2"/>
      </tp>
      <tp t="s">
        <v>Retrieving...</v>
        <stp/>
        <stp>{BF23B227-E20E-40E6-A5EC-464874A41273}_x0000_</stp>
        <tr r="E43" s="1"/>
      </tp>
      <tp t="s">
        <v>Retrieving...</v>
        <stp/>
        <stp>{1B79C750-B55B-4CCE-A123-1BAD220AFB5A}_x0000_</stp>
        <tr r="AQ8" s="2"/>
      </tp>
      <tp t="s">
        <v>Retrieving...</v>
        <stp/>
        <stp>{9AB36FA5-A7F7-496B-BEAF-4FC73A23F44E}_x0000_</stp>
        <tr r="E9" s="1"/>
      </tp>
      <tp t="s">
        <v>Retrieving...</v>
        <stp/>
        <stp>{CE2992F1-7D98-4A9C-9E37-FBE63EB2BBB7}_x0000_</stp>
        <tr r="J50" s="1"/>
      </tp>
      <tp t="s">
        <v>Retrieving...</v>
        <stp/>
        <stp>{850C0179-2F3E-4FB1-B801-5D538B86CBF0}_x0000_</stp>
        <tr r="F42" s="1"/>
      </tp>
      <tp t="s">
        <v>Retrieving...</v>
        <stp/>
        <stp>{BAAF34C6-E23B-4B36-A232-B3AAF0E8795A}_x0000_</stp>
        <tr r="AO8" s="2"/>
      </tp>
      <tp t="s">
        <v>Retrieving...</v>
        <stp/>
        <stp>{229EEEAC-000F-475F-8590-CD8E57446321}_x0000_</stp>
        <tr r="E10" s="1"/>
      </tp>
      <tp t="s">
        <v>Retrieving...</v>
        <stp/>
        <stp>{46B4D330-4221-49BE-8A36-A6513F986118}_x0000_</stp>
        <tr r="D14" s="1"/>
      </tp>
      <tp t="s">
        <v>Retrieving...</v>
        <stp/>
        <stp>{FAA9FA9E-0581-4353-86F6-92BD13148BF9}_x0000_</stp>
        <tr r="BD8" s="2"/>
      </tp>
      <tp t="s">
        <v>Retrieving...</v>
        <stp/>
        <stp>{39B4F056-A4AE-4F80-BE19-2E31810B31E3}_x0000_</stp>
        <tr r="AQ10" s="2"/>
      </tp>
      <tp t="s">
        <v>Retrieving...</v>
        <stp/>
        <stp>{28D91D00-6A2F-47C4-A98E-58E8EC9FA624}_x0000_</stp>
        <tr r="AK10" s="2"/>
      </tp>
      <tp t="s">
        <v>Retrieving...</v>
        <stp/>
        <stp>{DE56D3A8-FB63-4C54-8981-2444035F2F96}_x0000_</stp>
        <tr r="G8" s="2"/>
      </tp>
      <tp t="s">
        <v>Retrieving...</v>
        <stp/>
        <stp>{9D698EB1-C576-4931-8A01-71A913556597}_x0000_</stp>
        <tr r="AS10" s="2"/>
      </tp>
      <tp t="s">
        <v>Retrieving...</v>
        <stp/>
        <stp>{F0E0909A-9A68-4DC0-89AC-C93D42B8694B}_x0000_</stp>
        <tr r="H36" s="1"/>
      </tp>
      <tp t="s">
        <v>Retrieving...</v>
        <stp/>
        <stp>{B51B90ED-41D6-4986-B240-D32234963468}_x0000_</stp>
        <tr r="H54" s="1"/>
      </tp>
      <tp t="s">
        <v>Retrieving...</v>
        <stp/>
        <stp>{122F84E6-2993-461B-8B68-6F178961DA4C}_x0000_</stp>
        <tr r="BC8" s="2"/>
      </tp>
      <tp t="s">
        <v>Retrieving...</v>
        <stp/>
        <stp>{A2D10DBB-BF0F-4812-B089-085750292AE5}_x0000_</stp>
        <tr r="F54" s="1"/>
      </tp>
      <tp t="s">
        <v>Retrieving...</v>
        <stp/>
        <stp>{7181DDA9-52B4-4E4D-AD5D-5D990D666B2B}_x0000_</stp>
        <tr r="G50" s="1"/>
      </tp>
      <tp t="s">
        <v>Retrieving...</v>
        <stp/>
        <stp>{C792561C-823B-4B61-B82F-5121555EA437}_x0000_</stp>
        <tr r="F43" s="1"/>
      </tp>
      <tp t="s">
        <v>Retrieving...</v>
        <stp/>
        <stp>{64A2DA31-7613-4996-B5E1-FF37FF45905E}_x0000_</stp>
        <tr r="AJ8" s="2"/>
      </tp>
      <tp t="s">
        <v>Retrieving...</v>
        <stp/>
        <stp>{592505E8-D47B-4E7C-B360-AB74E0F2EEC5}_x0000_</stp>
        <tr r="E7" s="1"/>
      </tp>
      <tp t="s">
        <v>Retrieving...</v>
        <stp/>
        <stp>{AEDE02AD-E106-47D3-95EC-073D40BDC580}_x0000_</stp>
        <tr r="AM10" s="2"/>
      </tp>
      <tp t="s">
        <v>Retrieving...</v>
        <stp/>
        <stp>{DF51508A-4DD5-476F-A5C6-1869778F8212}_x0000_</stp>
        <tr r="AN10" s="2"/>
      </tp>
      <tp t="s">
        <v>Retrieving...</v>
        <stp/>
        <stp>{B46E8113-5ED4-473E-85C5-621250CB818A}_x0000_</stp>
        <tr r="E36" s="1"/>
      </tp>
      <tp t="s">
        <v>Retrieving...</v>
        <stp/>
        <stp>{BF263423-016E-4CD1-8AB4-771A542D25CA}_x0000_</stp>
        <tr r="AR10" s="2"/>
      </tp>
      <tp t="s">
        <v>Retrieving...</v>
        <stp/>
        <stp>{2DFC30F4-27B5-462D-9344-A0A1166C852B}_x0000_</stp>
        <tr r="AL10" s="2"/>
      </tp>
      <tp t="s">
        <v>Retrieving...</v>
        <stp/>
        <stp>{EBC48E4A-6B3C-43E8-B6BA-E532141816B7}_x0000_</stp>
        <tr r="I56" s="1"/>
      </tp>
      <tp t="s">
        <v>Retrieving...</v>
        <stp/>
        <stp>{B168C899-9DB8-432C-853F-C514E33A10F7}_x0000_</stp>
        <tr r="F22" s="1"/>
      </tp>
      <tp t="s">
        <v>Retrieving...</v>
        <stp/>
        <stp>{04C54A6B-ED73-44DD-AD01-3A244452F068}_x0000_</stp>
        <tr r="BE10" s="2"/>
      </tp>
      <tp>
        <v>0</v>
        <stp/>
        <stp>{55FBC49E-2C6E-45B0-849C-7F212C250A33}_x0000_</stp>
        <tr r="CD10" s="2"/>
      </tp>
      <tp t="s">
        <v>Retrieving...</v>
        <stp/>
        <stp>{517E296F-FCF8-4515-A5F8-0540008898B1}_x0000_</stp>
        <tr r="D50" s="1"/>
      </tp>
      <tp t="s">
        <v>Retrieving...</v>
        <stp/>
        <stp>{EC6439BB-2AF5-4CA4-9D1F-F92E4AB18856}_x0000_</stp>
        <tr r="E54" s="1"/>
      </tp>
      <tp t="s">
        <v>Retrieving...</v>
        <stp/>
        <stp>{6CB54E34-8D5F-4A6A-9414-C5FC1085D813}_x0000_</stp>
        <tr r="G54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1</xdr:row>
      <xdr:rowOff>114301</xdr:rowOff>
    </xdr:from>
    <xdr:to>
      <xdr:col>17</xdr:col>
      <xdr:colOff>95810</xdr:colOff>
      <xdr:row>12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23900" y="533401"/>
          <a:ext cx="9249335" cy="2066924"/>
        </a:xfrm>
        <a:prstGeom prst="rect">
          <a:avLst/>
        </a:prstGeom>
        <a:solidFill>
          <a:srgbClr val="32AB60">
            <a:alpha val="30196"/>
          </a:srgbClr>
        </a:solidFill>
        <a:ln w="9525" cmpd="sng">
          <a:solidFill>
            <a:srgbClr val="32AB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000" b="1">
              <a:solidFill>
                <a:srgbClr val="32AB60"/>
              </a:solidFill>
              <a:latin typeface="Arial" pitchFamily="34" charset="0"/>
              <a:ea typeface="+mn-ea"/>
              <a:cs typeface="Arial" pitchFamily="34" charset="0"/>
            </a:rPr>
            <a:t>About the model:</a:t>
          </a:r>
          <a:endParaRPr lang="en-US" sz="100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This model  depicts general information and financial summary of the subject company. It also calculates Enterprise value and various valuation ratios for the same.</a:t>
          </a:r>
          <a:b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en-US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It displays peer comparison with the help of different financial parameters and ratios.</a:t>
          </a:r>
        </a:p>
        <a:p>
          <a:endParaRPr lang="en-US" sz="100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en-US" sz="1000" b="1">
              <a:solidFill>
                <a:srgbClr val="32AB60"/>
              </a:solidFill>
              <a:latin typeface="Arial" pitchFamily="34" charset="0"/>
              <a:ea typeface="+mn-ea"/>
              <a:cs typeface="Arial" pitchFamily="34" charset="0"/>
            </a:rPr>
            <a:t>How model works:</a:t>
          </a:r>
          <a:br>
            <a:rPr lang="en-US" sz="1000" b="1">
              <a:solidFill>
                <a:srgbClr val="32AB60"/>
              </a:solidFill>
              <a:latin typeface="Arial" pitchFamily="34" charset="0"/>
              <a:ea typeface="+mn-ea"/>
              <a:cs typeface="Arial" pitchFamily="34" charset="0"/>
            </a:rPr>
          </a:b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Tab "Valuations"</a:t>
          </a:r>
          <a:endParaRPr lang="en-US" sz="1000"/>
        </a:p>
        <a:p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Enter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the RIC for subject company and choose the currency to retrieve valuation data for the same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  <a:b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en-US" sz="1000" b="1">
            <a:solidFill>
              <a:srgbClr val="32AB6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en-US" sz="10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Tab "Peers"</a:t>
          </a:r>
        </a:p>
        <a:p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User can enter the peers of ones choice or can choose to select automatic peers from the same sector derived using screener and ranked by market cap</a:t>
          </a:r>
          <a:r>
            <a:rPr lang="en-US" sz="10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. </a:t>
          </a:r>
          <a:br>
            <a:rPr lang="en-US" sz="10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</a:br>
          <a:br>
            <a:rPr lang="en-US" sz="1000" b="1">
              <a:solidFill>
                <a:srgbClr val="32AB60"/>
              </a:solidFill>
              <a:latin typeface="Arial" pitchFamily="34" charset="0"/>
              <a:ea typeface="+mn-ea"/>
              <a:cs typeface="Arial" pitchFamily="34" charset="0"/>
            </a:rPr>
          </a:br>
          <a:endParaRPr lang="en-US" sz="100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endParaRPr lang="en-US" sz="100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br>
            <a:rPr lang="en-US" sz="1000"/>
          </a:br>
          <a:br>
            <a:rPr lang="en-US" sz="1000"/>
          </a:br>
          <a:endParaRPr lang="en-US" sz="1000" b="1">
            <a:solidFill>
              <a:srgbClr val="32AB60"/>
            </a:solidFill>
            <a:latin typeface="Arial" pitchFamily="34" charset="0"/>
            <a:ea typeface="+mn-ea"/>
            <a:cs typeface="Arial" pitchFamily="34" charset="0"/>
          </a:endParaRPr>
        </a:p>
        <a:p>
          <a:endParaRPr lang="en-US" sz="1000" b="1">
            <a:solidFill>
              <a:srgbClr val="32AB6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</xdr:col>
      <xdr:colOff>38100</xdr:colOff>
      <xdr:row>15</xdr:row>
      <xdr:rowOff>47627</xdr:rowOff>
    </xdr:from>
    <xdr:to>
      <xdr:col>17</xdr:col>
      <xdr:colOff>180975</xdr:colOff>
      <xdr:row>22</xdr:row>
      <xdr:rowOff>28575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771525" y="2771777"/>
          <a:ext cx="9286875" cy="1314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Tab 'Valuation':</a:t>
          </a:r>
          <a:br>
            <a:rPr lang="en-US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A. RIC of subject Company: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 Cell E6</a:t>
          </a:r>
          <a:b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B.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Currency: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Cell E8</a:t>
          </a:r>
          <a:endParaRPr lang="en-US" sz="1000" b="0" baseline="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endParaRPr lang="en-US" sz="900">
            <a:latin typeface="Arial" pitchFamily="34" charset="0"/>
            <a:cs typeface="Arial" pitchFamily="34" charset="0"/>
          </a:endParaRPr>
        </a:p>
        <a:p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Tab 'Peers':</a:t>
          </a:r>
          <a:b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A. Number of Peers:</a:t>
          </a:r>
          <a:r>
            <a:rPr lang="en-US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Cell E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5 (Provision has been made for 50 peer companies).</a:t>
          </a:r>
        </a:p>
        <a:p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B. Option</a:t>
          </a:r>
          <a:r>
            <a:rPr lang="en-US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to choose method of selection of peers :</a:t>
          </a:r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Cell C8</a:t>
          </a:r>
          <a:endParaRPr lang="en-US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900">
            <a:latin typeface="Arial" pitchFamily="34" charset="0"/>
            <a:cs typeface="Arial" pitchFamily="34" charset="0"/>
          </a:endParaRPr>
        </a:p>
        <a:p>
          <a:endParaRPr lang="en-US" sz="1100"/>
        </a:p>
      </xdr:txBody>
    </xdr:sp>
    <xdr:clientData/>
  </xdr:twoCellAnchor>
  <xdr:twoCellAnchor editAs="oneCell">
    <xdr:from>
      <xdr:col>0</xdr:col>
      <xdr:colOff>35560</xdr:colOff>
      <xdr:row>0</xdr:row>
      <xdr:rowOff>83820</xdr:rowOff>
    </xdr:from>
    <xdr:to>
      <xdr:col>2</xdr:col>
      <xdr:colOff>445135</xdr:colOff>
      <xdr:row>0</xdr:row>
      <xdr:rowOff>321945</xdr:rowOff>
    </xdr:to>
    <xdr:pic>
      <xdr:nvPicPr>
        <xdr:cNvPr id="5" name="9C605C68-E37E-48F6-B0D6-328968F14016" descr="939929A8-E4CD-42DA-BF22-DF36397AADB8@t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" y="83820"/>
          <a:ext cx="11430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35560</xdr:colOff>
      <xdr:row>0</xdr:row>
      <xdr:rowOff>83820</xdr:rowOff>
    </xdr:from>
    <xdr:to>
      <xdr:col>3</xdr:col>
      <xdr:colOff>139469</xdr:colOff>
      <xdr:row>0</xdr:row>
      <xdr:rowOff>321945</xdr:rowOff>
    </xdr:to>
    <xdr:pic>
      <xdr:nvPicPr>
        <xdr:cNvPr id="4" name="9C605C68-E37E-48F6-B0D6-328968F14016" descr="939929A8-E4CD-42DA-BF22-DF36397AADB8@ten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" y="83820"/>
          <a:ext cx="1142134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35560</xdr:colOff>
      <xdr:row>0</xdr:row>
      <xdr:rowOff>83820</xdr:rowOff>
    </xdr:from>
    <xdr:to>
      <xdr:col>2</xdr:col>
      <xdr:colOff>445135</xdr:colOff>
      <xdr:row>0</xdr:row>
      <xdr:rowOff>321945</xdr:rowOff>
    </xdr:to>
    <xdr:pic>
      <xdr:nvPicPr>
        <xdr:cNvPr id="3" name="9C605C68-E37E-48F6-B0D6-328968F14016" descr="939929A8-E4CD-42DA-BF22-DF36397AADB8@ten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" y="83820"/>
          <a:ext cx="11430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R43"/>
  <sheetViews>
    <sheetView showGridLines="0" workbookViewId="0">
      <selection activeCell="A2" sqref="A2"/>
    </sheetView>
  </sheetViews>
  <sheetFormatPr defaultRowHeight="16.5"/>
  <cols>
    <col min="1" max="1" width="3.75" customWidth="1"/>
    <col min="2" max="2" width="7.25" customWidth="1"/>
  </cols>
  <sheetData>
    <row r="1" spans="1:18" ht="33" customHeight="1" thickBot="1">
      <c r="A1" s="103"/>
      <c r="B1" s="103"/>
      <c r="C1" s="103" t="s">
        <v>508</v>
      </c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</row>
    <row r="2" spans="1:18">
      <c r="A2" s="113"/>
    </row>
    <row r="14" spans="1:18">
      <c r="C14" s="28" t="s">
        <v>485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</row>
    <row r="32" spans="3:3">
      <c r="C32" s="29"/>
    </row>
    <row r="33" spans="3:3">
      <c r="C33" s="29"/>
    </row>
    <row r="34" spans="3:3">
      <c r="C34" s="29"/>
    </row>
    <row r="35" spans="3:3">
      <c r="C35" s="29"/>
    </row>
    <row r="36" spans="3:3">
      <c r="C36" s="29"/>
    </row>
    <row r="37" spans="3:3">
      <c r="C37" s="29"/>
    </row>
    <row r="38" spans="3:3">
      <c r="C38" s="29"/>
    </row>
    <row r="39" spans="3:3">
      <c r="C39" s="29"/>
    </row>
    <row r="40" spans="3:3">
      <c r="C40" s="29"/>
    </row>
    <row r="41" spans="3:3">
      <c r="C41" s="29"/>
    </row>
    <row r="42" spans="3:3">
      <c r="C42" s="29"/>
    </row>
    <row r="43" spans="3:3">
      <c r="C43" s="29"/>
    </row>
  </sheetData>
  <phoneticPr fontId="141" type="noConversion"/>
  <pageMargins left="0.7" right="0.7" top="0.75" bottom="0.75" header="0.3" footer="0.3"/>
  <pageSetup orientation="portrait" r:id="rId1"/>
  <headerFooter>
    <oddFooter>&amp;L&amp;1#&amp;"Calibri"&amp;8&amp;K000000Sensitivity: Confidential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J158"/>
  <sheetViews>
    <sheetView tabSelected="1" zoomScaleNormal="100" workbookViewId="0">
      <selection activeCell="L15" sqref="L15"/>
    </sheetView>
  </sheetViews>
  <sheetFormatPr defaultColWidth="9.125" defaultRowHeight="16.5" outlineLevelCol="1"/>
  <cols>
    <col min="1" max="1" width="3.75" style="1" customWidth="1"/>
    <col min="2" max="2" width="7.25" style="1" customWidth="1"/>
    <col min="3" max="3" width="4.625" style="1" customWidth="1"/>
    <col min="4" max="4" width="29.875" style="1" bestFit="1" customWidth="1"/>
    <col min="5" max="5" width="18.625" style="1" bestFit="1" customWidth="1"/>
    <col min="6" max="6" width="14.875" style="1" customWidth="1"/>
    <col min="7" max="8" width="13.125" style="1" customWidth="1"/>
    <col min="9" max="9" width="10.875" style="1" customWidth="1"/>
    <col min="10" max="10" width="10.75" style="1" bestFit="1" customWidth="1"/>
    <col min="11" max="11" width="9.125" style="1"/>
    <col min="12" max="12" width="11.125" style="1" bestFit="1" customWidth="1"/>
    <col min="13" max="13" width="10.75" style="1" bestFit="1" customWidth="1"/>
    <col min="14" max="15" width="9.125" style="1"/>
    <col min="16" max="16" width="2.625" style="1" customWidth="1"/>
    <col min="17" max="28" width="9.125" style="1"/>
    <col min="29" max="29" width="35.875" style="6" hidden="1" customWidth="1" outlineLevel="1"/>
    <col min="30" max="30" width="9.125" style="6" hidden="1" customWidth="1" outlineLevel="1"/>
    <col min="31" max="31" width="20.25" style="6" hidden="1" customWidth="1" outlineLevel="1"/>
    <col min="32" max="32" width="9" style="6" hidden="1" customWidth="1" outlineLevel="1"/>
    <col min="33" max="35" width="9.125" style="6" hidden="1" customWidth="1" outlineLevel="1"/>
    <col min="36" max="36" width="9.125" style="1" collapsed="1"/>
    <col min="37" max="16384" width="9.125" style="1"/>
  </cols>
  <sheetData>
    <row r="1" spans="1:36" ht="33" customHeight="1" thickBot="1">
      <c r="A1" s="103"/>
      <c r="B1" s="103"/>
      <c r="C1" s="103" t="s">
        <v>512</v>
      </c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</row>
    <row r="4" spans="1:36" ht="9" customHeight="1">
      <c r="AF4" s="16"/>
    </row>
    <row r="5" spans="1:36" ht="9" customHeight="1">
      <c r="AC5" s="6" t="s">
        <v>11</v>
      </c>
      <c r="AD5" s="6" t="str">
        <f>_xll.TR($E$6,"TR.CompanyMarketCap.Currency",)</f>
        <v>Retrieving...</v>
      </c>
    </row>
    <row r="6" spans="1:36">
      <c r="D6" s="32" t="s">
        <v>0</v>
      </c>
      <c r="E6" s="104" t="s">
        <v>522</v>
      </c>
      <c r="AC6" s="6" t="s">
        <v>361</v>
      </c>
      <c r="AD6" s="6" t="s">
        <v>362</v>
      </c>
    </row>
    <row r="7" spans="1:36">
      <c r="D7" s="32" t="s">
        <v>1</v>
      </c>
      <c r="E7" s="105" t="str">
        <f>_xll.TR($E$6,"TR.CommonName","Null=BLANK")</f>
        <v>Retrieving...</v>
      </c>
      <c r="AC7" s="6" t="s">
        <v>12</v>
      </c>
      <c r="AD7" s="6" t="s">
        <v>13</v>
      </c>
    </row>
    <row r="8" spans="1:36">
      <c r="D8" s="32" t="s">
        <v>304</v>
      </c>
      <c r="E8" s="104" t="s">
        <v>11</v>
      </c>
      <c r="F8" s="97" t="str">
        <f>VLOOKUP($E$8,$AC$5:$AD$164,2,FALSE)</f>
        <v>Retrieving...</v>
      </c>
      <c r="AC8" s="6" t="s">
        <v>14</v>
      </c>
      <c r="AD8" s="6" t="s">
        <v>15</v>
      </c>
    </row>
    <row r="9" spans="1:36">
      <c r="D9" s="32" t="s">
        <v>2</v>
      </c>
      <c r="E9" s="106" t="str">
        <f>_xll.TR($E$6,"TR.PriceClose.Date","Null=BLANK")</f>
        <v>Retrieving...</v>
      </c>
      <c r="AC9" s="6" t="s">
        <v>16</v>
      </c>
      <c r="AD9" s="6" t="s">
        <v>17</v>
      </c>
    </row>
    <row r="10" spans="1:36">
      <c r="D10" s="32" t="s">
        <v>10</v>
      </c>
      <c r="E10" s="33" t="str">
        <f>_xll.TR($E$6,"TR.NetIncome(period=FY0).PED","Null=BLANK")</f>
        <v>Retrieving...</v>
      </c>
      <c r="AC10" s="6" t="s">
        <v>18</v>
      </c>
      <c r="AD10" s="6" t="s">
        <v>19</v>
      </c>
    </row>
    <row r="11" spans="1:36">
      <c r="D11" s="32" t="s">
        <v>305</v>
      </c>
      <c r="E11" s="33" t="str">
        <f>_xll.TR($E$6,"TR.NetIncome(period=FI0).PED","Null=BLANK")</f>
        <v>Retrieving...</v>
      </c>
      <c r="H11" s="2"/>
      <c r="AC11" s="6" t="s">
        <v>20</v>
      </c>
      <c r="AD11" s="6" t="s">
        <v>21</v>
      </c>
    </row>
    <row r="12" spans="1:36">
      <c r="E12" s="2"/>
      <c r="H12" s="2"/>
      <c r="J12" s="17"/>
      <c r="AC12" s="6" t="s">
        <v>22</v>
      </c>
      <c r="AD12" s="6" t="s">
        <v>23</v>
      </c>
    </row>
    <row r="13" spans="1:36" ht="15.95" customHeight="1">
      <c r="D13" s="34" t="s">
        <v>366</v>
      </c>
      <c r="E13" s="34"/>
      <c r="F13" s="34"/>
      <c r="G13" s="34"/>
      <c r="H13" s="34"/>
      <c r="AC13" s="6" t="s">
        <v>24</v>
      </c>
      <c r="AD13" s="6" t="s">
        <v>25</v>
      </c>
    </row>
    <row r="14" spans="1:36" ht="132.75" customHeight="1">
      <c r="D14" s="114" t="str">
        <f>_xll.TR($E$6,"TR.BusinessSummary","Null=BLANK")</f>
        <v>Retrieving...</v>
      </c>
      <c r="E14" s="115"/>
      <c r="F14" s="115"/>
      <c r="G14" s="115"/>
      <c r="H14" s="116"/>
      <c r="K14" s="99"/>
      <c r="AC14" s="6" t="s">
        <v>26</v>
      </c>
      <c r="AD14" s="6" t="s">
        <v>27</v>
      </c>
    </row>
    <row r="15" spans="1:36" ht="15.95" customHeight="1">
      <c r="D15"/>
      <c r="AC15" s="6" t="s">
        <v>28</v>
      </c>
      <c r="AD15" s="6" t="s">
        <v>29</v>
      </c>
    </row>
    <row r="16" spans="1:36" ht="15.95" customHeight="1">
      <c r="AC16" s="6" t="s">
        <v>30</v>
      </c>
      <c r="AD16" s="6" t="s">
        <v>31</v>
      </c>
    </row>
    <row r="17" spans="4:30">
      <c r="E17" s="2"/>
      <c r="H17" s="2"/>
      <c r="AC17" s="6" t="s">
        <v>32</v>
      </c>
      <c r="AD17" s="6" t="s">
        <v>33</v>
      </c>
    </row>
    <row r="18" spans="4:30" ht="15.95" customHeight="1">
      <c r="D18" s="34" t="s">
        <v>457</v>
      </c>
      <c r="E18" s="34"/>
      <c r="F18" s="34"/>
      <c r="AC18" s="6" t="s">
        <v>34</v>
      </c>
      <c r="AD18" s="6" t="s">
        <v>35</v>
      </c>
    </row>
    <row r="19" spans="4:30" ht="18" customHeight="1">
      <c r="D19" s="35"/>
      <c r="E19" s="36" t="s">
        <v>470</v>
      </c>
      <c r="F19" s="36" t="s">
        <v>471</v>
      </c>
    </row>
    <row r="20" spans="4:30" ht="12.75" customHeight="1">
      <c r="D20" s="32"/>
      <c r="E20" s="39" t="str">
        <f>" as of "&amp;TEXT($E$10,"DD MMM' YY")</f>
        <v xml:space="preserve"> as of Retrieving...</v>
      </c>
      <c r="F20" s="39" t="str">
        <f>"as of "&amp;TEXT($E$9,"DD MMM 'YY")</f>
        <v>as of Retrieving...</v>
      </c>
      <c r="AC20" s="6" t="s">
        <v>36</v>
      </c>
      <c r="AD20" s="6" t="s">
        <v>37</v>
      </c>
    </row>
    <row r="21" spans="4:30">
      <c r="D21" s="32" t="str">
        <f>"Price in "&amp;$F$8&amp;""</f>
        <v>Price in Retrieving...</v>
      </c>
      <c r="E21" s="32" t="str">
        <f>_xll.TR($E$6,"TR.PriceClose","sdate=#1 Curn=#2 Null=BLANK",,$E$10,$F$8)</f>
        <v>Retrieving...</v>
      </c>
      <c r="F21" s="32" t="str">
        <f>_xll.TR($E$6,"TR.PriceClose","Curn=#1 Null=BLANK",,$F$8)</f>
        <v>Retrieving...</v>
      </c>
      <c r="AC21" s="6" t="s">
        <v>38</v>
      </c>
      <c r="AD21" s="6" t="s">
        <v>39</v>
      </c>
    </row>
    <row r="22" spans="4:30">
      <c r="D22" s="32" t="s">
        <v>3</v>
      </c>
      <c r="E22" s="40" t="str">
        <f>_xll.TR($E$6,"TR.CompanySharesOutstanding","sdate=#1 Scale=6 Null=BLANK",,$E$10)</f>
        <v>Retrieving...</v>
      </c>
      <c r="F22" s="40" t="str">
        <f>_xll.TR($E$6,"TR.CompanySharesOutstanding","Scale=6 Null=BLANK")</f>
        <v>Retrieving...</v>
      </c>
      <c r="G22" s="2"/>
      <c r="AC22" s="6" t="s">
        <v>40</v>
      </c>
      <c r="AD22" s="6" t="s">
        <v>41</v>
      </c>
    </row>
    <row r="23" spans="4:30">
      <c r="D23" s="32" t="s">
        <v>4</v>
      </c>
      <c r="E23" s="40" t="str">
        <f>_xll.TR($E$6,"TR.CompanyMarketCap","Sdate=#1 Curn=#2 Scale=6 Null=BLANK",,$E$10,$F$8)</f>
        <v>Retrieving...</v>
      </c>
      <c r="F23" s="40" t="str">
        <f>_xll.TR($E$6,"TR.CompanyMarketCap","Curn=#1 Scale=6 Null=BLANK",,$F$8)</f>
        <v>Retrieving...</v>
      </c>
      <c r="AC23" s="6" t="s">
        <v>42</v>
      </c>
      <c r="AD23" s="6" t="s">
        <v>43</v>
      </c>
    </row>
    <row r="24" spans="4:30">
      <c r="D24" s="41" t="s">
        <v>5</v>
      </c>
      <c r="E24" s="40" t="str">
        <f>_xll.TR($E$6,"TR.CashandSTInvestments","Period=FY0 Curn=#1 Scale=6 NULL=BLANK",,$F$8)</f>
        <v>Retrieving...</v>
      </c>
      <c r="F24" s="40" t="str">
        <f>_xll.TR($E$6,"TR.CashandSTInvestments","Period=FI0 Curn=#1 Scale=6 NULL=BLANK",,$F$8)</f>
        <v>Retrieving...</v>
      </c>
      <c r="AC24" s="6" t="s">
        <v>44</v>
      </c>
      <c r="AD24" s="6" t="s">
        <v>45</v>
      </c>
    </row>
    <row r="25" spans="4:30">
      <c r="D25" s="41" t="s">
        <v>452</v>
      </c>
      <c r="E25" s="40" t="str">
        <f>_xll.TR($E$6,"TR.LTInvestmentAffiliateCompanies","Period=FY0 Curn=#1 Scale=6 NULL=BLANK",,$F$8)</f>
        <v>Retrieving...</v>
      </c>
      <c r="F25" s="40" t="str">
        <f>_xll.TR($E$6,"TR.LTInvestmentAffiliateCompanies","Period=FI0 Curn=#1 Scale=6 NULL=BLANK",,$F$8)</f>
        <v>Retrieving...</v>
      </c>
    </row>
    <row r="26" spans="4:30">
      <c r="D26" s="41" t="s">
        <v>6</v>
      </c>
      <c r="E26" s="40" t="str">
        <f>_xll.TR($E$6,"TR.TotalDebtOutstanding","Period=FY0 Curn=#1 Scale=6 NULL=BLANK",,$F$8)</f>
        <v>Retrieving...</v>
      </c>
      <c r="F26" s="40" t="str">
        <f>_xll.TR($E$6,"TR.TotalDebtOutstanding","Period=FI0 Curn=#1 Scale=6 NULL=BLANK",,$F$8)</f>
        <v>Retrieving...</v>
      </c>
      <c r="AC26" s="6" t="s">
        <v>46</v>
      </c>
      <c r="AD26" s="6" t="s">
        <v>47</v>
      </c>
    </row>
    <row r="27" spans="4:30">
      <c r="D27" s="41" t="s">
        <v>7</v>
      </c>
      <c r="E27" s="40" t="str">
        <f>_xll.TR($E$6,"TR.RedeemablePreferredTtl+TR.PreferredStockNonRedeemableNet","Period=FY0 Curn=#1 Scale=6 Null=BLANK",,$F$8)</f>
        <v>Retrieving...</v>
      </c>
      <c r="F27" s="40" t="str">
        <f>_xll.TR($E$6,"TR.RedeemablePreferredTtl+TR.PreferredStockNonRedeemableNet","Period=FI0 Curn=#1 Scale=6 Null=BLANK",,$F$8)</f>
        <v>Retrieving...</v>
      </c>
      <c r="AC27" s="6" t="s">
        <v>48</v>
      </c>
      <c r="AD27" s="6" t="s">
        <v>49</v>
      </c>
    </row>
    <row r="28" spans="4:30">
      <c r="D28" s="41" t="s">
        <v>8</v>
      </c>
      <c r="E28" s="40" t="str">
        <f>_xll.TR($E$6,"TR.MinorityInterestBSStmt","Period=FY0 Curn=#1 Scale=6 Null=BLANK",,$F$8)</f>
        <v>Retrieving...</v>
      </c>
      <c r="F28" s="40" t="str">
        <f>_xll.TR($E$6,"TR.MinorityInterestBSStmt","Period=FI0 Curn=#1 Scale=6 Null=BLANK",,$F$8)</f>
        <v>Retrieving...</v>
      </c>
      <c r="AC28" s="6" t="s">
        <v>50</v>
      </c>
      <c r="AD28" s="6" t="s">
        <v>51</v>
      </c>
    </row>
    <row r="29" spans="4:30">
      <c r="D29" s="41" t="s">
        <v>453</v>
      </c>
      <c r="E29" s="40" t="str">
        <f>_xll.TR($E$6,"TR.PensionBenefitsUnderfunded","Period=FY0 Curn=#1 Scale=6 NULL=BLANK",,$F$8)</f>
        <v>Retrieving...</v>
      </c>
      <c r="F29" s="40" t="str">
        <f>_xll.TR($E$6,"TR.PensionBenefitsUnderfunded","Period=FY0 Curn=#1 Scale=6 NULL=BLANK",,$F$8)</f>
        <v>Retrieving...</v>
      </c>
    </row>
    <row r="30" spans="4:30">
      <c r="D30" s="41" t="s">
        <v>454</v>
      </c>
      <c r="E30" s="40"/>
      <c r="F30" s="40"/>
    </row>
    <row r="31" spans="4:30">
      <c r="D31" s="41" t="s">
        <v>9</v>
      </c>
      <c r="E31" s="42">
        <f>SUM(E23,E26:E30)-SUM(E24:E25)</f>
        <v>0</v>
      </c>
      <c r="F31" s="42">
        <f>SUM(F23,F26:F30)-SUM(F24:F25)</f>
        <v>0</v>
      </c>
      <c r="AC31" s="6" t="s">
        <v>52</v>
      </c>
      <c r="AD31" s="6" t="s">
        <v>53</v>
      </c>
    </row>
    <row r="32" spans="4:30">
      <c r="D32" s="13" t="s">
        <v>509</v>
      </c>
      <c r="AC32" s="6" t="s">
        <v>54</v>
      </c>
      <c r="AD32" s="6" t="s">
        <v>55</v>
      </c>
    </row>
    <row r="33" spans="4:30">
      <c r="AC33" s="6" t="s">
        <v>56</v>
      </c>
      <c r="AD33" s="6" t="s">
        <v>57</v>
      </c>
    </row>
    <row r="34" spans="4:30" ht="15.95" customHeight="1">
      <c r="D34" s="34" t="s">
        <v>306</v>
      </c>
      <c r="E34" s="34"/>
      <c r="F34" s="34"/>
      <c r="G34" s="34"/>
      <c r="H34" s="34"/>
      <c r="I34" s="34"/>
      <c r="AC34" s="6" t="s">
        <v>58</v>
      </c>
      <c r="AD34" s="6" t="s">
        <v>59</v>
      </c>
    </row>
    <row r="35" spans="4:30" ht="17.25" thickBot="1">
      <c r="AC35" s="6" t="s">
        <v>60</v>
      </c>
      <c r="AD35" s="6" t="s">
        <v>61</v>
      </c>
    </row>
    <row r="36" spans="4:30" ht="17.25" thickBot="1">
      <c r="D36" s="10"/>
      <c r="E36" s="11" t="str">
        <f>TEXT(_xll.TR($E$6,"TR.NetIncome.PED","Period=FY0"),"MM/YYYY")&amp;"A"</f>
        <v>Retrieving...A</v>
      </c>
      <c r="F36" s="96" t="str">
        <f>TEXT($E$11,"MM/YYYY")&amp;"LTM"</f>
        <v>Retrieving...LTM</v>
      </c>
      <c r="G36" s="95" t="str">
        <f>TEXT(_xll.TR($E$6,"TR.NetIncomeMeanEstimate.PED","Period=FY1"),"MM/YYYY")&amp;"E"</f>
        <v>Retrieving...E</v>
      </c>
      <c r="H36" s="27" t="str">
        <f>TEXT(_xll.TR($E$6,"TR.NetIncomeMeanEstimate.PED","Period=FY2"),"MM/YYYY")&amp;"E"</f>
        <v>Retrieving...E</v>
      </c>
      <c r="I36" s="12" t="str">
        <f>TEXT(_xll.TR($E$6,"TR.NetIncomeMeanEstimate.PED","Period=FY3"),"MM/YYYY")&amp;"E"</f>
        <v>Retrieving...E</v>
      </c>
      <c r="J36" s="2"/>
      <c r="AC36" s="6" t="s">
        <v>62</v>
      </c>
      <c r="AD36" s="6" t="s">
        <v>63</v>
      </c>
    </row>
    <row r="37" spans="4:30">
      <c r="D37" s="9" t="s">
        <v>307</v>
      </c>
      <c r="E37" s="19" t="str">
        <f>IFERROR(E31/H51,"-")</f>
        <v>-</v>
      </c>
      <c r="F37" s="19" t="str">
        <f>IFERROR(F31/F51,"-")</f>
        <v>-</v>
      </c>
      <c r="G37" s="45" t="str">
        <f>IFERROR($F$31/I51,"")</f>
        <v/>
      </c>
      <c r="H37" s="45">
        <f t="shared" ref="H37:I37" si="0">IFERROR($F$31/J51,"")</f>
        <v>0</v>
      </c>
      <c r="I37" s="45">
        <f t="shared" si="0"/>
        <v>0</v>
      </c>
      <c r="AC37" s="6" t="s">
        <v>64</v>
      </c>
      <c r="AD37" s="6" t="s">
        <v>65</v>
      </c>
    </row>
    <row r="38" spans="4:30">
      <c r="D38" s="7" t="s">
        <v>308</v>
      </c>
      <c r="E38" s="20" t="str">
        <f>IFERROR(E31/H55,"-")</f>
        <v>-</v>
      </c>
      <c r="F38" s="20" t="str">
        <f>IFERROR(F31/F55,"-")</f>
        <v>-</v>
      </c>
      <c r="G38" s="46" t="str">
        <f>IFERROR($F$31/I55,"")</f>
        <v/>
      </c>
      <c r="H38" s="46">
        <f t="shared" ref="H38:I38" si="1">IFERROR($F$31/J55,"")</f>
        <v>0</v>
      </c>
      <c r="I38" s="46">
        <f t="shared" si="1"/>
        <v>0</v>
      </c>
      <c r="AC38" s="6" t="s">
        <v>66</v>
      </c>
      <c r="AD38" s="6" t="s">
        <v>67</v>
      </c>
    </row>
    <row r="39" spans="4:30">
      <c r="D39" s="7" t="s">
        <v>309</v>
      </c>
      <c r="E39" s="20" t="str">
        <f>IFERROR(E31/H57,"-")</f>
        <v>-</v>
      </c>
      <c r="F39" s="20" t="str">
        <f>IFERROR(F31/F57,"-")</f>
        <v>-</v>
      </c>
      <c r="G39" s="46" t="str">
        <f>IFERROR($F$31/I57,"")</f>
        <v/>
      </c>
      <c r="H39" s="46">
        <f t="shared" ref="H39:I39" si="2">IFERROR($F$31/J57,"")</f>
        <v>0</v>
      </c>
      <c r="I39" s="46">
        <f t="shared" si="2"/>
        <v>0</v>
      </c>
      <c r="AC39" s="6" t="s">
        <v>68</v>
      </c>
      <c r="AD39" s="6" t="s">
        <v>69</v>
      </c>
    </row>
    <row r="40" spans="4:30">
      <c r="D40" s="7" t="s">
        <v>310</v>
      </c>
      <c r="E40" s="50" t="str">
        <f>_xll.TR($E$6,"TR.EBITDA/(TR.InterestExpenseSupplemental)","Period=FY0 Curn=#1 Null=BLANK",,$F$8)</f>
        <v>Retrieving...</v>
      </c>
      <c r="F40" s="50" t="str">
        <f>_xll.TR($E$6,"TR.EBITDA/TR.InterestExpenseSupplemental","Period=LTM Curn=#1 Null=BLANK",,$F$8)</f>
        <v>Retrieving...</v>
      </c>
      <c r="G40" s="43" t="str">
        <f>_xll.TR($E$6,"TR.EBITDAMean/TR.IntExpMean","Period=FY1 Curn=#1 NULL=BLANK",,$F$8)</f>
        <v>Retrieving...</v>
      </c>
      <c r="H40" s="44" t="str">
        <f>_xll.TR($E$6,"TR.EBITDAMean/TR.IntExpMean","Period=FY2 Curn=#1 NULL=BLANK",,$F$8)</f>
        <v>Retrieving...</v>
      </c>
      <c r="I40" s="44" t="str">
        <f>_xll.TR($E$6,"TR.EBITDAMean/TR.IntExpMean","Period=FY3 Curn=#1 NULL=BLANK",,$F$8)</f>
        <v>Retrieving...</v>
      </c>
      <c r="J40" s="3"/>
      <c r="M40" s="3"/>
      <c r="N40" s="3"/>
      <c r="O40" s="3"/>
      <c r="AC40" s="6" t="s">
        <v>70</v>
      </c>
      <c r="AD40" s="6" t="s">
        <v>71</v>
      </c>
    </row>
    <row r="41" spans="4:30">
      <c r="D41" s="7" t="s">
        <v>311</v>
      </c>
      <c r="E41" s="50" t="str">
        <f>_xll.TR($E$6,"TR.EBIT/TR.InterestExpenseSupplemental","Period=FY0 Curn=#1 Null=BLANK",,$F$8)</f>
        <v>Retrieving...</v>
      </c>
      <c r="F41" s="50" t="str">
        <f>_xll.TR($E$6,"TR.EBIT/TR.InterestExpenseSupplemental","Period=LTM Curn=#1 Null=BLANK",,$F$8)</f>
        <v>Retrieving...</v>
      </c>
      <c r="G41" s="44" t="str">
        <f>_xll.TR($E$6,"TR.EBITMean/TR.IntExpMean","Period=FY1:FY3 Curn=#1 Transpose=Y NULL=BLANK",,$F$8)</f>
        <v>Retrieving...</v>
      </c>
      <c r="H41" s="44">
        <v>3.49730837973279</v>
      </c>
      <c r="I41" s="44">
        <v>3.4874424406894202</v>
      </c>
      <c r="J41" s="3"/>
      <c r="AC41" s="6" t="s">
        <v>72</v>
      </c>
      <c r="AD41" s="6" t="s">
        <v>73</v>
      </c>
    </row>
    <row r="42" spans="4:30">
      <c r="D42" s="7" t="s">
        <v>312</v>
      </c>
      <c r="E42" s="50" t="str">
        <f>_xll.TR($E$6,"(TR.EBITDA-TR.CapitalExpendituresCFStmt)/(TR.InterestExpenseSupplemental)","Period=FY0 Curn=#1 Null=BLANK",,$F$8)</f>
        <v>Retrieving...</v>
      </c>
      <c r="F42" s="50" t="str">
        <f>_xll.TR($E$6,"(TR.EBITDATTM-TR.CapitalExpendituresCFStmt(Period=LTM))/TR.InterestExpenseSupplemental(Methodology=InterimSum)"," Null=BLANK")</f>
        <v>Retrieving...</v>
      </c>
      <c r="G42" s="44" t="str">
        <f>_xll.TR($E$6,"(TR.EBITMean-TR.CAPEXMean)/TR.IntExpMean","Period=FY1:FY3 Curn=#1 Transpose=Y NULL=BLANK",,$F$8)</f>
        <v>Retrieving...</v>
      </c>
      <c r="H42" s="44">
        <v>-1.8833024173333099</v>
      </c>
      <c r="I42" s="44">
        <v>-1.48842416409942</v>
      </c>
      <c r="AC42" s="6" t="s">
        <v>74</v>
      </c>
      <c r="AD42" s="6" t="s">
        <v>75</v>
      </c>
    </row>
    <row r="43" spans="4:30">
      <c r="D43" s="7" t="s">
        <v>313</v>
      </c>
      <c r="E43" s="20" t="str">
        <f>_xll.TR($E$6,"TR.TotalDebtOutstanding/TR.EBITDA","Period=FY0 NULL=BLANK")</f>
        <v>Retrieving...</v>
      </c>
      <c r="F43" s="20" t="str">
        <f>_xll.TR($E$6,"TR.TotalDebtOutstanding(Period=FI0)/TR.EBITDATTM","NULL=BLANK")</f>
        <v>Retrieving...</v>
      </c>
      <c r="G43" s="44" t="s">
        <v>359</v>
      </c>
      <c r="H43" s="44" t="s">
        <v>359</v>
      </c>
      <c r="I43" s="44" t="s">
        <v>359</v>
      </c>
      <c r="AC43" s="6" t="s">
        <v>76</v>
      </c>
      <c r="AD43" s="6" t="s">
        <v>77</v>
      </c>
    </row>
    <row r="44" spans="4:30">
      <c r="D44" s="7" t="s">
        <v>314</v>
      </c>
      <c r="E44" s="20" t="str">
        <f>_xll.TR($E$6,"TR.TotalDebtOutstanding(Period=FY0)/TR.EV*100","Curn=#1 NULL=BLANK",,$F$8)</f>
        <v>Retrieving...</v>
      </c>
      <c r="F44" s="20" t="str">
        <f>_xll.TR($E$6,"TR.TotalDebtOutstanding(Period=FI0)/TR.EV*100","Curn=#1 NULL=BLANK",,$F$8)</f>
        <v>Retrieving...</v>
      </c>
      <c r="G44" s="44" t="s">
        <v>359</v>
      </c>
      <c r="H44" s="44" t="s">
        <v>359</v>
      </c>
      <c r="I44" s="44" t="s">
        <v>359</v>
      </c>
      <c r="AC44" s="6" t="s">
        <v>78</v>
      </c>
      <c r="AD44" s="6" t="s">
        <v>79</v>
      </c>
    </row>
    <row r="45" spans="4:30">
      <c r="D45" s="8" t="s">
        <v>315</v>
      </c>
      <c r="E45" s="21" t="str">
        <f>_xll.TR($E$6,"TR.PriceClose(sdate=#1)//TR.DilutedEpsExclExtra(Period=FY0)","Curn=#2 NULL=BLANK",,$E$10,$F$8)</f>
        <v>Retrieving...</v>
      </c>
      <c r="F45" s="21" t="str">
        <f>_xll.TR($E$6,"TR.PriceClose//TR.DilutedEpsExclExtra(Period=LTM)","Curn=#1 Methodology=InterimSum NULL=BLANK",,$F$8)</f>
        <v>Retrieving...</v>
      </c>
      <c r="G45" s="47" t="str">
        <f>_xll.TR($E$6,"TR.PtoEPSMeanEst","Period=FY1 Curn=#1 NULL=BLANK",,$F$8)</f>
        <v>Retrieving...</v>
      </c>
      <c r="H45" s="48" t="str">
        <f>_xll.TR($E$6,"TR.PtoEPSMeanEst","Period=FY2 Curn=#1 NULL=BLANK",,$F$8)</f>
        <v>Retrieving...</v>
      </c>
      <c r="I45" s="48" t="str">
        <f>_xll.TR($E$6,"TR.PtoEPSMeanEst","Period=FY2 Curn=#1 NULL=BLANK",,$F$8)</f>
        <v>Retrieving...</v>
      </c>
      <c r="AC45" s="6" t="s">
        <v>80</v>
      </c>
      <c r="AD45" s="6" t="s">
        <v>81</v>
      </c>
    </row>
    <row r="46" spans="4:30">
      <c r="D46" s="13" t="s">
        <v>510</v>
      </c>
      <c r="E46" s="14"/>
      <c r="F46" s="14"/>
      <c r="G46" s="15"/>
      <c r="H46" s="15"/>
      <c r="AC46" s="6" t="s">
        <v>82</v>
      </c>
      <c r="AD46" s="6" t="s">
        <v>83</v>
      </c>
    </row>
    <row r="47" spans="4:30">
      <c r="AC47" s="6" t="s">
        <v>84</v>
      </c>
      <c r="AD47" s="6" t="s">
        <v>85</v>
      </c>
    </row>
    <row r="48" spans="4:30" ht="15.95" customHeight="1">
      <c r="D48" s="34" t="s">
        <v>316</v>
      </c>
      <c r="E48" s="34"/>
      <c r="F48" s="34"/>
      <c r="G48" s="34"/>
      <c r="H48" s="34"/>
      <c r="I48" s="34"/>
      <c r="J48" s="34"/>
      <c r="K48" s="34"/>
      <c r="L48" s="34"/>
      <c r="AC48" s="6" t="s">
        <v>86</v>
      </c>
      <c r="AD48" s="6" t="s">
        <v>87</v>
      </c>
    </row>
    <row r="49" spans="4:30">
      <c r="AC49" s="6" t="s">
        <v>88</v>
      </c>
      <c r="AD49" s="6" t="s">
        <v>89</v>
      </c>
    </row>
    <row r="50" spans="4:30" ht="20.100000000000001" customHeight="1">
      <c r="D50" s="34" t="str">
        <f>_xll.TR(E6,"TR.InterimFrequency",)</f>
        <v>Retrieving...</v>
      </c>
      <c r="E50" s="34" t="str">
        <f>TEXT($E$11,"MMM 'YY")&amp;LEFT(D50,1)</f>
        <v>Retrieving...R</v>
      </c>
      <c r="F50" s="34" t="str">
        <f>TEXT($E$11,"MMM 'YY")&amp;"LTM"</f>
        <v>Retrieving...LTM</v>
      </c>
      <c r="G50" s="53" t="str">
        <f>TEXT(_xll.TR($E$6,"TR.NetIncome.PED","Period=FY-1"),"MMM 'YY")&amp;"A"</f>
        <v>Retrieving...A</v>
      </c>
      <c r="H50" s="53" t="str">
        <f>TEXT(_xll.TR($E$6,"TR.NetIncome.PED","Period=FY0"),"MMM 'YY")&amp;"A"</f>
        <v>Retrieving...A</v>
      </c>
      <c r="I50" s="55" t="str">
        <f>TEXT(_xll.TR($E$6,"TR.NetIncomeMeanEstimate.PED","Period=FY1"),"MMM 'YY")&amp;"E"</f>
        <v>Retrieving...E</v>
      </c>
      <c r="J50" s="55" t="str">
        <f>TEXT(_xll.TR($E$6,"TR.NetIncomeMeanEstimate.PED","Period=FY2"),"MMM 'YY")&amp;"E"</f>
        <v>Retrieving...E</v>
      </c>
      <c r="K50" s="55" t="str">
        <f>TEXT(_xll.TR($E$6,"TR.NetIncomeMeanEstimate.PED","Period=FY3"),"MMM 'YY")&amp;"E"</f>
        <v>Retrieving...E</v>
      </c>
      <c r="L50" s="55" t="s">
        <v>455</v>
      </c>
      <c r="M50" s="4"/>
      <c r="AC50" s="6" t="s">
        <v>90</v>
      </c>
      <c r="AD50" s="6" t="s">
        <v>91</v>
      </c>
    </row>
    <row r="51" spans="4:30">
      <c r="D51" s="31" t="s">
        <v>317</v>
      </c>
      <c r="E51" s="38" t="str">
        <f>_xll.TR($E$6,"TR.TotalRevenue","Period=FI0 Curn=#1 Scale=6 NULL=BLANK",,$F$8)</f>
        <v>Retrieving...</v>
      </c>
      <c r="F51" s="38" t="str">
        <f>_xll.TR($E$6,"TR.TotalRevenue(Methodology=InterimSum)","Period=LTM Curn=#1 Scale=6 NULL=BLANK",,$F$8)</f>
        <v>Retrieving...</v>
      </c>
      <c r="G51" s="38" t="str">
        <f>_xll.TR($E$6,"TR.TotalRevenue","Period=FY-1 Curn=#1 Scale=6 NULL=BLANK",,$F$8)</f>
        <v>Retrieving...</v>
      </c>
      <c r="H51" s="38" t="str">
        <f>_xll.TR($E$6,"TR.TotalRevenue","Period=FY0 Curn=#1 Scale=6 NULL=BLANK",,$F$8)</f>
        <v>Retrieving...</v>
      </c>
      <c r="I51" s="38" t="str">
        <f>_xll.TR($E$6,"TR.RevenueMeanEstimate","Period=FY1:FY3 Curn=#1 Scale=6 NULL=BLANK Transpose=Y",,$F$8)</f>
        <v>Retrieving...</v>
      </c>
      <c r="J51" s="38">
        <v>37502.429274702001</v>
      </c>
      <c r="K51" s="38">
        <v>37981.3374241122</v>
      </c>
      <c r="L51" s="54" t="str">
        <f>IFERROR((K51/H51)^(1/3)-1,"")</f>
        <v/>
      </c>
      <c r="M51" s="4"/>
      <c r="AC51" s="6" t="s">
        <v>92</v>
      </c>
      <c r="AD51" s="6" t="s">
        <v>93</v>
      </c>
    </row>
    <row r="52" spans="4:30">
      <c r="D52" s="32" t="s">
        <v>357</v>
      </c>
      <c r="E52" s="52" t="str">
        <f>_xll.TR($E$6,"PERCENT_CHG(TR.TotalRevenue(period=FI0),TR.TotalRevenue(period=FI-1))","NULL=BLANK",,$F$8)</f>
        <v>Retrieving...</v>
      </c>
      <c r="F52" s="52" t="str">
        <f>_xll.TR($E$6,"PERCENT_CHG(TR.TotalRevenue(Sdate=FI0),TR.TotalRevenue(Sdate=FI-4))","period=LTM NULL=BLANK",,$F$8)</f>
        <v>Retrieving...</v>
      </c>
      <c r="G52" s="52" t="str">
        <f>_xll.TR($E$6,"PERCENT_CHG(TR.TotalRevenue(period=FY-1),TR.TotalRevenue(period=FY-2))","NULL=BLANK",,$F$8)</f>
        <v>Retrieving...</v>
      </c>
      <c r="H52" s="52" t="str">
        <f>_xll.TR($E$6,"PERCENT_CHG(TR.TotalRevenue(period=FY0),TR.TotalRevenue(period=FY-1))","NULL=BLANK",,$F$8)</f>
        <v>Retrieving...</v>
      </c>
      <c r="I52" s="52" t="str">
        <f>_xll.TR($E$6,"PERCENT_CHG(TR.RevenueMeanEstimate(period=FY1),TR.TotalRevenue(period=FY0))","NULL=BLANK",,$F$8)</f>
        <v>Retrieving...</v>
      </c>
      <c r="J52" s="52" t="str">
        <f>_xll.TR($E$6,"PERCENT_CHG(TR.RevenueMeanEstimate(period=FY2),TR.RevenueMeanEstimate(period=FY1))","NULL=BLANK",,$F$8)</f>
        <v>Retrieving...</v>
      </c>
      <c r="K52" s="101" t="str">
        <f>_xll.TR($E$6,"PERCENT_CHG(TR.RevenueMeanEstimate(period=FY3),TR.RevenueMeanEstimate(period=FY2))","NULL=BLANK",,$F$8)</f>
        <v>Retrieving...</v>
      </c>
      <c r="L52" s="52"/>
      <c r="M52" s="4"/>
      <c r="AC52" s="6" t="s">
        <v>94</v>
      </c>
      <c r="AD52" s="6" t="s">
        <v>95</v>
      </c>
    </row>
    <row r="53" spans="4:30">
      <c r="D53" s="32" t="s">
        <v>318</v>
      </c>
      <c r="E53" s="40" t="str">
        <f>_xll.TR($E$6,"TR.GrossProfit","Period=FI0 Curn=#1 Scale=6 NULL=BLANK",,$F$8)</f>
        <v>Retrieving...</v>
      </c>
      <c r="F53" s="40" t="str">
        <f>_xll.TR($E$6,"TR.GrossProfit(Methodology=InterimSum)","Period=LTM Curn=#1 Scale=6 NULL=BLANK",,$F$8)</f>
        <v>Retrieving...</v>
      </c>
      <c r="G53" s="40" t="str">
        <f>_xll.TR($E$6,"TR.GrossProfit","Period=FY-1 Curn=#1 Scale=6 NULL=BLANK",,$F$8)</f>
        <v>Retrieving...</v>
      </c>
      <c r="H53" s="40" t="str">
        <f>_xll.TR($E$6,"TR.GrossProfit","Period=FY0 Curn=#1 Scale=6 NULL=BLANK",,$F$8)</f>
        <v>Retrieving...</v>
      </c>
      <c r="I53" s="40" t="str">
        <f>_xll.TR($E$6,"TR.GrossIncomeMean","Period=FY1:FY3 Curn=#1 Scale=6 Transpose=Y NULL=BLANK",,$F$8)</f>
        <v>Retrieving...</v>
      </c>
      <c r="J53" s="40">
        <v>17641.2456785504</v>
      </c>
      <c r="K53" s="100">
        <v>17648.806609280098</v>
      </c>
      <c r="L53" s="51" t="str">
        <f>IFERROR((K53/H53)^(1/3)-1,"")</f>
        <v/>
      </c>
      <c r="M53" s="4"/>
      <c r="AC53" s="6" t="s">
        <v>96</v>
      </c>
      <c r="AD53" s="6" t="s">
        <v>97</v>
      </c>
    </row>
    <row r="54" spans="4:30">
      <c r="D54" s="32" t="s">
        <v>358</v>
      </c>
      <c r="E54" s="52" t="str">
        <f>_xll.TR($E$6,"TR.GrossMargin","Period=FI0 Scale=6 NULL=BLANK")</f>
        <v>Retrieving...</v>
      </c>
      <c r="F54" s="52" t="str">
        <f>_xll.TR($E$6,"TR.GrossMargin(Methodology=InterimSum)","Period=LTM Scale=6 NULL=BLANK")</f>
        <v>Retrieving...</v>
      </c>
      <c r="G54" s="52" t="str">
        <f>_xll.TR($E$6,"TR.GrossMargin","Period=FY-1 Scale=6 NULL=BLANK")</f>
        <v>Retrieving...</v>
      </c>
      <c r="H54" s="52" t="str">
        <f>_xll.TR($E$6,"TR.GrossMargin","Period=FY0 Scale=6 NULL=BLANK")</f>
        <v>Retrieving...</v>
      </c>
      <c r="I54" s="52" t="str">
        <f>_xll.TR($E$6,"TR.GPMMean","Period=FY1:FY3 Transpose=Y NULL=BLANK")</f>
        <v>Retrieving...</v>
      </c>
      <c r="J54" s="52">
        <v>32</v>
      </c>
      <c r="K54" s="52">
        <v>32.299999999999997</v>
      </c>
      <c r="L54" s="52"/>
      <c r="AC54" s="6" t="s">
        <v>98</v>
      </c>
      <c r="AD54" s="6" t="s">
        <v>99</v>
      </c>
    </row>
    <row r="55" spans="4:30">
      <c r="D55" s="32" t="s">
        <v>319</v>
      </c>
      <c r="E55" s="40" t="str">
        <f>_xll.TR($E$6,"TR.EBITDA","Period=FI0 Curn=#1 Scale=6 NULL=BLANK",,$F$8)</f>
        <v>Retrieving...</v>
      </c>
      <c r="F55" s="40" t="str">
        <f>_xll.TR($E$6,"TR.EBITDATTM","Curn=#1 Scale=6 NULL=BLANK",,$F$8)</f>
        <v>Retrieving...</v>
      </c>
      <c r="G55" s="40" t="str">
        <f>_xll.TR($E$6,"TR.EBITDA","Period=FY-1 Curn=#1 Scale=6 NULL=BLANK",,$F$8)</f>
        <v>Retrieving...</v>
      </c>
      <c r="H55" s="40" t="str">
        <f>_xll.TR($E$6,"TR.EBITDA","Period=FY0 Curn=#1 Scale=6 NULL=BLANK",,$F$8)</f>
        <v>Retrieving...</v>
      </c>
      <c r="I55" s="40" t="str">
        <f>_xll.TR($E$6,"TR.EBITDAMean","Period=FY1:FY3 Curn=#1 Scale=6 Transpose=Y NULL=BLANK",,$F$8)</f>
        <v>Retrieving...</v>
      </c>
      <c r="J55" s="40">
        <v>11252.957070036</v>
      </c>
      <c r="K55" s="40">
        <v>11523.4994911093</v>
      </c>
      <c r="L55" s="51" t="str">
        <f>IFERROR((K55/H55)^(1/3)-1,"")</f>
        <v/>
      </c>
      <c r="AC55" s="6" t="s">
        <v>100</v>
      </c>
      <c r="AD55" s="6" t="s">
        <v>101</v>
      </c>
    </row>
    <row r="56" spans="4:30">
      <c r="D56" s="32" t="s">
        <v>358</v>
      </c>
      <c r="E56" s="52" t="str">
        <f>_xll.TR($E$6,"TR.EBITDAMarginPercent","Period=FI0 NULL=BLANK",,$F$8)</f>
        <v>Retrieving...</v>
      </c>
      <c r="F56" s="52" t="str">
        <f>_xll.TR($E$6,"TR.EBITDAMarginPercent","Period=LTM NULL=BLANK",,$F$8)</f>
        <v>Retrieving...</v>
      </c>
      <c r="G56" s="52" t="str">
        <f>_xll.TR($E$6,"TR.EBITDAMarginPercent","Period=FY-1 NULL=BLANK",,$F$8)</f>
        <v>Retrieving...</v>
      </c>
      <c r="H56" s="52" t="str">
        <f>_xll.TR($E$6,"TR.EBITDAMarginPercent","Period=FY0 NULL=BLANK",,$F$8)</f>
        <v>Retrieving...</v>
      </c>
      <c r="I56" s="52" t="str">
        <f>_xll.TR($E$6,"TR.EBITDAMean/TR.RevenueMeanEstimate*100","Period=FY1:FY3 Transpose=Y NULL=BLANK")</f>
        <v>Retrieving...</v>
      </c>
      <c r="J56" s="52">
        <v>30.005941715426101</v>
      </c>
      <c r="K56" s="52">
        <v>30.339899204796598</v>
      </c>
      <c r="L56" s="52"/>
      <c r="P56" s="5"/>
      <c r="AC56" s="6" t="s">
        <v>102</v>
      </c>
      <c r="AD56" s="6" t="s">
        <v>103</v>
      </c>
    </row>
    <row r="57" spans="4:30">
      <c r="D57" s="32" t="s">
        <v>320</v>
      </c>
      <c r="E57" s="40" t="str">
        <f>_xll.TR($E$6,"TR.EBIT","Period=FI0 Curn=#1 Scale=6 NULL=BLANK",,$F$8)</f>
        <v>Retrieving...</v>
      </c>
      <c r="F57" s="40" t="str">
        <f>_xll.TR($E$6,"TR.EBITTTM","Curn=#1 Scale=6 NULL=BLANK",,$F$8)</f>
        <v>Retrieving...</v>
      </c>
      <c r="G57" s="40" t="str">
        <f>_xll.TR($E$6,"TR.EBIT","Period=FY-1 Curn=#1 Scale=6 NULL=BLANK",,$F$8)</f>
        <v>Retrieving...</v>
      </c>
      <c r="H57" s="40" t="str">
        <f>_xll.TR($E$6,"TR.EBIT","Period=FY0 Curn=#1 Scale=6 NULL=BLANK",,$F$8)</f>
        <v>Retrieving...</v>
      </c>
      <c r="I57" s="40" t="str">
        <f>_xll.TR($E$6,"TR.EBITMean","Period=FY1:FY3 Curn=#1 Scale=6 Transpose=Y NULL=BLANK",,$F$8)</f>
        <v>Retrieving...</v>
      </c>
      <c r="J57" s="40">
        <v>4256.4961981138104</v>
      </c>
      <c r="K57" s="40">
        <v>4522.2954955964296</v>
      </c>
      <c r="L57" s="51" t="str">
        <f>IFERROR((K57/H57)^(1/3)-1,"")</f>
        <v/>
      </c>
      <c r="P57" s="5"/>
      <c r="AC57" s="6" t="s">
        <v>104</v>
      </c>
      <c r="AD57" s="6" t="s">
        <v>105</v>
      </c>
    </row>
    <row r="58" spans="4:30">
      <c r="D58" s="32" t="s">
        <v>358</v>
      </c>
      <c r="E58" s="52" t="str">
        <f>_xll.TR($E$6,"TR.EBITMarginPercent","Period=FI0 NULL=BLANK",,$F$8)</f>
        <v>Retrieving...</v>
      </c>
      <c r="F58" s="52" t="str">
        <f>_xll.TR($E$6,"TR.EBITMarginPercent","Period=LTM Curn=#1 Scale=6 NULL=BLANK",,$F$8)</f>
        <v>Retrieving...</v>
      </c>
      <c r="G58" s="52" t="str">
        <f>_xll.TR($E$6,"TR.EBITMarginPercent","Period=FY-1 NULL=BLANK",,$F$8)</f>
        <v>Retrieving...</v>
      </c>
      <c r="H58" s="52" t="str">
        <f>_xll.TR($E$6,"TR.EBITMarginPercent","Period=FY0 NULL=BLANK",,$F$8)</f>
        <v>Retrieving...</v>
      </c>
      <c r="I58" s="52" t="str">
        <f>_xll.TR($E$6,"TR.EBITMean/TR.RevenueMeanEstimate*100","Period=FY1:FY3 Transpose=Y NULL=BLANK")</f>
        <v>Retrieving...</v>
      </c>
      <c r="J58" s="52">
        <v>11.349921272927</v>
      </c>
      <c r="K58" s="52">
        <v>11.9066252067403</v>
      </c>
      <c r="L58" s="52"/>
      <c r="P58" s="5"/>
      <c r="AC58" s="6" t="s">
        <v>106</v>
      </c>
      <c r="AD58" s="6" t="s">
        <v>107</v>
      </c>
    </row>
    <row r="59" spans="4:30">
      <c r="D59" s="32" t="s">
        <v>321</v>
      </c>
      <c r="E59" s="40" t="str">
        <f>_xll.TR($E$6,"TR.NetIncome","Period=FI0 Curn=#1 Scale=6 NULL=BLANK",,$F$8)</f>
        <v>Retrieving...</v>
      </c>
      <c r="F59" s="40" t="str">
        <f>_xll.TR($E$6,"TR.NetIncome(Methodology=InterimSum)","Period=LTM Curn=#1 Scale=6 NULL=BLANK",,$F$8)</f>
        <v>Retrieving...</v>
      </c>
      <c r="G59" s="40" t="str">
        <f>_xll.TR($E$6,"TR.NetIncome","Period=FY-1 Curn=#1 Scale=6 NULL=BLANK",,$F$8)</f>
        <v>Retrieving...</v>
      </c>
      <c r="H59" s="40" t="str">
        <f>_xll.TR($E$6,"TR.NetIncome","Period=FY0 Curn=#1 Scale=6 NULL=BLANK",,$F$8)</f>
        <v>Retrieving...</v>
      </c>
      <c r="I59" s="40" t="str">
        <f>_xll.TR($E$6,"TR.NetIncomeMeanEstimate","Period=FY1:FY3 Curn=#1 Scale=6 Transpose=Y NULL=BLANK",,$F$8)</f>
        <v>Retrieving...</v>
      </c>
      <c r="J59" s="40">
        <v>2358.9024621652902</v>
      </c>
      <c r="K59" s="40">
        <v>2522.2699391367501</v>
      </c>
      <c r="L59" s="51" t="str">
        <f>IFERROR((K59/H59)^(1/3)-1,"")</f>
        <v/>
      </c>
      <c r="P59" s="5"/>
      <c r="AC59" s="6" t="s">
        <v>108</v>
      </c>
      <c r="AD59" s="6" t="s">
        <v>109</v>
      </c>
    </row>
    <row r="60" spans="4:30">
      <c r="D60" s="32" t="s">
        <v>358</v>
      </c>
      <c r="E60" s="52" t="str">
        <f>_xll.TR($E$6,"TR.NetProfitMargin","Period=FI0 Curn=#1 Scale=6 NULL=BLANK",,$F$8)</f>
        <v>Retrieving...</v>
      </c>
      <c r="F60" s="52" t="str">
        <f>_xll.TR($E$6,"TR.NetProfitMargin(Methodology=InterimSum)","Period=LTM Curn=#1 Scale=6 NULL=BLANK",,$F$8)</f>
        <v>Retrieving...</v>
      </c>
      <c r="G60" s="52" t="str">
        <f>_xll.TR($E$6,"TR.NetProfitMargin","Period=FY-1 Curn=#1 Scale=6 NULL=BLANK",,$F$8)</f>
        <v>Retrieving...</v>
      </c>
      <c r="H60" s="52" t="str">
        <f>_xll.TR($E$6,"TR.NetProfitMargin","Period=FY0 Curn=#1 Scale=6 NULL=BLANK",,$F$8)</f>
        <v>Retrieving...</v>
      </c>
      <c r="I60" s="52" t="str">
        <f>_xll.TR($E$6,"TR.NetIncomeMeanEstimate/TR.RevenueMeanEstimate*100","Period=FY1:FY3 Transpose=Y NULL=BLANK")</f>
        <v>Retrieving...</v>
      </c>
      <c r="J60" s="52">
        <v>6.2899990954893497</v>
      </c>
      <c r="K60" s="52">
        <v>6.6408139107168598</v>
      </c>
      <c r="L60" s="52"/>
      <c r="P60" s="5"/>
      <c r="AC60" s="6" t="s">
        <v>110</v>
      </c>
      <c r="AD60" s="6" t="s">
        <v>111</v>
      </c>
    </row>
    <row r="61" spans="4:30">
      <c r="D61" s="32" t="s">
        <v>450</v>
      </c>
      <c r="E61" s="40" t="str">
        <f>_xll.TR($E$6,"TR.CapitalExpendituresCFStmt","Period=FI0 Curn=#1 Scale=6 NULL=BLANK",,$F$8)</f>
        <v>Retrieving...</v>
      </c>
      <c r="F61" s="40" t="str">
        <f>_xll.TR($E$6,"TR.CapitalExpendituresCFStmt","Period=LTM Curn=#1 Scale=6 NULL=BLANK",,$F$8)</f>
        <v>Retrieving...</v>
      </c>
      <c r="G61" s="40" t="str">
        <f>_xll.TR($E$6,"TR.CapitalExpendituresCFStmt","Period=FY-1 Curn=#1 Scale=6 NULL=BLANK",,$F$8)</f>
        <v>Retrieving...</v>
      </c>
      <c r="H61" s="40" t="str">
        <f>_xll.TR($E$6,"TR.CapitalExpendituresCFStmt","Period=FY0 Curn=#1 Scale=6 NULL=BLANK",,$F$8)</f>
        <v>Retrieving...</v>
      </c>
      <c r="I61" s="40" t="str">
        <f>_xll.TR($E$6,"TR.CAPEXMean","Period=FY1:FY3 Curn=#1 Scale=6 Transpose=Y NULL=BLANK",,$F$8)</f>
        <v>Retrieving...</v>
      </c>
      <c r="J61" s="40">
        <v>6548.6216582913503</v>
      </c>
      <c r="K61" s="40">
        <v>6452.3901157424898</v>
      </c>
      <c r="L61" s="51" t="str">
        <f>IFERROR((K61/H61)^(1/3)-1,"")</f>
        <v/>
      </c>
      <c r="P61" s="5"/>
    </row>
    <row r="62" spans="4:30">
      <c r="D62" s="32" t="s">
        <v>456</v>
      </c>
      <c r="E62" s="52" t="str">
        <f>_xll.TR($E$6,"TR.CapitalExpendituresCFStmt/TR.TotalRevenue*100","Period=FI0 Curn=#1 Scale=6 NULL=BLANK",,$F$8)</f>
        <v>Retrieving...</v>
      </c>
      <c r="F62" s="52" t="str">
        <f>_xll.TR($E$6,"TR.CapitalExpendituresCFStmt/TR.TotalRevenue*100","Period=LTM Curn=#1 Scale=6 NULL=BLANK",,$F$8)</f>
        <v>Retrieving...</v>
      </c>
      <c r="G62" s="52" t="str">
        <f>_xll.TR($E$6,"TR.CapitalExpendituresCFStmt/TR.TotalRevenue*100","Period=FY-1 Curn=#1 Scale=6 NULL=BLANK",,$F$8)</f>
        <v>Retrieving...</v>
      </c>
      <c r="H62" s="52" t="str">
        <f>_xll.TR($E$6,"TR.CapitalExpendituresCFStmt/TR.TotalRevenue*100","Period=FY0 Curn=#1 Scale=6 NULL=BLANK",,$F$8)</f>
        <v>Retrieving...</v>
      </c>
      <c r="I62" s="52" t="str">
        <f>_xll.TR($E$6,"TR.CAPEXMean/TR.RevenueMeanEstimate*100","Period=FY1:FY3 Transpose=Y NULL=BLANK")</f>
        <v>Retrieving...</v>
      </c>
      <c r="J62" s="52">
        <v>17.435380155952199</v>
      </c>
      <c r="K62" s="52">
        <v>16.962555651916698</v>
      </c>
      <c r="L62" s="52"/>
      <c r="P62" s="5"/>
    </row>
    <row r="63" spans="4:30">
      <c r="D63" s="13" t="s">
        <v>511</v>
      </c>
      <c r="P63" s="5"/>
      <c r="AC63" s="6" t="s">
        <v>112</v>
      </c>
      <c r="AD63" s="6" t="s">
        <v>113</v>
      </c>
    </row>
    <row r="64" spans="4:30">
      <c r="P64" s="5"/>
      <c r="AC64" s="6" t="s">
        <v>114</v>
      </c>
      <c r="AD64" s="6" t="s">
        <v>115</v>
      </c>
    </row>
    <row r="65" spans="16:30">
      <c r="P65" s="5"/>
      <c r="AC65" s="6" t="s">
        <v>116</v>
      </c>
      <c r="AD65" s="6" t="s">
        <v>117</v>
      </c>
    </row>
    <row r="66" spans="16:30">
      <c r="AC66" s="6" t="s">
        <v>118</v>
      </c>
      <c r="AD66" s="6" t="s">
        <v>119</v>
      </c>
    </row>
    <row r="67" spans="16:30">
      <c r="AC67" s="6" t="s">
        <v>120</v>
      </c>
      <c r="AD67" s="6" t="s">
        <v>121</v>
      </c>
    </row>
    <row r="68" spans="16:30">
      <c r="AC68" s="6" t="s">
        <v>122</v>
      </c>
      <c r="AD68" s="6" t="s">
        <v>123</v>
      </c>
    </row>
    <row r="69" spans="16:30">
      <c r="AC69" s="6" t="s">
        <v>124</v>
      </c>
      <c r="AD69" s="6" t="s">
        <v>125</v>
      </c>
    </row>
    <row r="70" spans="16:30">
      <c r="AC70" s="6" t="s">
        <v>126</v>
      </c>
      <c r="AD70" s="6" t="s">
        <v>127</v>
      </c>
    </row>
    <row r="71" spans="16:30">
      <c r="AC71" s="6" t="s">
        <v>128</v>
      </c>
      <c r="AD71" s="6" t="s">
        <v>129</v>
      </c>
    </row>
    <row r="72" spans="16:30">
      <c r="AC72" s="6" t="s">
        <v>130</v>
      </c>
      <c r="AD72" s="6" t="s">
        <v>131</v>
      </c>
    </row>
    <row r="73" spans="16:30">
      <c r="AC73" s="6" t="s">
        <v>132</v>
      </c>
      <c r="AD73" s="6" t="s">
        <v>133</v>
      </c>
    </row>
    <row r="74" spans="16:30">
      <c r="AC74" s="6" t="s">
        <v>134</v>
      </c>
      <c r="AD74" s="6" t="s">
        <v>135</v>
      </c>
    </row>
    <row r="75" spans="16:30">
      <c r="AC75" s="6" t="s">
        <v>136</v>
      </c>
      <c r="AD75" s="6" t="s">
        <v>137</v>
      </c>
    </row>
    <row r="76" spans="16:30">
      <c r="AC76" s="6" t="s">
        <v>138</v>
      </c>
      <c r="AD76" s="6" t="s">
        <v>139</v>
      </c>
    </row>
    <row r="77" spans="16:30">
      <c r="AC77" s="6" t="s">
        <v>140</v>
      </c>
      <c r="AD77" s="6" t="s">
        <v>141</v>
      </c>
    </row>
    <row r="78" spans="16:30">
      <c r="AC78" s="6" t="s">
        <v>142</v>
      </c>
      <c r="AD78" s="6" t="s">
        <v>143</v>
      </c>
    </row>
    <row r="79" spans="16:30">
      <c r="AC79" s="6" t="s">
        <v>144</v>
      </c>
      <c r="AD79" s="6" t="s">
        <v>145</v>
      </c>
    </row>
    <row r="80" spans="16:30">
      <c r="AC80" s="6" t="s">
        <v>146</v>
      </c>
      <c r="AD80" s="6" t="s">
        <v>147</v>
      </c>
    </row>
    <row r="81" spans="29:30">
      <c r="AC81" s="6" t="s">
        <v>148</v>
      </c>
      <c r="AD81" s="6" t="s">
        <v>149</v>
      </c>
    </row>
    <row r="82" spans="29:30">
      <c r="AC82" s="6" t="s">
        <v>150</v>
      </c>
      <c r="AD82" s="6" t="s">
        <v>151</v>
      </c>
    </row>
    <row r="83" spans="29:30">
      <c r="AC83" s="6" t="s">
        <v>152</v>
      </c>
      <c r="AD83" s="6" t="s">
        <v>153</v>
      </c>
    </row>
    <row r="84" spans="29:30">
      <c r="AC84" s="6" t="s">
        <v>154</v>
      </c>
      <c r="AD84" s="6" t="s">
        <v>155</v>
      </c>
    </row>
    <row r="85" spans="29:30">
      <c r="AC85" s="6" t="s">
        <v>156</v>
      </c>
      <c r="AD85" s="6" t="s">
        <v>157</v>
      </c>
    </row>
    <row r="86" spans="29:30">
      <c r="AC86" s="6" t="s">
        <v>158</v>
      </c>
      <c r="AD86" s="6" t="s">
        <v>159</v>
      </c>
    </row>
    <row r="87" spans="29:30">
      <c r="AC87" s="6" t="s">
        <v>160</v>
      </c>
      <c r="AD87" s="6" t="s">
        <v>161</v>
      </c>
    </row>
    <row r="88" spans="29:30">
      <c r="AC88" s="6" t="s">
        <v>162</v>
      </c>
      <c r="AD88" s="6" t="s">
        <v>163</v>
      </c>
    </row>
    <row r="89" spans="29:30">
      <c r="AC89" s="6" t="s">
        <v>164</v>
      </c>
      <c r="AD89" s="6" t="s">
        <v>165</v>
      </c>
    </row>
    <row r="90" spans="29:30">
      <c r="AC90" s="6" t="s">
        <v>166</v>
      </c>
      <c r="AD90" s="6" t="s">
        <v>167</v>
      </c>
    </row>
    <row r="91" spans="29:30">
      <c r="AC91" s="6" t="s">
        <v>168</v>
      </c>
      <c r="AD91" s="6" t="s">
        <v>169</v>
      </c>
    </row>
    <row r="92" spans="29:30">
      <c r="AC92" s="6" t="s">
        <v>170</v>
      </c>
      <c r="AD92" s="6" t="s">
        <v>171</v>
      </c>
    </row>
    <row r="93" spans="29:30">
      <c r="AC93" s="6" t="s">
        <v>172</v>
      </c>
      <c r="AD93" s="6" t="s">
        <v>173</v>
      </c>
    </row>
    <row r="94" spans="29:30">
      <c r="AC94" s="6" t="s">
        <v>174</v>
      </c>
      <c r="AD94" s="6" t="s">
        <v>175</v>
      </c>
    </row>
    <row r="95" spans="29:30">
      <c r="AC95" s="6" t="s">
        <v>176</v>
      </c>
      <c r="AD95" s="6" t="s">
        <v>177</v>
      </c>
    </row>
    <row r="96" spans="29:30">
      <c r="AC96" s="6" t="s">
        <v>178</v>
      </c>
      <c r="AD96" s="6" t="s">
        <v>179</v>
      </c>
    </row>
    <row r="97" spans="29:30">
      <c r="AC97" s="6" t="s">
        <v>180</v>
      </c>
      <c r="AD97" s="6" t="s">
        <v>181</v>
      </c>
    </row>
    <row r="98" spans="29:30">
      <c r="AC98" s="6" t="s">
        <v>182</v>
      </c>
      <c r="AD98" s="6" t="s">
        <v>183</v>
      </c>
    </row>
    <row r="99" spans="29:30">
      <c r="AC99" s="6" t="s">
        <v>184</v>
      </c>
      <c r="AD99" s="6" t="s">
        <v>185</v>
      </c>
    </row>
    <row r="100" spans="29:30">
      <c r="AC100" s="6" t="s">
        <v>186</v>
      </c>
      <c r="AD100" s="6" t="s">
        <v>187</v>
      </c>
    </row>
    <row r="101" spans="29:30">
      <c r="AC101" s="6" t="s">
        <v>188</v>
      </c>
      <c r="AD101" s="6" t="s">
        <v>189</v>
      </c>
    </row>
    <row r="102" spans="29:30">
      <c r="AC102" s="6" t="s">
        <v>190</v>
      </c>
      <c r="AD102" s="6" t="s">
        <v>191</v>
      </c>
    </row>
    <row r="103" spans="29:30">
      <c r="AC103" s="6" t="s">
        <v>192</v>
      </c>
      <c r="AD103" s="6" t="s">
        <v>193</v>
      </c>
    </row>
    <row r="104" spans="29:30">
      <c r="AC104" s="6" t="s">
        <v>194</v>
      </c>
      <c r="AD104" s="6" t="s">
        <v>195</v>
      </c>
    </row>
    <row r="105" spans="29:30">
      <c r="AC105" s="6" t="s">
        <v>196</v>
      </c>
      <c r="AD105" s="6" t="s">
        <v>197</v>
      </c>
    </row>
    <row r="106" spans="29:30">
      <c r="AC106" s="6" t="s">
        <v>198</v>
      </c>
      <c r="AD106" s="6" t="s">
        <v>199</v>
      </c>
    </row>
    <row r="107" spans="29:30">
      <c r="AC107" s="6" t="s">
        <v>200</v>
      </c>
      <c r="AD107" s="6" t="s">
        <v>201</v>
      </c>
    </row>
    <row r="108" spans="29:30">
      <c r="AC108" s="6" t="s">
        <v>202</v>
      </c>
      <c r="AD108" s="6" t="s">
        <v>203</v>
      </c>
    </row>
    <row r="109" spans="29:30">
      <c r="AC109" s="6" t="s">
        <v>204</v>
      </c>
      <c r="AD109" s="6" t="s">
        <v>205</v>
      </c>
    </row>
    <row r="110" spans="29:30">
      <c r="AC110" s="6" t="s">
        <v>206</v>
      </c>
      <c r="AD110" s="6" t="s">
        <v>207</v>
      </c>
    </row>
    <row r="111" spans="29:30">
      <c r="AC111" s="6" t="s">
        <v>208</v>
      </c>
      <c r="AD111" s="6" t="s">
        <v>209</v>
      </c>
    </row>
    <row r="112" spans="29:30">
      <c r="AC112" s="6" t="s">
        <v>210</v>
      </c>
      <c r="AD112" s="6" t="s">
        <v>211</v>
      </c>
    </row>
    <row r="113" spans="29:30">
      <c r="AC113" s="6" t="s">
        <v>212</v>
      </c>
      <c r="AD113" s="6" t="s">
        <v>213</v>
      </c>
    </row>
    <row r="114" spans="29:30">
      <c r="AC114" s="6" t="s">
        <v>214</v>
      </c>
      <c r="AD114" s="6" t="s">
        <v>215</v>
      </c>
    </row>
    <row r="115" spans="29:30">
      <c r="AC115" s="6" t="s">
        <v>216</v>
      </c>
      <c r="AD115" s="6" t="s">
        <v>217</v>
      </c>
    </row>
    <row r="116" spans="29:30">
      <c r="AC116" s="6" t="s">
        <v>218</v>
      </c>
      <c r="AD116" s="6" t="s">
        <v>219</v>
      </c>
    </row>
    <row r="117" spans="29:30">
      <c r="AC117" s="6" t="s">
        <v>220</v>
      </c>
      <c r="AD117" s="6" t="s">
        <v>221</v>
      </c>
    </row>
    <row r="118" spans="29:30">
      <c r="AC118" s="6" t="s">
        <v>222</v>
      </c>
      <c r="AD118" s="6" t="s">
        <v>223</v>
      </c>
    </row>
    <row r="119" spans="29:30">
      <c r="AC119" s="6" t="s">
        <v>224</v>
      </c>
      <c r="AD119" s="6" t="s">
        <v>225</v>
      </c>
    </row>
    <row r="120" spans="29:30">
      <c r="AC120" s="6" t="s">
        <v>226</v>
      </c>
      <c r="AD120" s="6" t="s">
        <v>227</v>
      </c>
    </row>
    <row r="121" spans="29:30">
      <c r="AC121" s="6" t="s">
        <v>228</v>
      </c>
      <c r="AD121" s="6" t="s">
        <v>229</v>
      </c>
    </row>
    <row r="122" spans="29:30">
      <c r="AC122" s="6" t="s">
        <v>230</v>
      </c>
      <c r="AD122" s="6" t="s">
        <v>231</v>
      </c>
    </row>
    <row r="123" spans="29:30">
      <c r="AC123" s="6" t="s">
        <v>232</v>
      </c>
      <c r="AD123" s="6" t="s">
        <v>233</v>
      </c>
    </row>
    <row r="124" spans="29:30">
      <c r="AC124" s="6" t="s">
        <v>234</v>
      </c>
      <c r="AD124" s="6" t="s">
        <v>235</v>
      </c>
    </row>
    <row r="125" spans="29:30">
      <c r="AC125" s="6" t="s">
        <v>236</v>
      </c>
      <c r="AD125" s="6" t="s">
        <v>237</v>
      </c>
    </row>
    <row r="126" spans="29:30">
      <c r="AC126" s="6" t="s">
        <v>238</v>
      </c>
      <c r="AD126" s="6" t="s">
        <v>239</v>
      </c>
    </row>
    <row r="127" spans="29:30">
      <c r="AC127" s="6" t="s">
        <v>240</v>
      </c>
      <c r="AD127" s="6" t="s">
        <v>241</v>
      </c>
    </row>
    <row r="128" spans="29:30">
      <c r="AC128" s="6" t="s">
        <v>242</v>
      </c>
      <c r="AD128" s="6" t="s">
        <v>243</v>
      </c>
    </row>
    <row r="129" spans="29:30">
      <c r="AC129" s="6" t="s">
        <v>244</v>
      </c>
      <c r="AD129" s="6" t="s">
        <v>245</v>
      </c>
    </row>
    <row r="130" spans="29:30">
      <c r="AC130" s="6" t="s">
        <v>246</v>
      </c>
      <c r="AD130" s="6" t="s">
        <v>247</v>
      </c>
    </row>
    <row r="131" spans="29:30">
      <c r="AC131" s="6" t="s">
        <v>248</v>
      </c>
      <c r="AD131" s="6" t="s">
        <v>249</v>
      </c>
    </row>
    <row r="132" spans="29:30">
      <c r="AC132" s="6" t="s">
        <v>250</v>
      </c>
      <c r="AD132" s="6" t="s">
        <v>251</v>
      </c>
    </row>
    <row r="133" spans="29:30">
      <c r="AC133" s="6" t="s">
        <v>252</v>
      </c>
      <c r="AD133" s="6" t="s">
        <v>253</v>
      </c>
    </row>
    <row r="134" spans="29:30">
      <c r="AC134" s="6" t="s">
        <v>254</v>
      </c>
      <c r="AD134" s="6" t="s">
        <v>255</v>
      </c>
    </row>
    <row r="135" spans="29:30">
      <c r="AC135" s="6" t="s">
        <v>256</v>
      </c>
      <c r="AD135" s="6" t="s">
        <v>257</v>
      </c>
    </row>
    <row r="136" spans="29:30">
      <c r="AC136" s="6" t="s">
        <v>258</v>
      </c>
      <c r="AD136" s="6" t="s">
        <v>259</v>
      </c>
    </row>
    <row r="137" spans="29:30">
      <c r="AC137" s="6" t="s">
        <v>260</v>
      </c>
      <c r="AD137" s="6" t="s">
        <v>261</v>
      </c>
    </row>
    <row r="138" spans="29:30">
      <c r="AC138" s="6" t="s">
        <v>262</v>
      </c>
      <c r="AD138" s="6" t="s">
        <v>263</v>
      </c>
    </row>
    <row r="139" spans="29:30">
      <c r="AC139" s="6" t="s">
        <v>264</v>
      </c>
      <c r="AD139" s="6" t="s">
        <v>265</v>
      </c>
    </row>
    <row r="140" spans="29:30">
      <c r="AC140" s="6" t="s">
        <v>266</v>
      </c>
      <c r="AD140" s="6" t="s">
        <v>267</v>
      </c>
    </row>
    <row r="141" spans="29:30">
      <c r="AC141" s="6" t="s">
        <v>268</v>
      </c>
      <c r="AD141" s="6" t="s">
        <v>269</v>
      </c>
    </row>
    <row r="142" spans="29:30">
      <c r="AC142" s="6" t="s">
        <v>270</v>
      </c>
      <c r="AD142" s="6" t="s">
        <v>271</v>
      </c>
    </row>
    <row r="143" spans="29:30">
      <c r="AC143" s="6" t="s">
        <v>272</v>
      </c>
      <c r="AD143" s="6" t="s">
        <v>273</v>
      </c>
    </row>
    <row r="144" spans="29:30">
      <c r="AC144" s="6" t="s">
        <v>274</v>
      </c>
      <c r="AD144" s="6" t="s">
        <v>275</v>
      </c>
    </row>
    <row r="145" spans="29:30">
      <c r="AC145" s="6" t="s">
        <v>276</v>
      </c>
      <c r="AD145" s="6" t="s">
        <v>277</v>
      </c>
    </row>
    <row r="146" spans="29:30">
      <c r="AC146" s="6" t="s">
        <v>278</v>
      </c>
      <c r="AD146" s="6" t="s">
        <v>279</v>
      </c>
    </row>
    <row r="147" spans="29:30">
      <c r="AC147" s="6" t="s">
        <v>280</v>
      </c>
      <c r="AD147" s="6" t="s">
        <v>281</v>
      </c>
    </row>
    <row r="148" spans="29:30">
      <c r="AC148" s="6" t="s">
        <v>282</v>
      </c>
      <c r="AD148" s="6" t="s">
        <v>283</v>
      </c>
    </row>
    <row r="149" spans="29:30">
      <c r="AC149" s="6" t="s">
        <v>284</v>
      </c>
      <c r="AD149" s="6" t="s">
        <v>285</v>
      </c>
    </row>
    <row r="150" spans="29:30">
      <c r="AC150" s="6" t="s">
        <v>286</v>
      </c>
      <c r="AD150" s="6" t="s">
        <v>287</v>
      </c>
    </row>
    <row r="151" spans="29:30">
      <c r="AC151" s="6" t="s">
        <v>288</v>
      </c>
      <c r="AD151" s="6" t="s">
        <v>289</v>
      </c>
    </row>
    <row r="152" spans="29:30">
      <c r="AC152" s="6" t="s">
        <v>290</v>
      </c>
      <c r="AD152" s="6" t="s">
        <v>291</v>
      </c>
    </row>
    <row r="153" spans="29:30">
      <c r="AC153" s="6" t="s">
        <v>292</v>
      </c>
      <c r="AD153" s="6" t="s">
        <v>293</v>
      </c>
    </row>
    <row r="154" spans="29:30">
      <c r="AC154" s="6" t="s">
        <v>294</v>
      </c>
      <c r="AD154" s="6" t="s">
        <v>295</v>
      </c>
    </row>
    <row r="155" spans="29:30">
      <c r="AC155" s="6" t="s">
        <v>296</v>
      </c>
      <c r="AD155" s="6" t="s">
        <v>297</v>
      </c>
    </row>
    <row r="156" spans="29:30">
      <c r="AC156" s="6" t="s">
        <v>298</v>
      </c>
      <c r="AD156" s="6" t="s">
        <v>299</v>
      </c>
    </row>
    <row r="157" spans="29:30">
      <c r="AC157" s="6" t="s">
        <v>300</v>
      </c>
      <c r="AD157" s="6" t="s">
        <v>301</v>
      </c>
    </row>
    <row r="158" spans="29:30">
      <c r="AC158" s="6" t="s">
        <v>302</v>
      </c>
      <c r="AD158" s="6" t="s">
        <v>303</v>
      </c>
    </row>
  </sheetData>
  <mergeCells count="1">
    <mergeCell ref="D14:H14"/>
  </mergeCells>
  <phoneticPr fontId="141" type="noConversion"/>
  <dataValidations count="1">
    <dataValidation type="list" allowBlank="1" showInputMessage="1" showErrorMessage="1" sqref="E8" xr:uid="{00000000-0002-0000-0100-000000000000}">
      <formula1>$AC$5:$AC$158</formula1>
    </dataValidation>
  </dataValidations>
  <pageMargins left="0.7" right="0.7" top="0.75" bottom="0.75" header="0.3" footer="0.3"/>
  <pageSetup orientation="portrait" r:id="rId1"/>
  <headerFooter>
    <oddFooter>&amp;L&amp;1#&amp;"Calibri"&amp;8&amp;K000000Sensitivity: Confidential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CT155"/>
  <sheetViews>
    <sheetView showGridLines="0" zoomScale="85" zoomScaleNormal="85" workbookViewId="0">
      <selection activeCell="A16" sqref="A16"/>
    </sheetView>
  </sheetViews>
  <sheetFormatPr defaultColWidth="9.125" defaultRowHeight="16.5"/>
  <cols>
    <col min="1" max="1" width="3.75" style="1" customWidth="1"/>
    <col min="2" max="2" width="7.25" style="1" customWidth="1"/>
    <col min="3" max="3" width="12.625" style="1" bestFit="1" customWidth="1"/>
    <col min="4" max="4" width="12.375" style="1" bestFit="1" customWidth="1"/>
    <col min="5" max="5" width="23.875" style="1" bestFit="1" customWidth="1"/>
    <col min="6" max="6" width="18.75" style="18" customWidth="1"/>
    <col min="7" max="7" width="23.125" style="1" customWidth="1"/>
    <col min="8" max="8" width="7.875" style="1" customWidth="1"/>
    <col min="9" max="11" width="11.625" style="1" customWidth="1"/>
    <col min="12" max="12" width="12.375" style="1" customWidth="1"/>
    <col min="13" max="13" width="11.625" style="1" customWidth="1"/>
    <col min="14" max="14" width="15.375" style="1" customWidth="1"/>
    <col min="15" max="15" width="9.625" style="1" customWidth="1"/>
    <col min="16" max="16" width="6.875" style="1" customWidth="1"/>
    <col min="17" max="18" width="11.625" style="1" customWidth="1"/>
    <col min="19" max="26" width="15.25" style="1" customWidth="1"/>
    <col min="27" max="30" width="22.75" style="1" customWidth="1"/>
    <col min="31" max="39" width="15.25" style="1" customWidth="1"/>
    <col min="40" max="40" width="16.25" style="1" customWidth="1"/>
    <col min="41" max="46" width="22.125" style="1" customWidth="1"/>
    <col min="47" max="50" width="14.875" style="1" customWidth="1"/>
    <col min="51" max="54" width="14" style="1" customWidth="1"/>
    <col min="55" max="57" width="19.75" style="1" customWidth="1"/>
    <col min="58" max="60" width="25.625" style="1" customWidth="1"/>
    <col min="61" max="63" width="32" style="1" customWidth="1"/>
    <col min="64" max="79" width="11.125" style="1" customWidth="1"/>
    <col min="80" max="87" width="25.625" style="1" customWidth="1"/>
    <col min="88" max="89" width="9.125" style="1"/>
    <col min="90" max="90" width="51.25" style="1" bestFit="1" customWidth="1"/>
    <col min="91" max="91" width="9.125" style="1"/>
    <col min="92" max="92" width="11" style="1" bestFit="1" customWidth="1"/>
    <col min="93" max="93" width="9.875" style="1" bestFit="1" customWidth="1"/>
    <col min="94" max="94" width="11" style="1" bestFit="1" customWidth="1"/>
    <col min="95" max="96" width="9.125" style="1"/>
    <col min="97" max="97" width="27.625" style="1" customWidth="1"/>
    <col min="98" max="16384" width="9.125" style="1"/>
  </cols>
  <sheetData>
    <row r="1" spans="1:98" ht="33" customHeight="1" thickBot="1">
      <c r="A1" s="103"/>
      <c r="B1" s="103"/>
      <c r="C1" s="103" t="s">
        <v>513</v>
      </c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103"/>
      <c r="AQ1" s="103"/>
      <c r="AR1" s="103"/>
      <c r="AS1" s="103"/>
      <c r="AT1" s="103"/>
      <c r="AU1" s="103"/>
      <c r="AV1" s="103"/>
      <c r="AW1" s="103"/>
      <c r="AX1" s="103"/>
      <c r="AY1" s="103"/>
      <c r="AZ1" s="103"/>
      <c r="BA1" s="103"/>
      <c r="BB1" s="103"/>
      <c r="BC1" s="103"/>
      <c r="BD1" s="103"/>
      <c r="BE1" s="103"/>
      <c r="BF1" s="103"/>
      <c r="BG1" s="103"/>
      <c r="BH1" s="103"/>
      <c r="BI1" s="103"/>
      <c r="BJ1" s="103"/>
      <c r="BK1" s="103"/>
      <c r="BL1" s="103"/>
      <c r="BM1" s="103"/>
      <c r="BN1" s="103"/>
      <c r="BO1" s="103"/>
      <c r="BP1" s="103"/>
      <c r="BQ1" s="103"/>
      <c r="BR1" s="103"/>
      <c r="BS1" s="103"/>
      <c r="BT1" s="103"/>
      <c r="BU1" s="103"/>
      <c r="BV1" s="103"/>
      <c r="BW1" s="103"/>
      <c r="BX1" s="103"/>
      <c r="BY1" s="103"/>
      <c r="BZ1" s="103"/>
      <c r="CA1" s="103"/>
      <c r="CB1" s="103"/>
      <c r="CC1" s="103"/>
      <c r="CD1" s="103"/>
      <c r="CE1" s="103"/>
      <c r="CF1" s="103"/>
      <c r="CG1" s="103"/>
      <c r="CH1" s="103"/>
      <c r="CI1" s="103"/>
      <c r="CJ1" s="103"/>
      <c r="CK1" s="103"/>
      <c r="CL1" s="103"/>
      <c r="CM1" s="103"/>
      <c r="CN1" s="103"/>
      <c r="CO1" s="103"/>
      <c r="CP1" s="103"/>
      <c r="CQ1" s="103"/>
      <c r="CR1" s="103"/>
      <c r="CS1" s="103"/>
      <c r="CT1" s="103"/>
    </row>
    <row r="2" spans="1:98">
      <c r="E2" s="102"/>
    </row>
    <row r="5" spans="1:98" ht="15.95" customHeight="1">
      <c r="D5" s="34" t="s">
        <v>371</v>
      </c>
      <c r="E5" s="104">
        <v>10</v>
      </c>
      <c r="G5" s="98" t="s">
        <v>507</v>
      </c>
      <c r="H5" s="94" t="str">
        <f>Valuation!F8</f>
        <v>Retrieving...</v>
      </c>
      <c r="Q5" s="1" t="s">
        <v>327</v>
      </c>
      <c r="S5" s="26" t="s">
        <v>443</v>
      </c>
      <c r="T5" s="26"/>
      <c r="U5" s="26"/>
      <c r="V5" s="26"/>
      <c r="W5" s="26" t="s">
        <v>444</v>
      </c>
      <c r="X5" s="26"/>
      <c r="Y5" s="26"/>
      <c r="Z5" s="26"/>
      <c r="AA5" s="26" t="s">
        <v>445</v>
      </c>
      <c r="AB5" s="26"/>
      <c r="AC5" s="26"/>
      <c r="AD5" s="26"/>
      <c r="AE5" s="26" t="s">
        <v>446</v>
      </c>
      <c r="AF5" s="26"/>
      <c r="AG5" s="26"/>
      <c r="AH5" s="26"/>
      <c r="AI5" s="26" t="s">
        <v>447</v>
      </c>
      <c r="AJ5" s="26"/>
      <c r="AK5" s="26"/>
      <c r="AL5" s="26"/>
      <c r="AM5" s="26" t="s">
        <v>367</v>
      </c>
      <c r="AN5" s="26" t="s">
        <v>363</v>
      </c>
      <c r="AO5" s="26" t="s">
        <v>448</v>
      </c>
      <c r="AP5" s="26"/>
      <c r="AQ5" s="26"/>
      <c r="AR5" s="26"/>
      <c r="AS5" s="26"/>
      <c r="AT5" s="26" t="s">
        <v>468</v>
      </c>
      <c r="AU5" s="26" t="s">
        <v>317</v>
      </c>
      <c r="AV5" s="26"/>
      <c r="AW5" s="26"/>
      <c r="AX5" s="26"/>
      <c r="AY5" s="26" t="s">
        <v>319</v>
      </c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 t="s">
        <v>320</v>
      </c>
      <c r="BM5" s="26"/>
      <c r="BN5" s="26"/>
      <c r="BO5" s="26"/>
      <c r="BP5" s="26" t="s">
        <v>449</v>
      </c>
      <c r="BQ5" s="26"/>
      <c r="BR5" s="26"/>
      <c r="BS5" s="26"/>
      <c r="BT5" s="26" t="s">
        <v>450</v>
      </c>
      <c r="BU5" s="26"/>
      <c r="BV5" s="26"/>
      <c r="BW5" s="26"/>
      <c r="BX5" s="26" t="s">
        <v>451</v>
      </c>
      <c r="BY5" s="26"/>
      <c r="BZ5" s="26"/>
      <c r="CA5" s="26"/>
      <c r="CD5" s="56" t="str">
        <f>_xll.TR($D$8,"TR.TRBCEconSectorCode","Null=BLANK")</f>
        <v>Retrieving...</v>
      </c>
    </row>
    <row r="6" spans="1:98">
      <c r="F6" s="24" t="s">
        <v>476</v>
      </c>
      <c r="G6" s="6" t="s">
        <v>360</v>
      </c>
      <c r="H6" s="6" t="s">
        <v>325</v>
      </c>
      <c r="I6" s="6" t="s">
        <v>372</v>
      </c>
      <c r="J6" s="6" t="s">
        <v>475</v>
      </c>
      <c r="K6" s="6" t="s">
        <v>477</v>
      </c>
      <c r="L6" s="6" t="s">
        <v>478</v>
      </c>
      <c r="M6" s="6" t="s">
        <v>479</v>
      </c>
      <c r="N6" s="6" t="s">
        <v>480</v>
      </c>
      <c r="O6" s="6" t="s">
        <v>481</v>
      </c>
      <c r="P6" s="6"/>
      <c r="Q6" s="6"/>
      <c r="R6" s="6" t="s">
        <v>488</v>
      </c>
      <c r="S6" s="6" t="s">
        <v>489</v>
      </c>
      <c r="T6" s="6" t="s">
        <v>491</v>
      </c>
      <c r="U6" s="6" t="s">
        <v>486</v>
      </c>
      <c r="V6" s="6" t="s">
        <v>487</v>
      </c>
      <c r="W6" s="6" t="s">
        <v>490</v>
      </c>
      <c r="X6" s="6" t="s">
        <v>492</v>
      </c>
      <c r="Y6" s="6" t="s">
        <v>462</v>
      </c>
      <c r="Z6" s="6" t="s">
        <v>463</v>
      </c>
      <c r="AA6" s="6" t="s">
        <v>493</v>
      </c>
      <c r="AB6" s="6" t="s">
        <v>494</v>
      </c>
      <c r="AC6" s="6" t="s">
        <v>466</v>
      </c>
      <c r="AD6" s="6" t="s">
        <v>467</v>
      </c>
      <c r="AE6" s="6" t="s">
        <v>495</v>
      </c>
      <c r="AF6" s="6" t="s">
        <v>496</v>
      </c>
      <c r="AG6" s="6" t="s">
        <v>464</v>
      </c>
      <c r="AH6" s="6" t="s">
        <v>465</v>
      </c>
      <c r="AI6" s="6" t="s">
        <v>497</v>
      </c>
      <c r="AJ6" s="6" t="s">
        <v>498</v>
      </c>
      <c r="AK6" s="6" t="s">
        <v>499</v>
      </c>
      <c r="AL6" s="6" t="s">
        <v>500</v>
      </c>
      <c r="AM6" s="6" t="s">
        <v>382</v>
      </c>
      <c r="AN6" s="6" t="s">
        <v>383</v>
      </c>
      <c r="AO6" s="6" t="s">
        <v>501</v>
      </c>
      <c r="AP6" s="6" t="s">
        <v>416</v>
      </c>
      <c r="AQ6" s="6" t="s">
        <v>482</v>
      </c>
      <c r="AR6" s="6" t="s">
        <v>483</v>
      </c>
      <c r="AS6" s="6" t="s">
        <v>484</v>
      </c>
      <c r="AT6" s="6" t="s">
        <v>328</v>
      </c>
      <c r="AU6" s="6" t="s">
        <v>331</v>
      </c>
      <c r="AV6" s="6" t="s">
        <v>332</v>
      </c>
      <c r="AW6" s="6" t="s">
        <v>333</v>
      </c>
      <c r="AX6" s="6" t="s">
        <v>420</v>
      </c>
      <c r="AY6" s="6" t="s">
        <v>334</v>
      </c>
      <c r="AZ6" s="6" t="s">
        <v>335</v>
      </c>
      <c r="BA6" s="6" t="s">
        <v>336</v>
      </c>
      <c r="BB6" s="6" t="s">
        <v>422</v>
      </c>
      <c r="BC6" s="6" t="s">
        <v>502</v>
      </c>
      <c r="BD6" s="6" t="s">
        <v>329</v>
      </c>
      <c r="BE6" s="6" t="s">
        <v>330</v>
      </c>
      <c r="BF6" s="6" t="s">
        <v>337</v>
      </c>
      <c r="BG6" s="6" t="s">
        <v>337</v>
      </c>
      <c r="BH6" s="6" t="s">
        <v>337</v>
      </c>
      <c r="BI6" s="6" t="s">
        <v>503</v>
      </c>
      <c r="BJ6" s="6" t="s">
        <v>503</v>
      </c>
      <c r="BK6" s="6" t="s">
        <v>503</v>
      </c>
      <c r="BL6" s="6" t="s">
        <v>384</v>
      </c>
      <c r="BM6" s="6" t="s">
        <v>385</v>
      </c>
      <c r="BN6" s="6" t="s">
        <v>386</v>
      </c>
      <c r="BO6" s="6" t="s">
        <v>424</v>
      </c>
      <c r="BP6" s="6" t="s">
        <v>504</v>
      </c>
      <c r="BQ6" s="6" t="s">
        <v>393</v>
      </c>
      <c r="BR6" s="6" t="s">
        <v>394</v>
      </c>
      <c r="BS6" s="6" t="s">
        <v>426</v>
      </c>
      <c r="BT6" s="6" t="s">
        <v>428</v>
      </c>
      <c r="BU6" s="6" t="s">
        <v>429</v>
      </c>
      <c r="BV6" s="6" t="s">
        <v>430</v>
      </c>
      <c r="BW6" s="6" t="s">
        <v>431</v>
      </c>
      <c r="BX6" s="6" t="s">
        <v>505</v>
      </c>
      <c r="BY6" s="6" t="s">
        <v>436</v>
      </c>
      <c r="BZ6" s="6" t="s">
        <v>437</v>
      </c>
      <c r="CA6" s="6" t="s">
        <v>438</v>
      </c>
      <c r="CB6" s="1" t="s">
        <v>328</v>
      </c>
      <c r="CD6" s="56" t="str">
        <f>"SCREEN(U(IN(Peers("&amp;$D$8&amp;"))),,IN(TR.TRBCEconSectorCode,"&amp;CD5&amp;"),TOP(TR.CompanyMarketCap,"&amp;$E$5&amp;",nnumber),CURN=USD)"</f>
        <v>SCREEN(U(IN(Peers(AAPL.O))),,IN(TR.TRBCEconSectorCode,Retrieving...),TOP(TR.CompanyMarketCap,10,nnumber),CURN=USD)</v>
      </c>
    </row>
    <row r="7" spans="1:98" ht="15.95" customHeight="1">
      <c r="D7" s="34"/>
      <c r="E7" s="34" t="s">
        <v>322</v>
      </c>
      <c r="F7" s="49" t="s">
        <v>338</v>
      </c>
      <c r="G7" s="34" t="s">
        <v>323</v>
      </c>
      <c r="H7" s="34" t="s">
        <v>324</v>
      </c>
      <c r="I7" s="34" t="s">
        <v>326</v>
      </c>
      <c r="J7" s="34" t="s">
        <v>369</v>
      </c>
      <c r="K7" s="34" t="s">
        <v>364</v>
      </c>
      <c r="L7" s="34" t="s">
        <v>472</v>
      </c>
      <c r="M7" s="34" t="s">
        <v>365</v>
      </c>
      <c r="N7" s="34" t="s">
        <v>370</v>
      </c>
      <c r="O7" s="34" t="s">
        <v>458</v>
      </c>
      <c r="P7" s="34" t="s">
        <v>459</v>
      </c>
      <c r="Q7" s="34" t="s">
        <v>460</v>
      </c>
      <c r="R7" s="34" t="s">
        <v>461</v>
      </c>
      <c r="S7" s="34" t="s">
        <v>373</v>
      </c>
      <c r="T7" s="34" t="s">
        <v>374</v>
      </c>
      <c r="U7" s="34" t="s">
        <v>375</v>
      </c>
      <c r="V7" s="34" t="s">
        <v>409</v>
      </c>
      <c r="W7" s="34" t="s">
        <v>339</v>
      </c>
      <c r="X7" s="34" t="s">
        <v>340</v>
      </c>
      <c r="Y7" s="34" t="s">
        <v>346</v>
      </c>
      <c r="Z7" s="34" t="s">
        <v>410</v>
      </c>
      <c r="AA7" s="34" t="s">
        <v>406</v>
      </c>
      <c r="AB7" s="34" t="s">
        <v>407</v>
      </c>
      <c r="AC7" s="34" t="s">
        <v>408</v>
      </c>
      <c r="AD7" s="34" t="s">
        <v>411</v>
      </c>
      <c r="AE7" s="34" t="s">
        <v>376</v>
      </c>
      <c r="AF7" s="34" t="s">
        <v>377</v>
      </c>
      <c r="AG7" s="34" t="s">
        <v>378</v>
      </c>
      <c r="AH7" s="34" t="s">
        <v>412</v>
      </c>
      <c r="AI7" s="34" t="s">
        <v>379</v>
      </c>
      <c r="AJ7" s="34" t="s">
        <v>380</v>
      </c>
      <c r="AK7" s="34" t="s">
        <v>381</v>
      </c>
      <c r="AL7" s="34" t="s">
        <v>413</v>
      </c>
      <c r="AM7" s="34" t="s">
        <v>367</v>
      </c>
      <c r="AN7" s="34" t="s">
        <v>363</v>
      </c>
      <c r="AO7" s="34" t="s">
        <v>414</v>
      </c>
      <c r="AP7" s="34" t="s">
        <v>415</v>
      </c>
      <c r="AQ7" s="34" t="s">
        <v>417</v>
      </c>
      <c r="AR7" s="34" t="s">
        <v>418</v>
      </c>
      <c r="AS7" s="34" t="s">
        <v>419</v>
      </c>
      <c r="AT7" s="34" t="s">
        <v>469</v>
      </c>
      <c r="AU7" s="109" t="s">
        <v>341</v>
      </c>
      <c r="AV7" s="109" t="s">
        <v>342</v>
      </c>
      <c r="AW7" s="109" t="s">
        <v>345</v>
      </c>
      <c r="AX7" s="109" t="s">
        <v>421</v>
      </c>
      <c r="AY7" s="109" t="s">
        <v>343</v>
      </c>
      <c r="AZ7" s="109" t="s">
        <v>344</v>
      </c>
      <c r="BA7" s="109" t="s">
        <v>347</v>
      </c>
      <c r="BB7" s="109" t="s">
        <v>423</v>
      </c>
      <c r="BC7" s="109" t="s">
        <v>348</v>
      </c>
      <c r="BD7" s="109" t="s">
        <v>349</v>
      </c>
      <c r="BE7" s="109" t="s">
        <v>350</v>
      </c>
      <c r="BF7" s="109" t="s">
        <v>351</v>
      </c>
      <c r="BG7" s="109" t="s">
        <v>352</v>
      </c>
      <c r="BH7" s="109" t="s">
        <v>353</v>
      </c>
      <c r="BI7" s="109" t="s">
        <v>354</v>
      </c>
      <c r="BJ7" s="109" t="s">
        <v>355</v>
      </c>
      <c r="BK7" s="109" t="s">
        <v>356</v>
      </c>
      <c r="BL7" s="109" t="s">
        <v>387</v>
      </c>
      <c r="BM7" s="109" t="s">
        <v>388</v>
      </c>
      <c r="BN7" s="109" t="s">
        <v>389</v>
      </c>
      <c r="BO7" s="109" t="s">
        <v>425</v>
      </c>
      <c r="BP7" s="109" t="s">
        <v>390</v>
      </c>
      <c r="BQ7" s="109" t="s">
        <v>391</v>
      </c>
      <c r="BR7" s="109" t="s">
        <v>392</v>
      </c>
      <c r="BS7" s="109" t="s">
        <v>427</v>
      </c>
      <c r="BT7" s="109" t="s">
        <v>432</v>
      </c>
      <c r="BU7" s="109" t="s">
        <v>433</v>
      </c>
      <c r="BV7" s="109" t="s">
        <v>434</v>
      </c>
      <c r="BW7" s="109" t="s">
        <v>435</v>
      </c>
      <c r="BX7" s="109" t="s">
        <v>439</v>
      </c>
      <c r="BY7" s="109" t="s">
        <v>440</v>
      </c>
      <c r="BZ7" s="109" t="s">
        <v>441</v>
      </c>
      <c r="CA7" s="108" t="s">
        <v>442</v>
      </c>
      <c r="CD7" s="56"/>
    </row>
    <row r="8" spans="1:98">
      <c r="C8" s="104" t="s">
        <v>506</v>
      </c>
      <c r="D8" s="57" t="str">
        <f>Valuation!$E$6</f>
        <v>AAPL.O</v>
      </c>
      <c r="E8" s="30" t="str">
        <f>_xll.TR($D$8,"TR.CommonName","Null=BLANK")</f>
        <v>Retrieving...</v>
      </c>
      <c r="F8" s="58" t="str">
        <f>_xll.TR($D$8,F$6,"Null=BLANK")</f>
        <v>Retrieving...</v>
      </c>
      <c r="G8" s="59" t="str">
        <f>_xll.TR($D$8,G$6,"Null=BLANK")</f>
        <v>Retrieving...</v>
      </c>
      <c r="H8" s="60" t="str">
        <f>_xll.TR($D$8,H$6,"Curn=#1 Null=BLANK",,$H$5)</f>
        <v>Retrieving...</v>
      </c>
      <c r="I8" s="61" t="str">
        <f>_xll.TR($D$8,I$6,"Curn=#1 Scale=6 Null=BLANK",,$H$5)</f>
        <v>Retrieving...</v>
      </c>
      <c r="J8" s="61" t="str">
        <f>_xll.TR($D$8,J$6,"Curn=#1 Scale=6 Null=BLANK",,$H$5)</f>
        <v>Retrieving...</v>
      </c>
      <c r="K8" s="61" t="str">
        <f>_xll.TR($D$8,K$6,"Curn=#1 Scale=6 Null=BLANK",,$H$5)</f>
        <v>Retrieving...</v>
      </c>
      <c r="L8" s="61" t="str">
        <f>_xll.TR($D$8,L$6,"Curn=#1 Scale=6 Null=BLANK",,$H$5)</f>
        <v>Retrieving...</v>
      </c>
      <c r="M8" s="61" t="str">
        <f>_xll.TR($D$8,M$6,"Curn=#1 Scale=6 Null=BLANK",,$H$5)</f>
        <v>Retrieving...</v>
      </c>
      <c r="N8" s="61" t="str">
        <f>_xll.TR($D$8,N$6,"Curn=#1 Scale=6 Null=BLANK",,$H$5)</f>
        <v>Retrieving...</v>
      </c>
      <c r="O8" s="61" t="str">
        <f>_xll.TR($D$8,O$6,"Curn=#1 Scale=6 Null=BLANK",,$H$5)</f>
        <v>Retrieving...</v>
      </c>
      <c r="P8" s="61"/>
      <c r="Q8" s="61">
        <f>IF(D8="","",SUM(I8,J8,M8:P8)-SUM(K8:L8))</f>
        <v>0</v>
      </c>
      <c r="R8" s="61" t="str">
        <f>IF(D8="","",_xll.TR($D8,R$6,"Curn=#2 scale=6",,$F8,$H$5))</f>
        <v>Retrieving...</v>
      </c>
      <c r="S8" s="62" t="str">
        <f>_xll.TR($D8,S$6,"Curn=#2 Scale=6 Null=BLANK",,$R8,$H$5)</f>
        <v>Retrieving...</v>
      </c>
      <c r="T8" s="62" t="str">
        <f>_xll.TR(D8,T$6,"Curn=#2 Scale=6 Transpose=Y Null=BLANK",,$Q8,$H$5)</f>
        <v>Retrieving...</v>
      </c>
      <c r="U8" s="62">
        <v>1.4268562600543899</v>
      </c>
      <c r="V8" s="62">
        <v>1.40886497440411</v>
      </c>
      <c r="W8" s="62" t="str">
        <f>_xll.TR($D8,W$6,"Curn=#2 Scale=6 Null=BLANK",,$R8,$H$5)</f>
        <v>Retrieving...</v>
      </c>
      <c r="X8" s="62" t="str">
        <f>_xll.TR($D8,X$6,"Curn=#2 Scale=6 Transpose=Y Null=BLANK",,$Q8,$H$5)</f>
        <v>Retrieving...</v>
      </c>
      <c r="Y8" s="62">
        <v>4.7552457229524103</v>
      </c>
      <c r="Z8" s="62">
        <v>4.6436046635955002</v>
      </c>
      <c r="AA8" s="62" t="str">
        <f>_xll.TR($D8,AA$6,"Curn=#2 Scale=6 Null=BLANK",,$R8,$H$5)</f>
        <v>Retrieving...</v>
      </c>
      <c r="AB8" s="62" t="str">
        <f>_xll.TR($D8,AB$6,"Curn=#2 Scale=6 Period=FY1:FY3 Transpose=Y Null=BLANK",,$Q8,$H$5)</f>
        <v>Retrieving...</v>
      </c>
      <c r="AC8" s="62">
        <v>11.374736555617099</v>
      </c>
      <c r="AD8" s="62">
        <v>10.5520453251878</v>
      </c>
      <c r="AE8" s="62" t="str">
        <f>_xll.TR($D8,AE$6,"Curn=#2 Scale=6 Null=BLANK",,$R8,$H$5)</f>
        <v>Retrieving...</v>
      </c>
      <c r="AF8" s="63" t="str">
        <f>IFERROR($Q8/_xll.TR($D$8,AF$6,"Curn=#1 Scale=6 Null=BLANK",,$H$5),"-")</f>
        <v>-</v>
      </c>
      <c r="AG8" s="62" t="str">
        <f>IFERROR($Q8/_xll.TR($D$8,AG$6,"Curn=#1 Scale=6 Null=BLANK",,$H$5),"-")</f>
        <v>-</v>
      </c>
      <c r="AH8" s="62" t="str">
        <f>IFERROR($Q8/_xll.TR($D$8,AH$6,"Curn=#1 Scale=6 Null=BLANK",,$H$5),"-")</f>
        <v>-</v>
      </c>
      <c r="AI8" s="63" t="str">
        <f>_xll.TR($D$8,AI$6,"Curn=#1 Null=BLANK",,$H$5)</f>
        <v>Retrieving...</v>
      </c>
      <c r="AJ8" s="63" t="str">
        <f>_xll.TR($D$8,AJ$6,"Null=BLANK")</f>
        <v>Retrieving...</v>
      </c>
      <c r="AK8" s="63" t="str">
        <f>_xll.TR($D$8,AK$6,"Curn=#1 Null=BLANK",,$H$5)</f>
        <v>Retrieving...</v>
      </c>
      <c r="AL8" s="63" t="str">
        <f>_xll.TR($D$8,AL$6,"Curn=#1 Null=BLANK",,$H$5)</f>
        <v>Retrieving...</v>
      </c>
      <c r="AM8" s="63" t="str">
        <f>_xll.TR($D$8,AM$6,"Null=BLANK")</f>
        <v>Retrieving...</v>
      </c>
      <c r="AN8" s="64" t="str">
        <f>_xll.TR($D$8,AN$6,"Null=BLANK")</f>
        <v>Retrieving...</v>
      </c>
      <c r="AO8" s="64" t="str">
        <f>_xll.TR($D$8,AO$6,"Null=BLANK")</f>
        <v>Retrieving...</v>
      </c>
      <c r="AP8" s="64" t="str">
        <f>_xll.TR($D$8,AP$6,"Null=BLANK")</f>
        <v>Retrieving...</v>
      </c>
      <c r="AQ8" s="64" t="str">
        <f>_xll.TR($D$8,AQ$6,"Null=BLANK")</f>
        <v>Retrieving...</v>
      </c>
      <c r="AR8" s="64" t="str">
        <f>_xll.TR($D$8,AR$6,"Curn=#1",,$H$5)</f>
        <v>Retrieving...</v>
      </c>
      <c r="AS8" s="64" t="str">
        <f>_xll.TR($D$8,AS$6,"Curn=#1",,$H$5)</f>
        <v>Retrieving...</v>
      </c>
      <c r="AT8" s="65" t="str">
        <f>IF($D8="","",IFERROR((AX8/AU8)^(1/3)-1,"-"))</f>
        <v>-</v>
      </c>
      <c r="AU8" s="107" t="str">
        <f>_xll.TR($D$8,AU$6,"Curn=#1",,$H$5)</f>
        <v>Retrieving...</v>
      </c>
      <c r="AV8" s="107" t="str">
        <f>_xll.TR($D$8,AV$6,"Curn=#1",,$H$5)</f>
        <v>Retrieving...</v>
      </c>
      <c r="AW8" s="107" t="str">
        <f>_xll.TR($D$8,AW$6,"Curn=#1",,$H$5)</f>
        <v>Retrieving...</v>
      </c>
      <c r="AX8" s="107" t="str">
        <f>_xll.TR($D$8,AX$6,"Curn=#1",,$H$5)</f>
        <v>Retrieving...</v>
      </c>
      <c r="AY8" s="107" t="str">
        <f>_xll.TR($D$8,AY$6,"Curn=#1",,$H$5)</f>
        <v>Retrieving...</v>
      </c>
      <c r="AZ8" s="107" t="str">
        <f>_xll.TR($D$8,AZ$6,"Curn=#1",,$H$5)</f>
        <v>Retrieving...</v>
      </c>
      <c r="BA8" s="107" t="str">
        <f>_xll.TR($D$8,BA$6,"Curn=#1",,$H$5)</f>
        <v>Retrieving...</v>
      </c>
      <c r="BB8" s="107" t="str">
        <f>_xll.TR($D$8,BB$6,"Curn=#1",,$H$5)</f>
        <v>Retrieving...</v>
      </c>
      <c r="BC8" s="110" t="str">
        <f>_xll.TR($D$8,BC$6,"Null=BLANK")</f>
        <v>Retrieving...</v>
      </c>
      <c r="BD8" s="110" t="str">
        <f>_xll.TR($D$8,BD$6,"Null=BLANK")</f>
        <v>Retrieving...</v>
      </c>
      <c r="BE8" s="110" t="str">
        <f>_xll.TR($D$8,BE$6,"Null=BLANK")</f>
        <v>Retrieving...</v>
      </c>
      <c r="BF8" s="107" t="str">
        <f>_xll.TR($D$8,BF$6,"Curn=#1 Null=BLANK",,$H$5,"CY"&amp;YEAR(Valuation!$E$10))</f>
        <v>Retrieving...</v>
      </c>
      <c r="BG8" s="107" t="str">
        <f>_xll.TR($D$8,BG$6,"Curn=#1 Null=BLANK",,$H$5,"CY"&amp;YEAR(Valuation!$E$10)+1)</f>
        <v>Retrieving...</v>
      </c>
      <c r="BH8" s="107" t="str">
        <f>_xll.TR($D$8,BH$6,"Curn=#1 Null=BLANK",,$H$5,"CY"&amp;YEAR(Valuation!$E$10)+2)</f>
        <v>Retrieving...</v>
      </c>
      <c r="BI8" s="110" t="str">
        <f>_xll.TR($D$8,BI$6,"Null=BLANK",,"CY"&amp;YEAR(Valuation!$E$10))</f>
        <v>Invalid argument reference.</v>
      </c>
      <c r="BJ8" s="110" t="str">
        <f>_xll.TR($D$8,BJ$6,"Null=BLANK",,"CY"&amp;YEAR(Valuation!$E$10)+1)</f>
        <v>Invalid argument reference.</v>
      </c>
      <c r="BK8" s="110" t="str">
        <f>_xll.TR($D$8,BK$6,"Null=BLANK",,"CY"&amp;YEAR(Valuation!$E$10)+2)</f>
        <v>Invalid argument reference.</v>
      </c>
      <c r="BL8" s="107" t="str">
        <f>_xll.TR($D$8,BL$6,"Curn=#1 Null=BLANK",,$H$5)</f>
        <v>Retrieving...</v>
      </c>
      <c r="BM8" s="107" t="str">
        <f>_xll.TR($D$8,BM$6,"Curn=#1 Null=BLANK",,$H$5)</f>
        <v>Retrieving...</v>
      </c>
      <c r="BN8" s="107" t="str">
        <f>_xll.TR($D$8,BN$6,"Curn=#1 Null=BLANK",,$H$5)</f>
        <v>Retrieving...</v>
      </c>
      <c r="BO8" s="107" t="str">
        <f>_xll.TR($D$8,BO$6,"Curn=#1 Null=BLANK",,$H$5)</f>
        <v>Retrieving...</v>
      </c>
      <c r="BP8" s="111" t="str">
        <f>_xll.TR($D$8,BP$6,"Curn=#1 Null=BLANK",,$H$5)</f>
        <v>Retrieving...</v>
      </c>
      <c r="BQ8" s="111" t="str">
        <f>_xll.TR($D$8,BQ$6,"Curn=#1 Null=BLANK",,$H$5)</f>
        <v>Retrieving...</v>
      </c>
      <c r="BR8" s="111" t="str">
        <f>_xll.TR($D$8,BR$6,"Curn=#1 Null=BLANK",,$H$5)</f>
        <v>Retrieving...</v>
      </c>
      <c r="BS8" s="111" t="str">
        <f>_xll.TR($D$8,BS$6,"Curn=#1 Null=BLANK",,$H$5)</f>
        <v>Retrieving...</v>
      </c>
      <c r="BT8" s="107" t="str">
        <f>_xll.TR($D$8,BT$6,"Curn=#1 Null=BLANK",,$H$5)</f>
        <v>Retrieving...</v>
      </c>
      <c r="BU8" s="107" t="str">
        <f>_xll.TR($D$8,BU$6,"Curn=#1 Null=BLANK",,$H$5)</f>
        <v>Retrieving...</v>
      </c>
      <c r="BV8" s="107" t="str">
        <f>_xll.TR($D$8,BV$6,"Curn=#1 Null=BLANK",,$H$5)</f>
        <v>Retrieving...</v>
      </c>
      <c r="BW8" s="107" t="str">
        <f>_xll.TR($D$8,BW$6,"Curn=#1 Null=BLANK",,$H$5)</f>
        <v>Retrieving...</v>
      </c>
      <c r="BX8" s="107" t="str">
        <f>_xll.TR($D$8,BX$6,"Curn=#1 Null=BLANK",,$H$5)</f>
        <v>Retrieving...</v>
      </c>
      <c r="BY8" s="107" t="str">
        <f>_xll.TR($D$8,BY$6,"Curn=#1",,$H$5)</f>
        <v>Retrieving...</v>
      </c>
      <c r="BZ8" s="107" t="str">
        <f>_xll.TR($D$8,BZ$6,"Curn=#1",,$H$5)</f>
        <v>Retrieving...</v>
      </c>
      <c r="CA8" s="107" t="str">
        <f>_xll.TR($D$8,CA$6,"Curn=#1",,$H$5)</f>
        <v>Retrieving...</v>
      </c>
      <c r="CD8" s="93"/>
      <c r="CM8" s="23"/>
      <c r="CN8" s="23"/>
      <c r="CO8" s="23"/>
      <c r="CP8" s="23"/>
      <c r="CQ8" s="23"/>
      <c r="CR8" s="23"/>
      <c r="CS8" s="23"/>
      <c r="CT8" s="23"/>
    </row>
    <row r="9" spans="1:98">
      <c r="C9" s="94" t="s">
        <v>368</v>
      </c>
      <c r="D9" s="83" t="s">
        <v>368</v>
      </c>
      <c r="E9" s="83"/>
      <c r="F9" s="84"/>
      <c r="G9" s="83"/>
      <c r="H9" s="85"/>
      <c r="I9" s="42">
        <f t="array" ref="I9">IFERROR(MEDIAN(IF(ISNUMBER(I10:I59),I10:I59,"")),"-")</f>
        <v>17981.271083087198</v>
      </c>
      <c r="J9" s="42">
        <f t="array" ref="J9">IFERROR(MEDIAN(IF(ISNUMBER(J10:J59),J10:J59,"")),"-")</f>
        <v>18123.8996701906</v>
      </c>
      <c r="K9" s="42">
        <f t="array" ref="K9">IFERROR(MEDIAN(IF(ISNUMBER(K10:K59),K10:K59,"")),"-")</f>
        <v>3396.5319924786099</v>
      </c>
      <c r="L9" s="42">
        <f t="array" ref="L9">IFERROR(MEDIAN(IF(ISNUMBER(L10:L59),L10:L59,"")),"-")</f>
        <v>986.32596420964296</v>
      </c>
      <c r="M9" s="42">
        <f t="array" ref="M9">IFERROR(MEDIAN(IF(ISNUMBER(M10:M59),M10:M59,"")),"-")</f>
        <v>477.07699147786354</v>
      </c>
      <c r="N9" s="86" t="str">
        <f t="array" ref="N9">IFERROR(MEDIAN(IF(ISNUMBER(N10:N59),N10:N59,"")),"-")</f>
        <v>-</v>
      </c>
      <c r="O9" s="42">
        <f t="array" ref="O9">IFERROR(MEDIAN(IF(ISNUMBER(O10:O59),O10:O59,"")),"-")</f>
        <v>1180.0988021894527</v>
      </c>
      <c r="P9" s="42"/>
      <c r="Q9" s="42">
        <f t="array" ref="Q9">IFERROR(MEDIAN(IF(ISNUMBER(Q10:Q59),Q10:Q59,"")),"-")</f>
        <v>32473.384406771787</v>
      </c>
      <c r="R9" s="42" t="str">
        <f t="array" ref="R9">IFERROR(MEDIAN(IF(ISNUMBER(R10:R59),R10:R59,"")),"-")</f>
        <v>-</v>
      </c>
      <c r="S9" s="87">
        <f t="array" ref="S9">IFERROR(MEDIAN(IF(ISNUMBER(S10:S59),S10:S59,"")),"-")</f>
        <v>2.09552368849858</v>
      </c>
      <c r="T9" s="87" t="str">
        <f t="array" ref="T9">IFERROR(MEDIAN(IF(ISNUMBER(T10:T59),T10:T59,"")),"-")</f>
        <v>-</v>
      </c>
      <c r="U9" s="87">
        <f t="array" ref="U9">IFERROR(MEDIAN(IF(ISNUMBER(U10:U59),U10:U59,"")),"-")</f>
        <v>2.4022771748401399</v>
      </c>
      <c r="V9" s="87">
        <f t="array" ref="V9">IFERROR(MEDIAN(IF(ISNUMBER(V10:V59),V10:V59,"")),"-")</f>
        <v>2.35135657755086</v>
      </c>
      <c r="W9" s="87">
        <f t="array" ref="W9">IFERROR(MEDIAN(IF(ISNUMBER(W10:W59),W10:W59,"")),"-")</f>
        <v>4.8876453871066596</v>
      </c>
      <c r="X9" s="87" t="str">
        <f t="array" ref="X9">IFERROR(MEDIAN(IF(ISNUMBER(X10:X59),X10:X59,"")),"-")</f>
        <v>-</v>
      </c>
      <c r="Y9" s="87">
        <f t="array" ref="Y9">IFERROR(MEDIAN(IF(ISNUMBER(Y10:Y59),Y10:Y59,"")),"-")</f>
        <v>5.7806534610997407</v>
      </c>
      <c r="Z9" s="87">
        <f t="array" ref="Z9">IFERROR(MEDIAN(IF(ISNUMBER(Z10:Z59),Z10:Z59,"")),"-")</f>
        <v>5.5911884358679798</v>
      </c>
      <c r="AA9" s="87">
        <f t="array" ref="AA9">IFERROR(MEDIAN(IF(ISNUMBER(AA10:AA59),AA10:AA59,"")),"-")</f>
        <v>12.7826701853916</v>
      </c>
      <c r="AB9" s="87" t="str">
        <f t="array" ref="AB9">IFERROR(MEDIAN(IF(ISNUMBER(AB10:AB59),AB10:AB59,"")),"-")</f>
        <v>-</v>
      </c>
      <c r="AC9" s="87">
        <f t="array" ref="AC9">IFERROR(MEDIAN(IF(ISNUMBER(AC10:AC59),AC10:AC59,"")),"-")</f>
        <v>10.863573879318899</v>
      </c>
      <c r="AD9" s="87">
        <f t="array" ref="AD9">IFERROR(MEDIAN(IF(ISNUMBER(AD10:AD59),AD10:AD59,"")),"-")</f>
        <v>10.051103244805361</v>
      </c>
      <c r="AE9" s="87">
        <f t="array" ref="AE9">IFERROR(MEDIAN(IF(ISNUMBER(AE10:AE59),AE10:AE59,"")),"-")</f>
        <v>13.925665304511901</v>
      </c>
      <c r="AF9" s="87" t="str">
        <f t="array" ref="AF9">IFERROR(MEDIAN(IF(ISNUMBER(AF10:AF59),AF10:AF59,"")),"-")</f>
        <v>-</v>
      </c>
      <c r="AG9" s="87">
        <f t="array" ref="AG9">IFERROR(MEDIAN(IF(ISNUMBER(AG10:AG59),AG10:AG59,"")),"-")</f>
        <v>12.5451463514318</v>
      </c>
      <c r="AH9" s="87">
        <f t="array" ref="AH9">IFERROR(MEDIAN(IF(ISNUMBER(AH10:AH59),AH10:AH59,"")),"-")</f>
        <v>11.55560616217735</v>
      </c>
      <c r="AI9" s="88">
        <f t="array" ref="AI9">IFERROR(MEDIAN(IF(ISNUMBER(AI10:AI59),AI10:AI59,"")),"-")</f>
        <v>12.22683529275</v>
      </c>
      <c r="AJ9" s="88">
        <f t="array" ref="AJ9">IFERROR(MEDIAN(IF(ISNUMBER(AJ10:AJ59),AJ10:AJ59,"")),"-")</f>
        <v>11.7694477599271</v>
      </c>
      <c r="AK9" s="88">
        <f t="array" ref="AK9">IFERROR(MEDIAN(IF(ISNUMBER(AK10:AK59),AK10:AK59,"")),"-")</f>
        <v>10.72772964692815</v>
      </c>
      <c r="AL9" s="88">
        <f t="array" ref="AL9">IFERROR(MEDIAN(IF(ISNUMBER(AL10:AL59),AL10:AL59,"")),"-")</f>
        <v>10.4597542454784</v>
      </c>
      <c r="AM9" s="88">
        <f t="array" ref="AM9">IFERROR(MEDIAN(IF(ISNUMBER(AM10:AM59),AM10:AM59,"")),"-")</f>
        <v>3.65894540671803</v>
      </c>
      <c r="AN9" s="89">
        <f t="array" ref="AN9">IFERROR(MEDIAN(IF(ISNUMBER(AN10:AN59),AN10:AN59,"")),"-")</f>
        <v>4.6681486186090799</v>
      </c>
      <c r="AO9" s="89">
        <f t="array" ref="AO9">IFERROR(MEDIAN(IF(ISNUMBER(AO10:AO59),AO10:AO59,"")),"-")</f>
        <v>2.6106163907054398</v>
      </c>
      <c r="AP9" s="89">
        <f t="array" ref="AP9">IFERROR(MEDIAN(IF(ISNUMBER(AP10:AP59),AP10:AP59,"")),"-")</f>
        <v>2.5706725040871201</v>
      </c>
      <c r="AQ9" s="89">
        <f t="array" ref="AQ9">IFERROR(MEDIAN(IF(ISNUMBER(AQ10:AQ59),AQ10:AQ59,"")),"-")</f>
        <v>2.3624701249046001</v>
      </c>
      <c r="AR9" s="89">
        <f t="array" ref="AR9">IFERROR(MEDIAN(IF(ISNUMBER(AR10:AR59),AR10:AR59,"")),"-")</f>
        <v>2.3098443314769201</v>
      </c>
      <c r="AS9" s="89">
        <f t="array" ref="AS9">IFERROR(MEDIAN(IF(ISNUMBER(AS10:AS59),AS10:AS59,"")),"-")</f>
        <v>2.3107056584782799</v>
      </c>
      <c r="AT9" s="90">
        <f t="array" ref="AT9">IFERROR(MEDIAN(IF(ISNUMBER(AT10:AT59),AT10:AT59,"")),"-")</f>
        <v>3.9346196282201706E-3</v>
      </c>
      <c r="AU9" s="42">
        <f t="array" ref="AU9">IFERROR(MEDIAN(IF(ISNUMBER(AU10:AU59),AU10:AU59,"")),"-")</f>
        <v>10063.2206928795</v>
      </c>
      <c r="AV9" s="42">
        <f t="array" ref="AV9">IFERROR(MEDIAN(IF(ISNUMBER(AV10:AV59),AV10:AV59,"")),"-")</f>
        <v>9958.7483601835702</v>
      </c>
      <c r="AW9" s="42">
        <f t="array" ref="AW9">IFERROR(MEDIAN(IF(ISNUMBER(AW10:AW59),AW10:AW59,"")),"-")</f>
        <v>9995.5455219927007</v>
      </c>
      <c r="AX9" s="42">
        <f t="array" ref="AX9">IFERROR(MEDIAN(IF(ISNUMBER(AX10:AX59),AX10:AX59,"")),"-")</f>
        <v>10133.4633327426</v>
      </c>
      <c r="AY9" s="42">
        <f t="array" ref="AY9">IFERROR(MEDIAN(IF(ISNUMBER(AY10:AY59),AY10:AY59,"")),"-")</f>
        <v>4428.23907341629</v>
      </c>
      <c r="AZ9" s="42">
        <f t="array" ref="AZ9">IFERROR(MEDIAN(IF(ISNUMBER(AZ10:AZ59),AZ10:AZ59,"")),"-")</f>
        <v>4128.5241890014404</v>
      </c>
      <c r="BA9" s="42">
        <f t="array" ref="BA9">IFERROR(MEDIAN(IF(ISNUMBER(BA10:BA59),BA10:BA59,"")),"-")</f>
        <v>4125.7645272806903</v>
      </c>
      <c r="BB9" s="42">
        <f t="array" ref="BB9">IFERROR(MEDIAN(IF(ISNUMBER(BB10:BB59),BB10:BB59,"")),"-")</f>
        <v>4356.17530154213</v>
      </c>
      <c r="BC9" s="91">
        <f t="array" ref="BC9">IFERROR(MEDIAN(IF(ISNUMBER(BC10:BC59),BC10:BC59,"")),"-")</f>
        <v>40.919726421900002</v>
      </c>
      <c r="BD9" s="91">
        <f t="array" ref="BD9">IFERROR(MEDIAN(IF(ISNUMBER(BD10:BD59),BD10:BD59,"")),"-")</f>
        <v>41.456255743019298</v>
      </c>
      <c r="BE9" s="91">
        <f t="array" ref="BE9">IFERROR(MEDIAN(IF(ISNUMBER(BE10:BE59),BE10:BE59,"")),"-")</f>
        <v>41.342057150374899</v>
      </c>
      <c r="BF9" s="42">
        <f t="array" ref="BF9">IFERROR(MEDIAN(IF(ISNUMBER(BF10:BF59),BF10:BF59,"")),"-")</f>
        <v>4128.5241890014404</v>
      </c>
      <c r="BG9" s="42">
        <f t="array" ref="BG9">IFERROR(MEDIAN(IF(ISNUMBER(BG10:BG59),BG10:BG59,"")),"-")</f>
        <v>4125.7645272806903</v>
      </c>
      <c r="BH9" s="42">
        <f t="array" ref="BH9">IFERROR(MEDIAN(IF(ISNUMBER(BH10:BH59),BH10:BH59,"")),"-")</f>
        <v>4356.17530154213</v>
      </c>
      <c r="BI9" s="91">
        <f t="array" ref="BI9">IFERROR(MEDIAN(IF(ISNUMBER(BI10:BI59),BI10:BI59,"")),"-")</f>
        <v>41.456255743019298</v>
      </c>
      <c r="BJ9" s="91">
        <f t="array" ref="BJ9">IFERROR(MEDIAN(IF(ISNUMBER(BJ10:BJ59),BJ10:BJ59,"")),"-")</f>
        <v>41.342057150374899</v>
      </c>
      <c r="BK9" s="91">
        <f t="array" ref="BK9">IFERROR(MEDIAN(IF(ISNUMBER(BK10:BK59),BK10:BK59,"")),"-")</f>
        <v>41.633379298473798</v>
      </c>
      <c r="BL9" s="42">
        <f t="array" ref="BL9">IFERROR(MEDIAN(IF(ISNUMBER(BL10:BL59),BL10:BL59,"")),"-")</f>
        <v>2743.7192344334399</v>
      </c>
      <c r="BM9" s="42">
        <f t="array" ref="BM9">IFERROR(MEDIAN(IF(ISNUMBER(BM10:BM59),BM10:BM59,"")),"-")</f>
        <v>2329.9679887636098</v>
      </c>
      <c r="BN9" s="42">
        <f t="array" ref="BN9">IFERROR(MEDIAN(IF(ISNUMBER(BN10:BN59),BN10:BN59,"")),"-")</f>
        <v>2295.1750927242601</v>
      </c>
      <c r="BO9" s="42">
        <f t="array" ref="BO9">IFERROR(MEDIAN(IF(ISNUMBER(BO10:BO59),BO10:BO59,"")),"-")</f>
        <v>2706.6188771755101</v>
      </c>
      <c r="BP9" s="92"/>
      <c r="BQ9" s="92"/>
      <c r="BR9" s="92"/>
      <c r="BS9" s="92"/>
      <c r="BT9" s="42">
        <f t="array" ref="BT9">IFERROR(MEDIAN(IF(ISNUMBER(BT10:BT59),BT10:BT59,"")),"-")</f>
        <v>2272.3285010702102</v>
      </c>
      <c r="BU9" s="42">
        <f t="array" ref="BU9">IFERROR(MEDIAN(IF(ISNUMBER(BU10:BU59),BU10:BU59,"")),"-")</f>
        <v>2003.9709192007001</v>
      </c>
      <c r="BV9" s="42">
        <f t="array" ref="BV9">IFERROR(MEDIAN(IF(ISNUMBER(BV10:BV59),BV10:BV59,"")),"-")</f>
        <v>1992.80919673328</v>
      </c>
      <c r="BW9" s="42">
        <f t="array" ref="BW9">IFERROR(MEDIAN(IF(ISNUMBER(BW10:BW59),BW10:BW59,"")),"-")</f>
        <v>1992.9790918505601</v>
      </c>
      <c r="BX9" s="42">
        <f t="array" ref="BX9">IFERROR(MEDIAN(IF(ISNUMBER(BX10:BX59),BX10:BX59,"")),"-")</f>
        <v>17629.333946275699</v>
      </c>
      <c r="BY9" s="42">
        <f t="array" ref="BY9">IFERROR(MEDIAN(IF(ISNUMBER(BY10:BY59),BY10:BY59,"")),"-")</f>
        <v>15393.783874427099</v>
      </c>
      <c r="BZ9" s="42">
        <f t="array" ref="BZ9">IFERROR(MEDIAN(IF(ISNUMBER(BZ10:BZ59),BZ10:BZ59,"")),"-")</f>
        <v>15285.526666228299</v>
      </c>
      <c r="CA9" s="42">
        <f t="array" ref="CA9">IFERROR(MEDIAN(IF(ISNUMBER(CA10:CA59),CA10:CA59,"")),"-")</f>
        <v>14986.721522035599</v>
      </c>
      <c r="CD9" s="56" t="s">
        <v>474</v>
      </c>
      <c r="CK9" s="22"/>
      <c r="CM9" s="23"/>
      <c r="CN9" s="23"/>
      <c r="CO9" s="23"/>
      <c r="CP9" s="23"/>
      <c r="CQ9" s="23"/>
      <c r="CR9" s="23"/>
      <c r="CS9" s="23"/>
      <c r="CT9" s="23"/>
    </row>
    <row r="10" spans="1:98">
      <c r="B10" s="23"/>
      <c r="C10" s="112"/>
      <c r="D10" s="37">
        <f>IF($C$8="User Input",C10,IF(CD10="","",CD10))</f>
        <v>0</v>
      </c>
      <c r="E10" s="31" t="str">
        <f>_xll.TR($D$10:$D$59,"TR.CommonName","Null=BLANK")</f>
        <v>Retrieving...</v>
      </c>
      <c r="F10" s="73" t="str">
        <f>_xll.TR($D$10:$D$59,F$6,"Null=BLANK")</f>
        <v>Retrieving...</v>
      </c>
      <c r="G10" s="81" t="str">
        <f>_xll.TR($D$10:$D$59,G$6,"Null=BLANK")</f>
        <v>Retrieving...</v>
      </c>
      <c r="H10" s="82" t="str">
        <f>_xll.TR($D$10:$D$59,H$6,"Curn=#1 Null=BLANK",,$H$5)</f>
        <v>Retrieving...</v>
      </c>
      <c r="I10" s="74" t="str">
        <f>_xll.TR($D$10:$D$59,I$6,"Curn=#1 Scale=6 Null=BLANK",,$H$5)</f>
        <v>Retrieving...</v>
      </c>
      <c r="J10" s="74" t="str">
        <f>_xll.TR($D$10:$D$59,J$6,"Curn=#1 Scale=6 Null=BLANK",,$H$5)</f>
        <v>Retrieving...</v>
      </c>
      <c r="K10" s="74" t="str">
        <f>_xll.TR($D$10:$D$59,K$6,"Curn=#1 Scale=6 Null=BLANK",,$H$5)</f>
        <v>Retrieving...</v>
      </c>
      <c r="L10" s="74" t="str">
        <f>_xll.TR($D$10:$D$59,L$6,"Curn=#1 Scale=6 Null=BLANK",,$H$5)</f>
        <v>Retrieving...</v>
      </c>
      <c r="M10" s="74" t="str">
        <f>_xll.TR($D$10:$D$59,M$6,"Curn=#1 Scale=6 Null=BLANK",,$H$5)</f>
        <v>Retrieving...</v>
      </c>
      <c r="N10" s="74" t="str">
        <f>_xll.TR($D$10:$D$59,N$6,"Curn=#1 Scale=6 Null=BLANK",,$H$5)</f>
        <v>Retrieving...</v>
      </c>
      <c r="O10" s="74" t="str">
        <f>_xll.TR($D$10:$D$59,O$6,"Curn=#1 Scale=6 Null=BLANK",,$H$5)</f>
        <v>Retrieving...</v>
      </c>
      <c r="P10" s="74"/>
      <c r="Q10" s="74">
        <f t="shared" ref="Q10:Q59" si="0">IF(D10="","",SUM(I10,J10,M10:P10)-SUM(K10:L10))</f>
        <v>0</v>
      </c>
      <c r="R10" s="74" t="str">
        <f>IF(D10="","",_xll.TR($D10,R$6,"Curn=#2 scale=6",,$F10,$H$5))</f>
        <v>Retrieving...</v>
      </c>
      <c r="S10" s="75" t="str">
        <f>_xll.TR($D10:$D59,S$6,"Curn=#2 Scale=6 Null=BLANK",,$R10,$H$5)</f>
        <v>Retrieving...</v>
      </c>
      <c r="T10" s="75" t="str">
        <f>_xll.TR(D10,T$6,"Curn=#2 Scale=6 Transpose=Y Null=BLANK",,$Q10,$H$5)</f>
        <v>Retrieving...</v>
      </c>
      <c r="U10" s="75">
        <v>2.9275267710031798</v>
      </c>
      <c r="V10" s="75">
        <v>2.8275064475398102</v>
      </c>
      <c r="W10" s="75" t="str">
        <f>_xll.TR($D10:$D59,W$6,"Curn=#2 Scale=6 Null=BLANK",,$R10,$H$5)</f>
        <v>Retrieving...</v>
      </c>
      <c r="X10" s="75" t="str">
        <f>_xll.TR($D10,X$6,"Curn=#2 Scale=6 Transpose=Y Null=BLANK",,$Q10,$H$5)</f>
        <v>Retrieving...</v>
      </c>
      <c r="Y10" s="75">
        <v>7.4732969504525304</v>
      </c>
      <c r="Z10" s="75">
        <v>7.0125682650923098</v>
      </c>
      <c r="AA10" s="75" t="str">
        <f>_xll.TR($D10:$D59,AA$6,"Curn=#2 Scale=6 Null=BLANK",,$R10,$H$5)</f>
        <v>Retrieving...</v>
      </c>
      <c r="AB10" s="75" t="str">
        <f>_xll.TR($D10,AB$6,"Curn=#2 Scale=6 Period=FY1:FY3 Transpose=Y Null=BLANK",,$Q10,$H$5)</f>
        <v>Retrieving...</v>
      </c>
      <c r="AC10" s="75">
        <v>10.802167638531101</v>
      </c>
      <c r="AD10" s="75">
        <v>9.8316859545505206</v>
      </c>
      <c r="AE10" s="75" t="str">
        <f>_xll.TR($D10:$D59,AE$6,"Curn=#2 Scale=6 Null=BLANK",,$R10,$H$5)</f>
        <v>Retrieving...</v>
      </c>
      <c r="AF10" s="75" t="str">
        <f>_xll.TR($D10,AF$6,"Curn=#2 Scale=6 Transpose=Y Null=BLANK",,$Q10,$H$5)</f>
        <v>Retrieving...</v>
      </c>
      <c r="AG10" s="75">
        <v>12.924816392421601</v>
      </c>
      <c r="AH10" s="75">
        <v>11.6374033048152</v>
      </c>
      <c r="AI10" s="76" t="str">
        <f>_xll.TR($D$10:$D$59,AI$6,"Curn=#1 Null=BLANK",,$H$5)</f>
        <v>Retrieving...</v>
      </c>
      <c r="AJ10" s="76" t="str">
        <f>_xll.TR($D$10:$D$59,AJ$6,"Null=BLANK")</f>
        <v>Retrieving...</v>
      </c>
      <c r="AK10" s="76" t="str">
        <f>_xll.TR($D$10:$D$59,AK$6,"Null=BLANK")</f>
        <v>Retrieving...</v>
      </c>
      <c r="AL10" s="76" t="str">
        <f>_xll.TR($D$10:$D$59,AL$6,"Null=BLANK")</f>
        <v>Retrieving...</v>
      </c>
      <c r="AM10" s="76" t="str">
        <f>_xll.TR($D$10:$D$59,AM$6,"Null=BLANK")</f>
        <v>Retrieving...</v>
      </c>
      <c r="AN10" s="77" t="str">
        <f>_xll.TR($D$10:$D$59,AN$6,"Null=BLANK")</f>
        <v>Retrieving...</v>
      </c>
      <c r="AO10" s="77" t="str">
        <f>_xll.TR($D$10:$D$59,AO$6,"Null=BLANK")</f>
        <v>Retrieving...</v>
      </c>
      <c r="AP10" s="77" t="str">
        <f>_xll.TR($D$10:$D$59,AP$6,"Curn=#1",,$H$5)</f>
        <v>Retrieving...</v>
      </c>
      <c r="AQ10" s="77" t="str">
        <f>_xll.TR($D$10:$D$59,AQ$6,"Null=BLANK")</f>
        <v>Retrieving...</v>
      </c>
      <c r="AR10" s="77" t="str">
        <f>_xll.TR($D$10:$D$59,AR$6,"Null=BLANK")</f>
        <v>Retrieving...</v>
      </c>
      <c r="AS10" s="77" t="str">
        <f>_xll.TR($D$10:$D$59,AS$6,"Null=BLANK")</f>
        <v>Retrieving...</v>
      </c>
      <c r="AT10" s="78" t="str">
        <f t="shared" ref="AT10:AT59" si="1">IF($D10="","",IFERROR((AX10/AU10)^(1/3)-1,"-"))</f>
        <v>-</v>
      </c>
      <c r="AU10" s="74" t="str">
        <f>_xll.TR($D$10:$D$59,AU$6,"Curn=#1 Null=BLANK",,$H$5)</f>
        <v>Retrieving...</v>
      </c>
      <c r="AV10" s="74" t="str">
        <f>_xll.TR($D$10:$D$59,AV$6,"Curn=#1 Null=BLANK",,$H$5)</f>
        <v>Retrieving...</v>
      </c>
      <c r="AW10" s="74" t="str">
        <f>_xll.TR($D$10:$D$59,AW$6,"Curn=#1 Null=BLANK",,$H$5)</f>
        <v>Retrieving...</v>
      </c>
      <c r="AX10" s="74" t="str">
        <f>_xll.TR($D$10:$D$59,AX$6,"Curn=#1 Null=BLANK",,$H$5)</f>
        <v>Retrieving...</v>
      </c>
      <c r="AY10" s="74" t="str">
        <f>_xll.TR($D$10:$D$59,AY$6,"Curn=#1 Null=BLANK",,$H$5)</f>
        <v>Retrieving...</v>
      </c>
      <c r="AZ10" s="74" t="str">
        <f>_xll.TR($D$10:$D$59,AZ$6,"Curn=#1 Null=BLANK",,$H$5)</f>
        <v>Retrieving...</v>
      </c>
      <c r="BA10" s="74" t="str">
        <f>_xll.TR($D$10:$D$59,BA$6,"Curn=#1 Null=BLANK",,$H$5)</f>
        <v>Retrieving...</v>
      </c>
      <c r="BB10" s="74" t="str">
        <f>_xll.TR($D$10:$D$59,BB$6,"Curn=#1 Null=BLANK",,$H$5)</f>
        <v>Retrieving...</v>
      </c>
      <c r="BC10" s="77" t="str">
        <f>_xll.TR($D$10:$D$59,BC$6,"Null=BLANK")</f>
        <v>Retrieving...</v>
      </c>
      <c r="BD10" s="77" t="str">
        <f>_xll.TR($D$10:$D$59,BD$6,"Null=BLANK")</f>
        <v>Retrieving...</v>
      </c>
      <c r="BE10" s="77" t="str">
        <f>_xll.TR($D$10:$D$59,BE$6,"Null=BLANK")</f>
        <v>Retrieving...</v>
      </c>
      <c r="BF10" s="74" t="str">
        <f>_xll.TR($D$10:$D$59,BF$6,"Curn=#1 Null=BLANK",,$H$5,"CY"&amp;YEAR(Valuation!$E$10))</f>
        <v>Retrieving...</v>
      </c>
      <c r="BG10" s="74" t="str">
        <f>_xll.TR($D$10:$D$59,BG$6,"Curn=#1 Null=BLANK",,$H$5,"CY"&amp;YEAR(Valuation!$E$10)+1)</f>
        <v>Retrieving...</v>
      </c>
      <c r="BH10" s="74" t="str">
        <f>_xll.TR($D$10:$D$59,BH$6,"Curn=#1 Null=BLANK",,$H$5,"CY"&amp;YEAR(Valuation!$E$10)+2)</f>
        <v>Retrieving...</v>
      </c>
      <c r="BI10" s="77" t="str">
        <f>_xll.TR($D$10:$D$59,BI$6,"Null=BLANK",,"CY"&amp;YEAR(Valuation!$E$10))</f>
        <v>Invalid argument reference.</v>
      </c>
      <c r="BJ10" s="77" t="str">
        <f>_xll.TR($D$10:$D$59,BJ$6,"Null=BLANK",,"CY"&amp;YEAR(Valuation!$E$10)+1)</f>
        <v>Invalid argument reference.</v>
      </c>
      <c r="BK10" s="77" t="str">
        <f>_xll.TR($D$10:$D$59,BK$6,"Null=BLANK",,"CY"&amp;YEAR(Valuation!$E$10)+2)</f>
        <v>Invalid argument reference.</v>
      </c>
      <c r="BL10" s="74" t="str">
        <f>_xll.TR($D$10:$D$59,BL$6,"Curn=#1 Null=BLANK",,$H$5)</f>
        <v>Retrieving...</v>
      </c>
      <c r="BM10" s="74" t="str">
        <f>_xll.TR($D$10:$D$59,BM$6,"Curn=#1 Null=BLANK",,$H$5)</f>
        <v>Retrieving...</v>
      </c>
      <c r="BN10" s="74" t="str">
        <f>_xll.TR($D$10:$D$59,BN$6,"Curn=#1 Null=BLANK",,$H$5)</f>
        <v>Retrieving...</v>
      </c>
      <c r="BO10" s="74" t="str">
        <f>_xll.TR($D$10:$D$59,BO$6,"Curn=#1 Null=BLANK",,$H$5)</f>
        <v>Retrieving...</v>
      </c>
      <c r="BP10" s="82" t="str">
        <f>_xll.TR($D$10:$D$59,BP$6,"Curn=#1 Null=BLANK",,$H$5)</f>
        <v>Retrieving...</v>
      </c>
      <c r="BQ10" s="82" t="str">
        <f>_xll.TR($D$10:$D$59,BQ$6,"Curn=#1 Null=BLANK",,$H$5)</f>
        <v>Retrieving...</v>
      </c>
      <c r="BR10" s="82" t="str">
        <f>_xll.TR($D$10:$D$59,BR$6,"Curn=#1 Null=BLANK",,$H$5)</f>
        <v>Retrieving...</v>
      </c>
      <c r="BS10" s="82" t="str">
        <f>_xll.TR($D$10:$D$59,BS$6,"Curn=#1 Null=BLANK",,$H$5)</f>
        <v>Retrieving...</v>
      </c>
      <c r="BT10" s="74" t="str">
        <f>_xll.TR($D$10:$D$59,BT$6,"Curn=#1 Null=BLANK",,$H$5)</f>
        <v>Retrieving...</v>
      </c>
      <c r="BU10" s="74" t="str">
        <f>_xll.TR($D$10:$D$59,BU$6,"Curn=#1 Null=BLANK",,$H$5)</f>
        <v>Retrieving...</v>
      </c>
      <c r="BV10" s="74" t="str">
        <f>_xll.TR($D$10:$D$59,BV$6,"Curn=#1 Null=BLANK",,$H$5)</f>
        <v>Retrieving...</v>
      </c>
      <c r="BW10" s="74" t="str">
        <f>_xll.TR($D$10:$D$59,BW$6,"Curn=#1 Null=BLANK",,$H$5)</f>
        <v>Retrieving...</v>
      </c>
      <c r="BX10" s="74" t="str">
        <f>_xll.TR($D$10:$D$59,BX$6,"Curn=#1 Null=BLANK",,$H$5)</f>
        <v>Retrieving...</v>
      </c>
      <c r="BY10" s="74" t="str">
        <f>_xll.TR($D$10:$D$59,BY$6,"Curn=#1 Null=BLANK",,$H$5)</f>
        <v>Retrieving...</v>
      </c>
      <c r="BZ10" s="74" t="str">
        <f>_xll.TR($D$10:$D$59,BZ$6,"Curn=#1 Null=BLANK",,$H$5)</f>
        <v>Retrieving...</v>
      </c>
      <c r="CA10" s="74" t="str">
        <f>_xll.TR($D$10:$D$59,CA$6,"Curn=#1 Null=BLANK",,$H$5)</f>
        <v>Retrieving...</v>
      </c>
      <c r="CD10" s="93">
        <f>_xll.TR($CD$6,"TR.CompanyMarketCap(Scale=6)","CURN=USD RH=In SORTD=TR.CompanyMarketCap",CD10:CD59)</f>
        <v>0</v>
      </c>
      <c r="CM10" s="23"/>
      <c r="CN10" s="25"/>
      <c r="CO10" s="25"/>
      <c r="CP10" s="25"/>
      <c r="CQ10" s="23"/>
      <c r="CR10" s="23"/>
      <c r="CS10" s="23"/>
      <c r="CT10" s="23"/>
    </row>
    <row r="11" spans="1:98">
      <c r="B11" s="23"/>
      <c r="C11" s="112"/>
      <c r="D11" s="41" t="str">
        <f t="shared" ref="D11:D59" si="2">IF($C$8="User Input",C11,IF(CD11="","",CD11))</f>
        <v>DTEGn.DE</v>
      </c>
      <c r="E11" s="32" t="s">
        <v>519</v>
      </c>
      <c r="F11" s="66">
        <v>44926</v>
      </c>
      <c r="G11" s="32" t="s">
        <v>404</v>
      </c>
      <c r="H11" s="72">
        <v>17.378198784722201</v>
      </c>
      <c r="I11" s="67">
        <v>86343.980689962598</v>
      </c>
      <c r="J11" s="67">
        <v>126337.83692817899</v>
      </c>
      <c r="K11" s="67">
        <v>12079.612367579801</v>
      </c>
      <c r="L11" s="67">
        <v>6311.1809533161004</v>
      </c>
      <c r="M11" s="67">
        <v>29848.648305130999</v>
      </c>
      <c r="N11" s="67"/>
      <c r="O11" s="67">
        <v>3323.4821457794701</v>
      </c>
      <c r="P11" s="67"/>
      <c r="Q11" s="67">
        <f t="shared" si="0"/>
        <v>227463.15474815617</v>
      </c>
      <c r="R11" s="67" t="str">
        <f>IF(D11="","",_xll.TR($D11,R$6,"Curn=#2 scale=6",,$F11,$H$5))</f>
        <v>Retrieving...</v>
      </c>
      <c r="S11" s="68">
        <v>2.4219305899009602</v>
      </c>
      <c r="T11" s="68" t="str">
        <f>_xll.TR(D11,T$6,"Curn=#2 Scale=6 Transpose=Y Null=BLANK",,$Q11,$H$5)</f>
        <v>Retrieving...</v>
      </c>
      <c r="U11" s="68">
        <v>2.3012827138747198</v>
      </c>
      <c r="V11" s="68">
        <v>2.2460765159890701</v>
      </c>
      <c r="W11" s="68">
        <v>6.0517528242729002</v>
      </c>
      <c r="X11" s="68" t="str">
        <f>_xll.TR($D11,X$6,"Curn=#2 Scale=6 Transpose=Y Null=BLANK",,$Q11,$H$5)</f>
        <v>Retrieving...</v>
      </c>
      <c r="Y11" s="68">
        <v>5.8160285667164304</v>
      </c>
      <c r="Z11" s="68">
        <v>5.5998516434713297</v>
      </c>
      <c r="AA11" s="68">
        <v>12.811617916199699</v>
      </c>
      <c r="AB11" s="68" t="str">
        <f>_xll.TR($D11,AB$6,"Curn=#2 Scale=6 Period=FY1:FY3 Transpose=Y Null=BLANK",,$Q11,$H$5)</f>
        <v>Retrieving...</v>
      </c>
      <c r="AC11" s="68">
        <v>9.7049530127996402</v>
      </c>
      <c r="AD11" s="68">
        <v>8.88601943878386</v>
      </c>
      <c r="AE11" s="68">
        <v>14.5329834257222</v>
      </c>
      <c r="AF11" s="68" t="str">
        <f>_xll.TR($D11,AF$6,"Curn=#2 Scale=6 Transpose=Y Null=BLANK",,$Q11,$H$5)</f>
        <v>Retrieving...</v>
      </c>
      <c r="AG11" s="68">
        <v>10.973905496962301</v>
      </c>
      <c r="AH11" s="68">
        <v>9.9544650067228009</v>
      </c>
      <c r="AI11" s="69">
        <v>12.2609547993</v>
      </c>
      <c r="AJ11" s="69">
        <v>11.8731014266634</v>
      </c>
      <c r="AK11" s="69">
        <v>10.570401822591901</v>
      </c>
      <c r="AL11" s="69">
        <v>9.4674835061262996</v>
      </c>
      <c r="AM11" s="69">
        <v>4.1645288605628199</v>
      </c>
      <c r="AN11" s="70">
        <v>3.4843205574912899</v>
      </c>
      <c r="AO11" s="70">
        <v>3.1136930550085302</v>
      </c>
      <c r="AP11" s="70">
        <v>3.7361208615315502</v>
      </c>
      <c r="AQ11" s="70">
        <v>3.2269977676260102</v>
      </c>
      <c r="AR11" s="70">
        <v>2.77312442699907</v>
      </c>
      <c r="AS11" s="70">
        <v>2.5694679255628601</v>
      </c>
      <c r="AT11" s="71">
        <f t="shared" si="1"/>
        <v>8.0083403602260184E-4</v>
      </c>
      <c r="AU11" s="67">
        <v>101028.41400899</v>
      </c>
      <c r="AV11" s="67">
        <v>96353.157454509594</v>
      </c>
      <c r="AW11" s="67">
        <v>98841.899509674506</v>
      </c>
      <c r="AX11" s="67">
        <v>101271.32941773</v>
      </c>
      <c r="AY11" s="67">
        <v>40431.890303938402</v>
      </c>
      <c r="AZ11" s="67">
        <v>36890.994683333302</v>
      </c>
      <c r="BA11" s="67">
        <v>39109.703836371496</v>
      </c>
      <c r="BB11" s="67">
        <v>40619.496592083298</v>
      </c>
      <c r="BC11" s="70">
        <v>40.020315770099998</v>
      </c>
      <c r="BD11" s="70">
        <v>38.287271178166002</v>
      </c>
      <c r="BE11" s="70">
        <v>39.567940347548202</v>
      </c>
      <c r="BF11" s="67">
        <v>35922.2805117729</v>
      </c>
      <c r="BG11" s="67">
        <v>39109.703836371496</v>
      </c>
      <c r="BH11" s="67">
        <v>40619.496592083298</v>
      </c>
      <c r="BI11" s="70">
        <v>39.646169629568398</v>
      </c>
      <c r="BJ11" s="70">
        <v>39.567940347548202</v>
      </c>
      <c r="BK11" s="70">
        <v>40.109571806383201</v>
      </c>
      <c r="BL11" s="67">
        <v>16836.447078338999</v>
      </c>
      <c r="BM11" s="67">
        <v>20743.389206471398</v>
      </c>
      <c r="BN11" s="67">
        <v>20727.639290416701</v>
      </c>
      <c r="BO11" s="67">
        <v>22850.364594635401</v>
      </c>
      <c r="BP11" s="72">
        <v>1.3448190619649001</v>
      </c>
      <c r="BQ11" s="72">
        <v>1.4636612760416701</v>
      </c>
      <c r="BR11" s="72">
        <v>1.6440433463541699</v>
      </c>
      <c r="BS11" s="72">
        <v>1.8355668402777801</v>
      </c>
      <c r="BT11" s="67">
        <v>21333.3027611301</v>
      </c>
      <c r="BU11" s="67">
        <v>14857.758600868099</v>
      </c>
      <c r="BV11" s="67">
        <v>15671.861896471401</v>
      </c>
      <c r="BW11" s="67">
        <v>15021.628354774301</v>
      </c>
      <c r="BX11" s="67">
        <v>125892.49604024</v>
      </c>
      <c r="BY11" s="67">
        <v>119047.15748862</v>
      </c>
      <c r="BZ11" s="67">
        <v>108456.075041341</v>
      </c>
      <c r="CA11" s="67">
        <v>104370.493645868</v>
      </c>
      <c r="CD11" s="93" t="s">
        <v>516</v>
      </c>
      <c r="CM11" s="23"/>
      <c r="CN11" s="25"/>
      <c r="CO11" s="25"/>
      <c r="CP11" s="25"/>
      <c r="CQ11" s="23"/>
      <c r="CR11" s="23"/>
      <c r="CS11" s="23"/>
      <c r="CT11" s="23"/>
    </row>
    <row r="12" spans="1:98">
      <c r="B12" s="23"/>
      <c r="C12" s="112"/>
      <c r="D12" s="41" t="str">
        <f t="shared" si="2"/>
        <v>ORAN.PA</v>
      </c>
      <c r="E12" s="32" t="s">
        <v>403</v>
      </c>
      <c r="F12" s="66">
        <v>44926</v>
      </c>
      <c r="G12" s="32" t="s">
        <v>404</v>
      </c>
      <c r="H12" s="72">
        <v>9.5013506944444508</v>
      </c>
      <c r="I12" s="67">
        <v>25183.223187985601</v>
      </c>
      <c r="J12" s="67">
        <v>42495.914858333599</v>
      </c>
      <c r="K12" s="67">
        <v>8021.8725384304898</v>
      </c>
      <c r="L12" s="67">
        <v>1289.0301552493499</v>
      </c>
      <c r="M12" s="67">
        <v>2592.6595860744701</v>
      </c>
      <c r="N12" s="67"/>
      <c r="O12" s="67">
        <v>2232.8303821774198</v>
      </c>
      <c r="P12" s="67"/>
      <c r="Q12" s="67">
        <f t="shared" si="0"/>
        <v>63193.725320891252</v>
      </c>
      <c r="R12" s="67" t="str">
        <f>IF(D12="","",_xll.TR($D12,R$6,"Curn=#2 scale=6",,$F12,$H$5))</f>
        <v>Retrieving...</v>
      </c>
      <c r="S12" s="68">
        <v>1.5285534393464599</v>
      </c>
      <c r="T12" s="68" t="str">
        <f>_xll.TR(D12,T$6,"Curn=#2 Scale=6 Transpose=Y Null=BLANK",,$Q12,$H$5)</f>
        <v>Retrieving...</v>
      </c>
      <c r="U12" s="68">
        <v>1.63920239960166</v>
      </c>
      <c r="V12" s="68">
        <v>1.62393706762391</v>
      </c>
      <c r="W12" s="68">
        <v>4.6227735189808001</v>
      </c>
      <c r="X12" s="68" t="str">
        <f>_xll.TR($D12,X$6,"Curn=#2 Scale=6 Transpose=Y Null=BLANK",,$Q12,$H$5)</f>
        <v>Retrieving...</v>
      </c>
      <c r="Y12" s="68">
        <v>5.3730039089373003</v>
      </c>
      <c r="Z12" s="68">
        <v>5.2733385207046704</v>
      </c>
      <c r="AA12" s="68">
        <v>11.872029044457699</v>
      </c>
      <c r="AB12" s="68" t="str">
        <f>_xll.TR($D12,AB$6,"Curn=#2 Scale=6 Period=FY1:FY3 Transpose=Y Null=BLANK",,$Q12,$H$5)</f>
        <v>Retrieving...</v>
      </c>
      <c r="AC12" s="68">
        <v>10.9501595997157</v>
      </c>
      <c r="AD12" s="68">
        <v>10.494360381860901</v>
      </c>
      <c r="AE12" s="68">
        <v>11.395600507945501</v>
      </c>
      <c r="AF12" s="68" t="str">
        <f>_xll.TR($D12,AF$6,"Curn=#2 Scale=6 Transpose=Y Null=BLANK",,$Q12,$H$5)</f>
        <v>Retrieving...</v>
      </c>
      <c r="AG12" s="68">
        <v>12.165476310441999</v>
      </c>
      <c r="AH12" s="68">
        <v>11.4738090195395</v>
      </c>
      <c r="AI12" s="69">
        <v>12.7356807641</v>
      </c>
      <c r="AJ12" s="69">
        <v>10.037742056348099</v>
      </c>
      <c r="AK12" s="69">
        <v>9.4949948998115499</v>
      </c>
      <c r="AL12" s="69">
        <v>8.8471482767230807</v>
      </c>
      <c r="AM12" s="69">
        <v>0.36860039096835201</v>
      </c>
      <c r="AN12" s="70">
        <v>6.37290604515659</v>
      </c>
      <c r="AO12" s="70">
        <v>2.6106163907054398</v>
      </c>
      <c r="AP12" s="70">
        <v>2.8731033495562599</v>
      </c>
      <c r="AQ12" s="70">
        <v>2.3624701249046001</v>
      </c>
      <c r="AR12" s="70">
        <v>2.2464609599851899</v>
      </c>
      <c r="AS12" s="70">
        <v>2.1593556813561499</v>
      </c>
      <c r="AT12" s="71">
        <f t="shared" si="1"/>
        <v>3.9346196282201706E-3</v>
      </c>
      <c r="AU12" s="67">
        <v>38458.157266695198</v>
      </c>
      <c r="AV12" s="67">
        <v>38183.652545694502</v>
      </c>
      <c r="AW12" s="67">
        <v>38551.508548454898</v>
      </c>
      <c r="AX12" s="67">
        <v>38913.900409548602</v>
      </c>
      <c r="AY12" s="67">
        <v>12716.4673587329</v>
      </c>
      <c r="AZ12" s="67">
        <v>11549.027066462701</v>
      </c>
      <c r="BA12" s="67">
        <v>11761.339911883701</v>
      </c>
      <c r="BB12" s="67">
        <v>11983.6276531033</v>
      </c>
      <c r="BC12" s="70">
        <v>33.065721975599999</v>
      </c>
      <c r="BD12" s="70">
        <v>30.245998736349101</v>
      </c>
      <c r="BE12" s="70">
        <v>30.508118500994598</v>
      </c>
      <c r="BF12" s="67">
        <v>11549.027066462701</v>
      </c>
      <c r="BG12" s="67">
        <v>11761.339911883701</v>
      </c>
      <c r="BH12" s="67">
        <v>11983.6276531033</v>
      </c>
      <c r="BI12" s="70">
        <v>30.245998736349101</v>
      </c>
      <c r="BJ12" s="70">
        <v>30.508118500994598</v>
      </c>
      <c r="BK12" s="70">
        <v>30.795236475865501</v>
      </c>
      <c r="BL12" s="67">
        <v>5158.6003317636996</v>
      </c>
      <c r="BM12" s="67">
        <v>4959.5245074262202</v>
      </c>
      <c r="BN12" s="67">
        <v>5194.5130390538197</v>
      </c>
      <c r="BO12" s="67">
        <v>5507.6500936414895</v>
      </c>
      <c r="BP12" s="72">
        <v>0.64470560894691797</v>
      </c>
      <c r="BQ12" s="72">
        <v>0.94656254774305604</v>
      </c>
      <c r="BR12" s="72">
        <v>1.00066938368056</v>
      </c>
      <c r="BS12" s="72">
        <v>1.0739450043402801</v>
      </c>
      <c r="BT12" s="67">
        <v>7764.8834011130102</v>
      </c>
      <c r="BU12" s="67">
        <v>6074.5590301432303</v>
      </c>
      <c r="BV12" s="67">
        <v>5990.3075588454903</v>
      </c>
      <c r="BW12" s="67">
        <v>5961.9433368185801</v>
      </c>
      <c r="BX12" s="67">
        <v>33197.818118578798</v>
      </c>
      <c r="BY12" s="67">
        <v>27284.2314162326</v>
      </c>
      <c r="BZ12" s="67">
        <v>26421.390949162302</v>
      </c>
      <c r="CA12" s="67">
        <v>25876.914455985199</v>
      </c>
      <c r="CD12" s="93" t="s">
        <v>402</v>
      </c>
      <c r="CM12" s="23"/>
      <c r="CN12" s="25"/>
      <c r="CO12" s="25"/>
      <c r="CP12" s="25"/>
      <c r="CQ12" s="23"/>
      <c r="CR12" s="23"/>
      <c r="CS12" s="23"/>
      <c r="CT12" s="23"/>
    </row>
    <row r="13" spans="1:98">
      <c r="B13" s="23"/>
      <c r="C13" s="112"/>
      <c r="D13" s="41" t="str">
        <f t="shared" si="2"/>
        <v>SCMN.S</v>
      </c>
      <c r="E13" s="32" t="s">
        <v>399</v>
      </c>
      <c r="F13" s="66">
        <v>44926</v>
      </c>
      <c r="G13" s="32" t="s">
        <v>404</v>
      </c>
      <c r="H13" s="72">
        <v>483.865967688757</v>
      </c>
      <c r="I13" s="67">
        <v>25004.739615303501</v>
      </c>
      <c r="J13" s="67">
        <v>6639.7372947615304</v>
      </c>
      <c r="K13" s="67">
        <v>160.01485535574699</v>
      </c>
      <c r="L13" s="67">
        <v>22.859265050821001</v>
      </c>
      <c r="M13" s="67">
        <v>2.6376075058639601</v>
      </c>
      <c r="N13" s="67"/>
      <c r="O13" s="67">
        <v>18.463252541047702</v>
      </c>
      <c r="P13" s="67"/>
      <c r="Q13" s="67">
        <f t="shared" si="0"/>
        <v>31482.703649705378</v>
      </c>
      <c r="R13" s="67" t="str">
        <f>IF(D13="","",_xll.TR($D13,R$6,"Curn=#2 scale=6",,$F13,$H$5))</f>
        <v>Retrieving...</v>
      </c>
      <c r="S13" s="68">
        <v>3.00295741576674</v>
      </c>
      <c r="T13" s="68" t="str">
        <f>_xll.TR(D13,T$6,"Curn=#2 Scale=6 Transpose=Y Null=BLANK",,$Q13,$H$5)</f>
        <v>Retrieving...</v>
      </c>
      <c r="U13" s="68">
        <v>3.1496733800507002</v>
      </c>
      <c r="V13" s="68">
        <v>3.1399725205745099</v>
      </c>
      <c r="W13" s="68">
        <v>7.3386546742907397</v>
      </c>
      <c r="X13" s="68" t="str">
        <f>_xll.TR($D13,X$6,"Curn=#2 Scale=6 Transpose=Y Null=BLANK",,$Q13,$H$5)</f>
        <v>Retrieving...</v>
      </c>
      <c r="Y13" s="68">
        <v>7.6307562977802297</v>
      </c>
      <c r="Z13" s="68">
        <v>7.5540234916259204</v>
      </c>
      <c r="AA13" s="68">
        <v>14.7780614720992</v>
      </c>
      <c r="AB13" s="68" t="str">
        <f>_xll.TR($D13,AB$6,"Curn=#2 Scale=6 Period=FY1:FY3 Transpose=Y Null=BLANK",,$Q13,$H$5)</f>
        <v>Retrieving...</v>
      </c>
      <c r="AC13" s="68">
        <v>14.7601326660814</v>
      </c>
      <c r="AD13" s="68">
        <v>14.476840190345101</v>
      </c>
      <c r="AE13" s="68">
        <v>15.1264110625567</v>
      </c>
      <c r="AF13" s="68" t="str">
        <f>_xll.TR($D13,AF$6,"Curn=#2 Scale=6 Transpose=Y Null=BLANK",,$Q13,$H$5)</f>
        <v>Retrieving...</v>
      </c>
      <c r="AG13" s="68">
        <v>15.446515138889101</v>
      </c>
      <c r="AH13" s="68">
        <v>15.313841710159901</v>
      </c>
      <c r="AI13" s="69">
        <v>16.381006827299998</v>
      </c>
      <c r="AJ13" s="69">
        <v>16.076992922005399</v>
      </c>
      <c r="AK13" s="69">
        <v>15.883249274155</v>
      </c>
      <c r="AL13" s="69">
        <v>15.781505235751601</v>
      </c>
      <c r="AM13" s="69">
        <v>3.1533619528732402</v>
      </c>
      <c r="AN13" s="70">
        <v>4.0831477357089803</v>
      </c>
      <c r="AO13" s="70">
        <v>1.5674070815922601</v>
      </c>
      <c r="AP13" s="70">
        <v>1.6355969818020399</v>
      </c>
      <c r="AQ13" s="70">
        <v>1.54582635096399</v>
      </c>
      <c r="AR13" s="70">
        <v>1.4951177207400801</v>
      </c>
      <c r="AS13" s="70">
        <v>1.40039466856635</v>
      </c>
      <c r="AT13" s="71">
        <f t="shared" si="1"/>
        <v>2.9918466727560933E-3</v>
      </c>
      <c r="AU13" s="67">
        <v>9936.9697100822195</v>
      </c>
      <c r="AV13" s="67">
        <v>9958.7483601835702</v>
      </c>
      <c r="AW13" s="67">
        <v>9995.5455219927007</v>
      </c>
      <c r="AX13" s="67">
        <v>10026.426487307301</v>
      </c>
      <c r="AY13" s="67">
        <v>4066.1808199913498</v>
      </c>
      <c r="AZ13" s="67">
        <v>4128.5241890014404</v>
      </c>
      <c r="BA13" s="67">
        <v>4125.7645272806903</v>
      </c>
      <c r="BB13" s="67">
        <v>4167.6735165843502</v>
      </c>
      <c r="BC13" s="70">
        <v>40.919726421900002</v>
      </c>
      <c r="BD13" s="70">
        <v>41.456255743019298</v>
      </c>
      <c r="BE13" s="70">
        <v>41.342057150374899</v>
      </c>
      <c r="BF13" s="67">
        <v>4128.5241890014404</v>
      </c>
      <c r="BG13" s="67">
        <v>4125.7645272806903</v>
      </c>
      <c r="BH13" s="67">
        <v>4167.6735165843502</v>
      </c>
      <c r="BI13" s="70">
        <v>41.456255743019298</v>
      </c>
      <c r="BJ13" s="70">
        <v>41.342057150374899</v>
      </c>
      <c r="BK13" s="70">
        <v>41.633379298473798</v>
      </c>
      <c r="BL13" s="67">
        <v>1972.72814798788</v>
      </c>
      <c r="BM13" s="67">
        <v>2019.6632951454201</v>
      </c>
      <c r="BN13" s="67">
        <v>2038.17517198055</v>
      </c>
      <c r="BO13" s="67">
        <v>2055.8331635894101</v>
      </c>
      <c r="BP13" s="72">
        <v>27.6558064679792</v>
      </c>
      <c r="BQ13" s="72">
        <v>30.144938606657099</v>
      </c>
      <c r="BR13" s="72">
        <v>30.4639157477745</v>
      </c>
      <c r="BS13" s="72">
        <v>30.660317913946599</v>
      </c>
      <c r="BT13" s="67">
        <v>2046.9513738641299</v>
      </c>
      <c r="BU13" s="67">
        <v>2003.9709192007001</v>
      </c>
      <c r="BV13" s="67">
        <v>1992.80919673328</v>
      </c>
      <c r="BW13" s="67">
        <v>1992.9790918505601</v>
      </c>
      <c r="BX13" s="67">
        <v>6373.3606122890496</v>
      </c>
      <c r="BY13" s="67">
        <v>6381.3540701859301</v>
      </c>
      <c r="BZ13" s="67">
        <v>6168.50365633817</v>
      </c>
      <c r="CA13" s="67">
        <v>5836.3877729498799</v>
      </c>
      <c r="CD13" s="93" t="s">
        <v>473</v>
      </c>
      <c r="CM13" s="23"/>
      <c r="CN13" s="25"/>
      <c r="CO13" s="25"/>
      <c r="CP13" s="25"/>
      <c r="CQ13" s="23"/>
      <c r="CR13" s="23"/>
      <c r="CS13" s="23"/>
      <c r="CT13" s="23"/>
    </row>
    <row r="14" spans="1:98">
      <c r="B14" s="23"/>
      <c r="C14" s="112"/>
      <c r="D14" s="41" t="str">
        <f t="shared" si="2"/>
        <v>TEF.MC</v>
      </c>
      <c r="E14" s="32" t="s">
        <v>396</v>
      </c>
      <c r="F14" s="66">
        <v>44926</v>
      </c>
      <c r="G14" s="32" t="s">
        <v>404</v>
      </c>
      <c r="H14" s="72">
        <v>3.27668576388889</v>
      </c>
      <c r="I14" s="67">
        <v>18774.6707672827</v>
      </c>
      <c r="J14" s="67">
        <v>40308.599864716001</v>
      </c>
      <c r="K14" s="67">
        <v>7337.4241482014904</v>
      </c>
      <c r="L14" s="67">
        <v>9928.3661724435206</v>
      </c>
      <c r="M14" s="67">
        <v>5266.9033591900397</v>
      </c>
      <c r="N14" s="67"/>
      <c r="O14" s="67">
        <v>3286.5545663819198</v>
      </c>
      <c r="P14" s="67"/>
      <c r="Q14" s="67">
        <f t="shared" si="0"/>
        <v>50370.938236925649</v>
      </c>
      <c r="R14" s="67" t="str">
        <f>IF(D14="","",_xll.TR($D14,R$6,"Curn=#2 scale=6",,$F14,$H$5))</f>
        <v>Retrieving...</v>
      </c>
      <c r="S14" s="68">
        <v>1.37338327865001</v>
      </c>
      <c r="T14" s="68" t="str">
        <f>_xll.TR(D14,T$6,"Curn=#2 Scale=6 Transpose=Y Null=BLANK",,$Q14,$H$5)</f>
        <v>Retrieving...</v>
      </c>
      <c r="U14" s="68">
        <v>1.4084454530849599</v>
      </c>
      <c r="V14" s="68">
        <v>1.4032766400422501</v>
      </c>
      <c r="W14" s="68">
        <v>4.4173811696195902</v>
      </c>
      <c r="X14" s="68" t="str">
        <f>_xll.TR($D14,X$6,"Curn=#2 Scale=6 Transpose=Y Null=BLANK",,$Q14,$H$5)</f>
        <v>Retrieving...</v>
      </c>
      <c r="Y14" s="68">
        <v>4.4999323515146399</v>
      </c>
      <c r="Z14" s="68">
        <v>4.4315825895573697</v>
      </c>
      <c r="AA14" s="68">
        <v>7.93036636775195</v>
      </c>
      <c r="AB14" s="68" t="str">
        <f>_xll.TR($D14,AB$6,"Curn=#2 Scale=6 Period=FY1:FY3 Transpose=Y Null=BLANK",,$Q14,$H$5)</f>
        <v>Retrieving...</v>
      </c>
      <c r="AC14" s="68">
        <v>7.8827206915410803</v>
      </c>
      <c r="AD14" s="68">
        <v>7.7263329457853303</v>
      </c>
      <c r="AE14" s="68">
        <v>15.0977783021028</v>
      </c>
      <c r="AF14" s="68" t="str">
        <f>_xll.TR($D14,AF$6,"Curn=#2 Scale=6 Transpose=Y Null=BLANK",,$Q14,$H$5)</f>
        <v>Retrieving...</v>
      </c>
      <c r="AG14" s="68">
        <v>13.4721513185878</v>
      </c>
      <c r="AH14" s="68">
        <v>12.5377918083243</v>
      </c>
      <c r="AI14" s="69">
        <v>10.826110595799999</v>
      </c>
      <c r="AJ14" s="69">
        <v>11.665794093190801</v>
      </c>
      <c r="AK14" s="69">
        <v>10.8850574712644</v>
      </c>
      <c r="AL14" s="69">
        <v>10.4597542454784</v>
      </c>
      <c r="AM14" s="69">
        <v>5.0225730067171304</v>
      </c>
      <c r="AN14" s="70">
        <v>11.8268215417107</v>
      </c>
      <c r="AO14" s="70">
        <v>2.93863599806981</v>
      </c>
      <c r="AP14" s="70">
        <v>2.9422177944670098</v>
      </c>
      <c r="AQ14" s="70">
        <v>2.58042339889179</v>
      </c>
      <c r="AR14" s="70">
        <v>2.4572321836115898</v>
      </c>
      <c r="AS14" s="70">
        <v>2.3917912316060002</v>
      </c>
      <c r="AT14" s="71">
        <f t="shared" si="1"/>
        <v>4.8193129020541736E-3</v>
      </c>
      <c r="AU14" s="67">
        <v>35381.221586044499</v>
      </c>
      <c r="AV14" s="67">
        <v>35355.443342186903</v>
      </c>
      <c r="AW14" s="67">
        <v>35763.4994856185</v>
      </c>
      <c r="AX14" s="67">
        <v>35895.230348457197</v>
      </c>
      <c r="AY14" s="67">
        <v>11000.1777611301</v>
      </c>
      <c r="AZ14" s="67">
        <v>11022.8934260403</v>
      </c>
      <c r="BA14" s="67">
        <v>11193.710105435501</v>
      </c>
      <c r="BB14" s="67">
        <v>11366.3543934892</v>
      </c>
      <c r="BC14" s="70">
        <v>31.0904408271</v>
      </c>
      <c r="BD14" s="70">
        <v>31.177358799762199</v>
      </c>
      <c r="BE14" s="70">
        <v>31.299258367981601</v>
      </c>
      <c r="BF14" s="67">
        <v>11022.8934260403</v>
      </c>
      <c r="BG14" s="67">
        <v>11193.710105435501</v>
      </c>
      <c r="BH14" s="67">
        <v>11366.3543934892</v>
      </c>
      <c r="BI14" s="70">
        <v>31.177358799762199</v>
      </c>
      <c r="BJ14" s="70">
        <v>31.299258367981601</v>
      </c>
      <c r="BK14" s="70">
        <v>31.665361339512099</v>
      </c>
      <c r="BL14" s="67">
        <v>3218.4853381849298</v>
      </c>
      <c r="BM14" s="67">
        <v>3564.7509178067698</v>
      </c>
      <c r="BN14" s="67">
        <v>3738.8934436497898</v>
      </c>
      <c r="BO14" s="67">
        <v>4017.5286850338698</v>
      </c>
      <c r="BP14" s="72">
        <v>0.27661457138270501</v>
      </c>
      <c r="BQ14" s="72">
        <v>0.28087978732638902</v>
      </c>
      <c r="BR14" s="72">
        <v>0.30137265652077999</v>
      </c>
      <c r="BS14" s="72">
        <v>0.31362674585919698</v>
      </c>
      <c r="BT14" s="67">
        <v>4872.8469606164399</v>
      </c>
      <c r="BU14" s="67">
        <v>4803.3551762899297</v>
      </c>
      <c r="BV14" s="67">
        <v>4803.6653216619898</v>
      </c>
      <c r="BW14" s="67">
        <v>4846.9695067166604</v>
      </c>
      <c r="BX14" s="67">
        <v>32325.518354024</v>
      </c>
      <c r="BY14" s="67">
        <v>28443.7321200447</v>
      </c>
      <c r="BZ14" s="67">
        <v>27505.544725094402</v>
      </c>
      <c r="CA14" s="67">
        <v>27185.946773673801</v>
      </c>
      <c r="CD14" s="93" t="s">
        <v>395</v>
      </c>
      <c r="CM14" s="23"/>
      <c r="CN14" s="25"/>
      <c r="CO14" s="25"/>
      <c r="CP14" s="25"/>
      <c r="CQ14" s="23"/>
      <c r="CR14" s="23"/>
      <c r="CS14" s="23"/>
      <c r="CT14" s="23"/>
    </row>
    <row r="15" spans="1:98">
      <c r="B15" s="23"/>
      <c r="C15" s="112"/>
      <c r="D15" s="41" t="str">
        <f t="shared" si="2"/>
        <v>CLNX.MC</v>
      </c>
      <c r="E15" s="32" t="s">
        <v>515</v>
      </c>
      <c r="F15" s="66">
        <v>44926</v>
      </c>
      <c r="G15" s="32" t="s">
        <v>405</v>
      </c>
      <c r="H15" s="72">
        <v>25.543962673611102</v>
      </c>
      <c r="I15" s="67">
        <v>17981.271083087198</v>
      </c>
      <c r="J15" s="67">
        <v>18123.8996701906</v>
      </c>
      <c r="K15" s="67">
        <v>211.97031720834801</v>
      </c>
      <c r="L15" s="67">
        <v>31.793787080373999</v>
      </c>
      <c r="M15" s="67">
        <v>540.90831276797701</v>
      </c>
      <c r="N15" s="67"/>
      <c r="O15" s="67">
        <v>59.354643024689302</v>
      </c>
      <c r="P15" s="67"/>
      <c r="Q15" s="67">
        <f t="shared" si="0"/>
        <v>36461.669604781739</v>
      </c>
      <c r="R15" s="67" t="str">
        <f>IF(D15="","",_xll.TR($D15,R$6,"Curn=#2 scale=6",,$F15,$H$5))</f>
        <v>Retrieving...</v>
      </c>
      <c r="S15" s="68">
        <v>12.223130986215301</v>
      </c>
      <c r="T15" s="68" t="str">
        <f>_xll.TR(D15,T$6,"Curn=#2 Scale=6 Transpose=Y Null=BLANK",,$Q15,$H$5)</f>
        <v>Retrieving...</v>
      </c>
      <c r="U15" s="68">
        <v>9.7490136316482907</v>
      </c>
      <c r="V15" s="68">
        <v>9.3016423962746906</v>
      </c>
      <c r="W15" s="68">
        <v>16.132282529671699</v>
      </c>
      <c r="X15" s="68" t="str">
        <f>_xll.TR($D15,X$6,"Curn=#2 Scale=6 Transpose=Y Null=BLANK",,$Q15,$H$5)</f>
        <v>Retrieving...</v>
      </c>
      <c r="Y15" s="68">
        <v>13.0073341357018</v>
      </c>
      <c r="Z15" s="68">
        <v>12.1625769775876</v>
      </c>
      <c r="AA15" s="68">
        <v>535.92135881179604</v>
      </c>
      <c r="AB15" s="68" t="str">
        <f>_xll.TR($D15,AB$6,"Curn=#2 Scale=6 Period=FY1:FY3 Transpose=Y Null=BLANK",,$Q15,$H$5)</f>
        <v>Retrieving...</v>
      </c>
      <c r="AC15" s="68">
        <v>27.924499706656601</v>
      </c>
      <c r="AD15" s="68">
        <v>20.2205977990413</v>
      </c>
      <c r="AE15" s="68">
        <v>147.375323266387</v>
      </c>
      <c r="AF15" s="68" t="str">
        <f>_xll.TR($D15,AF$6,"Curn=#2 Scale=6 Transpose=Y Null=BLANK",,$Q15,$H$5)</f>
        <v>Retrieving...</v>
      </c>
      <c r="AG15" s="68">
        <v>73.648117423033398</v>
      </c>
      <c r="AH15" s="68">
        <v>55.5800121205002</v>
      </c>
      <c r="AI15" s="69"/>
      <c r="AJ15" s="69"/>
      <c r="AK15" s="69"/>
      <c r="AL15" s="69">
        <v>663.14843925443495</v>
      </c>
      <c r="AM15" s="69"/>
      <c r="AN15" s="70">
        <v>0.175888926515408</v>
      </c>
      <c r="AO15" s="70">
        <v>7.5247291307071498</v>
      </c>
      <c r="AP15" s="70">
        <v>7.2837657518914503</v>
      </c>
      <c r="AQ15" s="70">
        <v>5.9024373527556104</v>
      </c>
      <c r="AR15" s="70">
        <v>5.45295799514723</v>
      </c>
      <c r="AS15" s="70">
        <v>4.9991444749837202</v>
      </c>
      <c r="AT15" s="71">
        <f t="shared" si="1"/>
        <v>8.2279689849775961E-2</v>
      </c>
      <c r="AU15" s="67">
        <v>3092.1345751284198</v>
      </c>
      <c r="AV15" s="67">
        <v>3556.4846514713499</v>
      </c>
      <c r="AW15" s="67">
        <v>3740.0367855078098</v>
      </c>
      <c r="AX15" s="67">
        <v>3919.9173706553802</v>
      </c>
      <c r="AY15" s="67">
        <v>2342.8529638805699</v>
      </c>
      <c r="AZ15" s="67">
        <v>2608.0385024739599</v>
      </c>
      <c r="BA15" s="67">
        <v>2803.1623716579902</v>
      </c>
      <c r="BB15" s="67">
        <v>2997.8572527821202</v>
      </c>
      <c r="BC15" s="70">
        <v>75.7681435577</v>
      </c>
      <c r="BD15" s="70">
        <v>73.331920647963003</v>
      </c>
      <c r="BE15" s="70">
        <v>74.950128365579204</v>
      </c>
      <c r="BF15" s="67">
        <v>2352.47070022452</v>
      </c>
      <c r="BG15" s="67">
        <v>2803.1623716579902</v>
      </c>
      <c r="BH15" s="67">
        <v>2997.8572527821202</v>
      </c>
      <c r="BI15" s="70">
        <v>73.663146142561402</v>
      </c>
      <c r="BJ15" s="70">
        <v>74.950128365579204</v>
      </c>
      <c r="BK15" s="70">
        <v>76.477562390068897</v>
      </c>
      <c r="BL15" s="67">
        <v>256.45790014982902</v>
      </c>
      <c r="BM15" s="67">
        <v>337.857572634549</v>
      </c>
      <c r="BN15" s="67">
        <v>495.07945186632003</v>
      </c>
      <c r="BO15" s="67">
        <v>656.02126040798601</v>
      </c>
      <c r="BP15" s="72">
        <v>-0.39062397367294499</v>
      </c>
      <c r="BQ15" s="72">
        <v>-0.31548048177083299</v>
      </c>
      <c r="BR15" s="72">
        <v>-0.184983962673611</v>
      </c>
      <c r="BS15" s="72">
        <v>3.8519223090277999E-2</v>
      </c>
      <c r="BT15" s="67">
        <v>2272.3285010702102</v>
      </c>
      <c r="BU15" s="67">
        <v>1564.8556867868199</v>
      </c>
      <c r="BV15" s="67">
        <v>1497.43908251021</v>
      </c>
      <c r="BW15" s="67">
        <v>1194.66280882209</v>
      </c>
      <c r="BX15" s="67">
        <v>17629.333946275699</v>
      </c>
      <c r="BY15" s="67">
        <v>15393.783874427099</v>
      </c>
      <c r="BZ15" s="67">
        <v>15285.526666228299</v>
      </c>
      <c r="CA15" s="67">
        <v>14986.721522035599</v>
      </c>
      <c r="CD15" s="93" t="s">
        <v>514</v>
      </c>
      <c r="CM15" s="23"/>
      <c r="CN15" s="25"/>
      <c r="CO15" s="25"/>
      <c r="CP15" s="25"/>
      <c r="CQ15" s="23"/>
      <c r="CR15" s="23"/>
      <c r="CS15" s="23"/>
      <c r="CT15" s="23"/>
    </row>
    <row r="16" spans="1:98">
      <c r="B16" s="23"/>
      <c r="C16" s="112"/>
      <c r="D16" s="41" t="str">
        <f t="shared" si="2"/>
        <v>TEL.OL</v>
      </c>
      <c r="E16" s="32" t="s">
        <v>398</v>
      </c>
      <c r="F16" s="66">
        <v>44926</v>
      </c>
      <c r="G16" s="32" t="s">
        <v>405</v>
      </c>
      <c r="H16" s="72">
        <v>8.9647887427302901</v>
      </c>
      <c r="I16" s="67">
        <v>12478.9942739496</v>
      </c>
      <c r="J16" s="67">
        <v>7795.4028591691203</v>
      </c>
      <c r="K16" s="67">
        <v>980.96266003508697</v>
      </c>
      <c r="L16" s="67">
        <v>4618.2737766414102</v>
      </c>
      <c r="M16" s="67">
        <v>413.24567018775002</v>
      </c>
      <c r="N16" s="67"/>
      <c r="O16" s="67">
        <v>127.367222201486</v>
      </c>
      <c r="P16" s="67"/>
      <c r="Q16" s="67">
        <f t="shared" si="0"/>
        <v>15215.77358883146</v>
      </c>
      <c r="R16" s="67" t="str">
        <f>IF(D16="","",_xll.TR($D16,R$6,"Curn=#2 scale=6",,$F16,$H$5))</f>
        <v>Retrieving...</v>
      </c>
      <c r="S16" s="68">
        <v>2.09552368849858</v>
      </c>
      <c r="T16" s="68" t="str">
        <f>_xll.TR(D16,T$6,"Curn=#2 Scale=6 Transpose=Y Null=BLANK",,$Q16,$H$5)</f>
        <v>Retrieving...</v>
      </c>
      <c r="U16" s="68">
        <v>2.50327163580556</v>
      </c>
      <c r="V16" s="68">
        <v>2.45663663911265</v>
      </c>
      <c r="W16" s="68">
        <v>4.8876453871066596</v>
      </c>
      <c r="X16" s="68" t="str">
        <f>_xll.TR($D16,X$6,"Curn=#2 Scale=6 Transpose=Y Null=BLANK",,$Q16,$H$5)</f>
        <v>Retrieving...</v>
      </c>
      <c r="Y16" s="68">
        <v>5.74527835548305</v>
      </c>
      <c r="Z16" s="68">
        <v>5.5825252282646298</v>
      </c>
      <c r="AA16" s="68">
        <v>11.229805337016</v>
      </c>
      <c r="AB16" s="68" t="str">
        <f>_xll.TR($D16,AB$6,"Curn=#2 Scale=6 Period=FY1:FY3 Transpose=Y Null=BLANK",,$Q16,$H$5)</f>
        <v>Retrieving...</v>
      </c>
      <c r="AC16" s="68">
        <v>9.7882151467312006</v>
      </c>
      <c r="AD16" s="68">
        <v>8.8805635681194204</v>
      </c>
      <c r="AE16" s="68">
        <v>10.824721003758601</v>
      </c>
      <c r="AF16" s="68" t="str">
        <f>_xll.TR($D16,AF$6,"Curn=#2 Scale=6 Transpose=Y Null=BLANK",,$Q16,$H$5)</f>
        <v>Retrieving...</v>
      </c>
      <c r="AG16" s="68">
        <v>10.903412590101</v>
      </c>
      <c r="AH16" s="68">
        <v>10.2856752167952</v>
      </c>
      <c r="AI16" s="69">
        <v>11.673831119400001</v>
      </c>
      <c r="AJ16" s="69">
        <v>23.190384134364599</v>
      </c>
      <c r="AK16" s="69">
        <v>16.6865714955409</v>
      </c>
      <c r="AL16" s="69">
        <v>14.4510591200562</v>
      </c>
      <c r="AM16" s="69"/>
      <c r="AN16" s="70">
        <v>7.8595317725752496</v>
      </c>
      <c r="AO16" s="70">
        <v>2.6564054213317601</v>
      </c>
      <c r="AP16" s="70">
        <v>2.5706725040871201</v>
      </c>
      <c r="AQ16" s="70">
        <v>2.59531669667623</v>
      </c>
      <c r="AR16" s="70">
        <v>2.5955244436189302</v>
      </c>
      <c r="AS16" s="70">
        <v>2.56085233093558</v>
      </c>
      <c r="AT16" s="71">
        <f t="shared" si="1"/>
        <v>-9.4772358976048854E-2</v>
      </c>
      <c r="AU16" s="67">
        <v>8349.8695911805207</v>
      </c>
      <c r="AV16" s="67">
        <v>5977.8269265077697</v>
      </c>
      <c r="AW16" s="67">
        <v>6078.3549700290696</v>
      </c>
      <c r="AX16" s="67">
        <v>6193.7420237807501</v>
      </c>
      <c r="AY16" s="67">
        <v>3579.9138723013298</v>
      </c>
      <c r="AZ16" s="67">
        <v>2557.3932442494802</v>
      </c>
      <c r="BA16" s="67">
        <v>2648.3962390282099</v>
      </c>
      <c r="BB16" s="67">
        <v>2725.6076715593199</v>
      </c>
      <c r="BC16" s="70">
        <v>42.8738896244</v>
      </c>
      <c r="BD16" s="70">
        <v>42.781319628193003</v>
      </c>
      <c r="BE16" s="70">
        <v>43.570937401432303</v>
      </c>
      <c r="BF16" s="67">
        <v>2574.2067442733501</v>
      </c>
      <c r="BG16" s="67">
        <v>2648.3962390282099</v>
      </c>
      <c r="BH16" s="67">
        <v>2725.6076715593199</v>
      </c>
      <c r="BI16" s="70">
        <v>43.430834727959699</v>
      </c>
      <c r="BJ16" s="70">
        <v>43.570937401432303</v>
      </c>
      <c r="BK16" s="70">
        <v>44.005831387461797</v>
      </c>
      <c r="BL16" s="67">
        <v>1616.4249885163099</v>
      </c>
      <c r="BM16" s="67">
        <v>1301.35457078319</v>
      </c>
      <c r="BN16" s="67">
        <v>1395.5056238673001</v>
      </c>
      <c r="BO16" s="67">
        <v>1479.3169401252401</v>
      </c>
      <c r="BP16" s="72">
        <v>0.66211403628846999</v>
      </c>
      <c r="BQ16" s="72">
        <v>0.38602416881694901</v>
      </c>
      <c r="BR16" s="72">
        <v>0.53648221040529898</v>
      </c>
      <c r="BS16" s="72">
        <v>0.61947354070329796</v>
      </c>
      <c r="BT16" s="67">
        <v>2021.7969683050101</v>
      </c>
      <c r="BU16" s="67">
        <v>1184.79577693223</v>
      </c>
      <c r="BV16" s="67">
        <v>1093.89693954021</v>
      </c>
      <c r="BW16" s="67">
        <v>1012.22839420635</v>
      </c>
      <c r="BX16" s="67">
        <v>9509.70261828203</v>
      </c>
      <c r="BY16" s="67">
        <v>6637.2453867676404</v>
      </c>
      <c r="BZ16" s="67">
        <v>6873.9771747861696</v>
      </c>
      <c r="CA16" s="67">
        <v>6979.8787589285803</v>
      </c>
      <c r="CD16" s="93" t="s">
        <v>397</v>
      </c>
      <c r="CM16" s="23"/>
      <c r="CN16" s="25"/>
      <c r="CO16" s="25"/>
      <c r="CP16" s="25"/>
      <c r="CQ16" s="23"/>
      <c r="CR16" s="23"/>
      <c r="CS16" s="23"/>
      <c r="CT16" s="23"/>
    </row>
    <row r="17" spans="2:98">
      <c r="B17" s="23"/>
      <c r="C17" s="112"/>
      <c r="D17" s="41" t="str">
        <f t="shared" si="2"/>
        <v>BT.L</v>
      </c>
      <c r="E17" s="32" t="s">
        <v>401</v>
      </c>
      <c r="F17" s="66">
        <v>45016</v>
      </c>
      <c r="G17" s="32" t="s">
        <v>404</v>
      </c>
      <c r="H17" s="72">
        <v>1.1395</v>
      </c>
      <c r="I17" s="67">
        <v>11286.065163838201</v>
      </c>
      <c r="J17" s="67">
        <v>23880</v>
      </c>
      <c r="K17" s="67">
        <v>3940</v>
      </c>
      <c r="L17" s="67">
        <v>901</v>
      </c>
      <c r="M17" s="67"/>
      <c r="N17" s="67"/>
      <c r="O17" s="67">
        <v>3139</v>
      </c>
      <c r="P17" s="67"/>
      <c r="Q17" s="67">
        <f t="shared" si="0"/>
        <v>33464.065163838197</v>
      </c>
      <c r="R17" s="67" t="str">
        <f>IF(D17="","",_xll.TR($D17,R$6,"Curn=#2 scale=6",,$F17,$H$5))</f>
        <v>Retrieving...</v>
      </c>
      <c r="S17" s="68">
        <v>1.77361093113068</v>
      </c>
      <c r="T17" s="68" t="str">
        <f>_xll.TR(D17,T$6,"Curn=#2 Scale=6 Transpose=Y Null=BLANK",,$Q17,$H$5)</f>
        <v>Retrieving...</v>
      </c>
      <c r="U17" s="68">
        <v>1.59697716576058</v>
      </c>
      <c r="V17" s="68">
        <v>1.58689770407985</v>
      </c>
      <c r="W17" s="68">
        <v>4.6239611926765898</v>
      </c>
      <c r="X17" s="68" t="str">
        <f>_xll.TR($D17,X$6,"Curn=#2 Scale=6 Transpose=Y Null=BLANK",,$Q17,$H$5)</f>
        <v>Retrieving...</v>
      </c>
      <c r="Y17" s="68">
        <v>4.08710417949254</v>
      </c>
      <c r="Z17" s="68">
        <v>4.0147379615649896</v>
      </c>
      <c r="AA17" s="68">
        <v>13.986556404250299</v>
      </c>
      <c r="AB17" s="68" t="str">
        <f>_xll.TR($D17,AB$6,"Curn=#2 Scale=6 Period=FY1:FY3 Transpose=Y Null=BLANK",,$Q17,$H$5)</f>
        <v>Retrieving...</v>
      </c>
      <c r="AC17" s="68">
        <v>10.924980120106699</v>
      </c>
      <c r="AD17" s="68">
        <v>10.2705205350602</v>
      </c>
      <c r="AE17" s="68">
        <v>11.506203495147499</v>
      </c>
      <c r="AF17" s="68" t="str">
        <f>_xll.TR($D17,AF$6,"Curn=#2 Scale=6 Transpose=Y Null=BLANK",,$Q17,$H$5)</f>
        <v>Retrieving...</v>
      </c>
      <c r="AG17" s="68">
        <v>9.9037163670172408</v>
      </c>
      <c r="AH17" s="68">
        <v>9.7358948345485405</v>
      </c>
      <c r="AI17" s="69">
        <v>7.6971808679000002</v>
      </c>
      <c r="AJ17" s="69">
        <v>6.3636250921373296</v>
      </c>
      <c r="AK17" s="69">
        <v>6.2767720922043102</v>
      </c>
      <c r="AL17" s="69">
        <v>6.1768752394938096</v>
      </c>
      <c r="AM17" s="69"/>
      <c r="AN17" s="70">
        <v>6.7573497147871899</v>
      </c>
      <c r="AO17" s="70">
        <v>2.51513622603431</v>
      </c>
      <c r="AP17" s="70">
        <v>2.4946828474915499</v>
      </c>
      <c r="AQ17" s="70">
        <v>2.2775534595495701</v>
      </c>
      <c r="AR17" s="70">
        <v>2.3098443314769201</v>
      </c>
      <c r="AS17" s="70">
        <v>2.3107056584782799</v>
      </c>
      <c r="AT17" s="71">
        <f t="shared" si="1"/>
        <v>6.7077996533966289E-3</v>
      </c>
      <c r="AU17" s="67">
        <v>20669</v>
      </c>
      <c r="AV17" s="67">
        <v>20784.426169999999</v>
      </c>
      <c r="AW17" s="67">
        <v>20954.629710000001</v>
      </c>
      <c r="AX17" s="67">
        <v>21087.726750000002</v>
      </c>
      <c r="AY17" s="67">
        <v>7928</v>
      </c>
      <c r="AZ17" s="67">
        <v>8047.1441199999999</v>
      </c>
      <c r="BA17" s="67">
        <v>8187.7201299999997</v>
      </c>
      <c r="BB17" s="67">
        <v>8335.30494</v>
      </c>
      <c r="BC17" s="70">
        <v>38.356959698099999</v>
      </c>
      <c r="BD17" s="70">
        <v>38.717182058242997</v>
      </c>
      <c r="BE17" s="70">
        <v>39.073561515108302</v>
      </c>
      <c r="BF17" s="67">
        <v>8002.2780274999996</v>
      </c>
      <c r="BG17" s="67">
        <v>8152.5761275000004</v>
      </c>
      <c r="BH17" s="67">
        <v>8298.4087374999999</v>
      </c>
      <c r="BI17" s="70">
        <v>38.628612935654502</v>
      </c>
      <c r="BJ17" s="70">
        <v>38.9850105086336</v>
      </c>
      <c r="BK17" s="70">
        <v>39.4140324543771</v>
      </c>
      <c r="BL17" s="67">
        <v>3186</v>
      </c>
      <c r="BM17" s="67">
        <v>3285.2871799999998</v>
      </c>
      <c r="BN17" s="67">
        <v>3378.9401800000001</v>
      </c>
      <c r="BO17" s="67">
        <v>3437.18433</v>
      </c>
      <c r="BP17" s="72">
        <v>0.18942000000000001</v>
      </c>
      <c r="BQ17" s="72">
        <v>0.1814817</v>
      </c>
      <c r="BR17" s="72">
        <v>0.18399289999999999</v>
      </c>
      <c r="BS17" s="72">
        <v>0.18615129999999999</v>
      </c>
      <c r="BT17" s="67">
        <v>5307</v>
      </c>
      <c r="BU17" s="67">
        <v>5203.8909999999996</v>
      </c>
      <c r="BV17" s="67">
        <v>5124.6422300000004</v>
      </c>
      <c r="BW17" s="67">
        <v>5077.04115</v>
      </c>
      <c r="BX17" s="67">
        <v>19940</v>
      </c>
      <c r="BY17" s="67">
        <v>18327.800930000001</v>
      </c>
      <c r="BZ17" s="67">
        <v>18912.358929999999</v>
      </c>
      <c r="CA17" s="67">
        <v>19260.436290000001</v>
      </c>
      <c r="CD17" s="93" t="s">
        <v>400</v>
      </c>
      <c r="CM17" s="23"/>
      <c r="CN17" s="25"/>
      <c r="CO17" s="25"/>
      <c r="CP17" s="25"/>
      <c r="CQ17" s="23"/>
      <c r="CR17" s="23"/>
      <c r="CS17" s="23"/>
      <c r="CT17" s="23"/>
    </row>
    <row r="18" spans="2:98">
      <c r="B18" s="23"/>
      <c r="C18" s="112"/>
      <c r="D18" s="41" t="str">
        <f t="shared" si="2"/>
        <v>KPN.AS</v>
      </c>
      <c r="E18" s="32" t="s">
        <v>520</v>
      </c>
      <c r="F18" s="66">
        <v>44926</v>
      </c>
      <c r="G18" s="32" t="s">
        <v>404</v>
      </c>
      <c r="H18" s="72">
        <v>2.7239396701388898</v>
      </c>
      <c r="I18" s="67">
        <v>10713.8525889517</v>
      </c>
      <c r="J18" s="67">
        <v>5546.8659378784396</v>
      </c>
      <c r="K18" s="67">
        <v>343.512366488834</v>
      </c>
      <c r="L18" s="67">
        <v>467.17681842481397</v>
      </c>
      <c r="M18" s="67">
        <v>1.7175618324441699</v>
      </c>
      <c r="N18" s="67"/>
      <c r="O18" s="67">
        <v>31.774893900217101</v>
      </c>
      <c r="P18" s="67"/>
      <c r="Q18" s="67">
        <f t="shared" si="0"/>
        <v>15483.521797649153</v>
      </c>
      <c r="R18" s="67" t="str">
        <f>IF(D18="","",_xll.TR($D18,R$6,"Curn=#2 scale=6",,$F18,$H$5))</f>
        <v>Retrieving...</v>
      </c>
      <c r="S18" s="68">
        <v>3.1884646893688999</v>
      </c>
      <c r="T18" s="68" t="str">
        <f>_xll.TR(D18,T$6,"Curn=#2 Scale=6 Transpose=Y Null=BLANK",,$Q18,$H$5)</f>
        <v>Retrieving...</v>
      </c>
      <c r="U18" s="68">
        <v>3.2365463184287599</v>
      </c>
      <c r="V18" s="68">
        <v>3.1886231509159302</v>
      </c>
      <c r="W18" s="68">
        <v>6.6990473584056804</v>
      </c>
      <c r="X18" s="68" t="str">
        <f>_xll.TR($D18,X$6,"Curn=#2 Scale=6 Transpose=Y Null=BLANK",,$Q18,$H$5)</f>
        <v>Retrieving...</v>
      </c>
      <c r="Y18" s="68">
        <v>6.8014843065964801</v>
      </c>
      <c r="Z18" s="68">
        <v>6.6560800696542399</v>
      </c>
      <c r="AA18" s="68">
        <v>12.7826701853916</v>
      </c>
      <c r="AB18" s="68" t="str">
        <f>_xll.TR($D18,AB$6,"Curn=#2 Scale=6 Period=FY1:FY3 Transpose=Y Null=BLANK",,$Q18,$H$5)</f>
        <v>Retrieving...</v>
      </c>
      <c r="AC18" s="68">
        <v>12.8379279881608</v>
      </c>
      <c r="AD18" s="68">
        <v>12.101165719793199</v>
      </c>
      <c r="AE18" s="68">
        <v>13.925665304511901</v>
      </c>
      <c r="AF18" s="68" t="str">
        <f>_xll.TR($D18,AF$6,"Curn=#2 Scale=6 Transpose=Y Null=BLANK",,$Q18,$H$5)</f>
        <v>Retrieving...</v>
      </c>
      <c r="AG18" s="68">
        <v>13.457904157397699</v>
      </c>
      <c r="AH18" s="68">
        <v>12.8159581645406</v>
      </c>
      <c r="AI18" s="69">
        <v>15.7888986014</v>
      </c>
      <c r="AJ18" s="69">
        <v>16.045859872611501</v>
      </c>
      <c r="AK18" s="69">
        <v>15.0576196624109</v>
      </c>
      <c r="AL18" s="69">
        <v>14.0492549299545</v>
      </c>
      <c r="AM18" s="69">
        <v>2.2845560410402301</v>
      </c>
      <c r="AN18" s="70">
        <v>4.6681486186090799</v>
      </c>
      <c r="AO18" s="70">
        <v>2.27426992896606</v>
      </c>
      <c r="AP18" s="70">
        <v>2.3910812943962099</v>
      </c>
      <c r="AQ18" s="70">
        <v>2.2589550998454402</v>
      </c>
      <c r="AR18" s="70">
        <v>2.24986637878997</v>
      </c>
      <c r="AS18" s="70">
        <v>2.1738052238018</v>
      </c>
      <c r="AT18" s="71">
        <f t="shared" si="1"/>
        <v>1.0213627181681506E-2</v>
      </c>
      <c r="AU18" s="67">
        <v>4710.06485445206</v>
      </c>
      <c r="AV18" s="67">
        <v>4700.6543799999999</v>
      </c>
      <c r="AW18" s="67">
        <v>4783.9642242988102</v>
      </c>
      <c r="AX18" s="67">
        <v>4855.8644483282897</v>
      </c>
      <c r="AY18" s="67">
        <v>2241.7927011986299</v>
      </c>
      <c r="AZ18" s="67">
        <v>2214.68091459886</v>
      </c>
      <c r="BA18" s="67">
        <v>2276.4915862016101</v>
      </c>
      <c r="BB18" s="67">
        <v>2326.22228633339</v>
      </c>
      <c r="BC18" s="70">
        <v>47.595792637099997</v>
      </c>
      <c r="BD18" s="70">
        <v>47.094565931983603</v>
      </c>
      <c r="BE18" s="70">
        <v>47.565939819869101</v>
      </c>
      <c r="BF18" s="67">
        <v>2627.1247308740899</v>
      </c>
      <c r="BG18" s="67">
        <v>2276.4915862016101</v>
      </c>
      <c r="BH18" s="67">
        <v>2326.22228633339</v>
      </c>
      <c r="BI18" s="70">
        <v>55.746371253082501</v>
      </c>
      <c r="BJ18" s="70">
        <v>47.565939819869101</v>
      </c>
      <c r="BK18" s="70">
        <v>47.8853441533414</v>
      </c>
      <c r="BL18" s="67">
        <v>1078.43145333904</v>
      </c>
      <c r="BM18" s="67">
        <v>1067.6450400715901</v>
      </c>
      <c r="BN18" s="67">
        <v>1150.5150888697699</v>
      </c>
      <c r="BO18" s="67">
        <v>1208.1439092466201</v>
      </c>
      <c r="BP18" s="72">
        <v>0.16193280821917799</v>
      </c>
      <c r="BQ18" s="72">
        <v>0.16982245794745801</v>
      </c>
      <c r="BR18" s="72">
        <v>0.181043875889595</v>
      </c>
      <c r="BS18" s="72">
        <v>0.19403803539374501</v>
      </c>
      <c r="BT18" s="67">
        <v>1066.9305436643799</v>
      </c>
      <c r="BU18" s="67">
        <v>1041.84535054243</v>
      </c>
      <c r="BV18" s="67">
        <v>1070.4151997373699</v>
      </c>
      <c r="BW18" s="67">
        <v>1046.7156539827799</v>
      </c>
      <c r="BX18" s="67">
        <v>5098.4417273116396</v>
      </c>
      <c r="BY18" s="67">
        <v>5002.8647465634704</v>
      </c>
      <c r="BZ18" s="67">
        <v>5121.8018813932604</v>
      </c>
      <c r="CA18" s="67">
        <v>5056.7541577556904</v>
      </c>
      <c r="CD18" s="93" t="s">
        <v>517</v>
      </c>
      <c r="CM18" s="23"/>
      <c r="CN18" s="25"/>
      <c r="CO18" s="25"/>
      <c r="CP18" s="25"/>
      <c r="CQ18" s="23"/>
      <c r="CR18" s="23"/>
      <c r="CS18" s="23"/>
      <c r="CT18" s="23"/>
    </row>
    <row r="19" spans="2:98">
      <c r="B19" s="23"/>
      <c r="C19" s="112"/>
      <c r="D19" s="41" t="str">
        <f t="shared" si="2"/>
        <v>MTNJ.J</v>
      </c>
      <c r="E19" s="32" t="s">
        <v>521</v>
      </c>
      <c r="F19" s="66">
        <v>44926</v>
      </c>
      <c r="G19" s="32" t="s">
        <v>405</v>
      </c>
      <c r="H19" s="79">
        <v>4.7218016024378597</v>
      </c>
      <c r="I19" s="40">
        <v>8798.0673416063892</v>
      </c>
      <c r="J19" s="40">
        <v>6112.2105724438698</v>
      </c>
      <c r="K19" s="40">
        <v>3396.5319924786099</v>
      </c>
      <c r="L19" s="40">
        <v>986.32596420964296</v>
      </c>
      <c r="M19" s="40">
        <v>189.32106680548</v>
      </c>
      <c r="N19" s="67"/>
      <c r="O19" s="40"/>
      <c r="P19" s="40"/>
      <c r="Q19" s="40">
        <f t="shared" si="0"/>
        <v>10716.741024167486</v>
      </c>
      <c r="R19" s="67" t="str">
        <f>IF(D19="","",_xll.TR($D19,R$6,"Curn=#2 scale=6",,$F19,$H$5))</f>
        <v>Retrieving...</v>
      </c>
      <c r="S19" s="68">
        <v>1.2820462463442599</v>
      </c>
      <c r="T19" s="68" t="str">
        <f>_xll.TR(D19,T$6,"Curn=#2 Scale=6 Transpose=Y Null=BLANK",,$Q19,$H$5)</f>
        <v>Retrieving...</v>
      </c>
      <c r="U19" s="68">
        <v>1.1468196793227099</v>
      </c>
      <c r="V19" s="68">
        <v>1.05755956007066</v>
      </c>
      <c r="W19" s="68">
        <v>2.9134638174552601</v>
      </c>
      <c r="X19" s="68" t="str">
        <f>_xll.TR($D19,X$6,"Curn=#2 Scale=6 Transpose=Y Null=BLANK",,$Q19,$H$5)</f>
        <v>Retrieving...</v>
      </c>
      <c r="Y19" s="68">
        <v>2.73162149511603</v>
      </c>
      <c r="Z19" s="68">
        <v>2.4601262075871202</v>
      </c>
      <c r="AA19" s="68">
        <v>5.8612884653032404</v>
      </c>
      <c r="AB19" s="68" t="str">
        <f>_xll.TR($D19,AB$6,"Curn=#2 Scale=6 Period=FY1:FY3 Transpose=Y Null=BLANK",,$Q19,$H$5)</f>
        <v>Retrieving...</v>
      </c>
      <c r="AC19" s="68">
        <v>4.6799120719929599</v>
      </c>
      <c r="AD19" s="68">
        <v>4.1014983912030001</v>
      </c>
      <c r="AE19" s="68">
        <v>4.7021991731249599</v>
      </c>
      <c r="AF19" s="68" t="str">
        <f>_xll.TR($D19,AF$6,"Curn=#2 Scale=6 Transpose=Y Null=BLANK",,$Q19,$H$5)</f>
        <v>Retrieving...</v>
      </c>
      <c r="AG19" s="68">
        <v>4.6692477005958004</v>
      </c>
      <c r="AH19" s="68">
        <v>3.9594569869219902</v>
      </c>
      <c r="AI19" s="69">
        <v>12.192715786200001</v>
      </c>
      <c r="AJ19" s="69">
        <v>9.7637856333828505</v>
      </c>
      <c r="AK19" s="69">
        <v>9.1507124263520403</v>
      </c>
      <c r="AL19" s="69">
        <v>7.4368949647159299</v>
      </c>
      <c r="AM19" s="69">
        <v>9.0411936129635304</v>
      </c>
      <c r="AN19" s="70">
        <v>2.9596412556053799</v>
      </c>
      <c r="AO19" s="70">
        <v>0.57820836535294895</v>
      </c>
      <c r="AP19" s="70">
        <v>0.67354197776671598</v>
      </c>
      <c r="AQ19" s="70">
        <v>0.73631961946196101</v>
      </c>
      <c r="AR19" s="70">
        <v>0.81181167305135304</v>
      </c>
      <c r="AS19" s="70">
        <v>0.55072869762325705</v>
      </c>
      <c r="AT19" s="71">
        <f t="shared" si="1"/>
        <v>2.3213190047985943E-3</v>
      </c>
      <c r="AU19" s="40">
        <v>10063.2206928795</v>
      </c>
      <c r="AV19" s="40">
        <v>9343.1904407531292</v>
      </c>
      <c r="AW19" s="40">
        <v>9344.7481041627907</v>
      </c>
      <c r="AX19" s="40">
        <v>10133.4633327426</v>
      </c>
      <c r="AY19" s="40">
        <v>4428.23907341629</v>
      </c>
      <c r="AZ19" s="40">
        <v>3958.8094876878699</v>
      </c>
      <c r="BA19" s="40">
        <v>3923.2159518909798</v>
      </c>
      <c r="BB19" s="40">
        <v>4356.17530154213</v>
      </c>
      <c r="BC19" s="80">
        <v>44.004193175899999</v>
      </c>
      <c r="BD19" s="80">
        <v>42.371067065275</v>
      </c>
      <c r="BE19" s="80">
        <v>41.983110814333301</v>
      </c>
      <c r="BF19" s="40">
        <v>3958.8094876878699</v>
      </c>
      <c r="BG19" s="40">
        <v>3923.2159518909798</v>
      </c>
      <c r="BH19" s="40">
        <v>4356.17530154213</v>
      </c>
      <c r="BI19" s="80">
        <v>42.371067065275</v>
      </c>
      <c r="BJ19" s="80">
        <v>41.983110814333301</v>
      </c>
      <c r="BK19" s="80">
        <v>42.988020566144499</v>
      </c>
      <c r="BL19" s="40">
        <v>2743.7192344334399</v>
      </c>
      <c r="BM19" s="40">
        <v>2329.9679887636098</v>
      </c>
      <c r="BN19" s="40">
        <v>2295.1750927242601</v>
      </c>
      <c r="BO19" s="40">
        <v>2706.6188771755101</v>
      </c>
      <c r="BP19" s="79">
        <v>0.507561077662252</v>
      </c>
      <c r="BQ19" s="79">
        <v>0.48522519068289899</v>
      </c>
      <c r="BR19" s="79">
        <v>0.51773397796895004</v>
      </c>
      <c r="BS19" s="79">
        <v>0.63704473012227203</v>
      </c>
      <c r="BT19" s="40">
        <v>2227.0994448495699</v>
      </c>
      <c r="BU19" s="40">
        <v>1703.07651674862</v>
      </c>
      <c r="BV19" s="40">
        <v>1633.27100008257</v>
      </c>
      <c r="BW19" s="40">
        <v>1743.2909353912</v>
      </c>
      <c r="BX19" s="40">
        <v>2560.4448760320902</v>
      </c>
      <c r="BY19" s="40">
        <v>2911.5112930915602</v>
      </c>
      <c r="BZ19" s="40">
        <v>3286.1234962796002</v>
      </c>
      <c r="CA19" s="40">
        <v>2399.0707504369002</v>
      </c>
      <c r="CD19" s="93" t="s">
        <v>518</v>
      </c>
      <c r="CM19" s="23"/>
      <c r="CN19" s="25"/>
      <c r="CO19" s="25"/>
      <c r="CP19" s="25"/>
      <c r="CQ19" s="23"/>
      <c r="CR19" s="23"/>
      <c r="CS19" s="23"/>
      <c r="CT19" s="23"/>
    </row>
    <row r="20" spans="2:98">
      <c r="B20" s="23"/>
      <c r="C20" s="112"/>
      <c r="D20" s="41" t="str">
        <f t="shared" si="2"/>
        <v/>
      </c>
      <c r="E20" s="32"/>
      <c r="F20" s="66"/>
      <c r="G20" s="32"/>
      <c r="H20" s="79"/>
      <c r="I20" s="40"/>
      <c r="J20" s="40"/>
      <c r="K20" s="40"/>
      <c r="L20" s="40"/>
      <c r="M20" s="40"/>
      <c r="N20" s="67"/>
      <c r="O20" s="40"/>
      <c r="P20" s="40"/>
      <c r="Q20" s="40" t="str">
        <f t="shared" si="0"/>
        <v/>
      </c>
      <c r="R20" s="67" t="str">
        <f>IF(D20="","",_xll.TR($D20,R$6,"Curn=#2 scale=6",,$F20,$H$5))</f>
        <v/>
      </c>
      <c r="S20" s="68"/>
      <c r="T20" s="68" t="str">
        <f>_xll.TR(D20,T$6,"Curn=#2 Scale=6 Transpose=Y Null=BLANK",,$Q20,$H$5)</f>
        <v>No universe defined.</v>
      </c>
      <c r="U20" s="68"/>
      <c r="V20" s="68"/>
      <c r="W20" s="68"/>
      <c r="X20" s="68" t="str">
        <f>_xll.TR($D20,X$6,"Curn=#2 Scale=6 Transpose=Y Null=BLANK",,$Q20,$H$5)</f>
        <v>No universe defined.</v>
      </c>
      <c r="Y20" s="68"/>
      <c r="Z20" s="68"/>
      <c r="AA20" s="68"/>
      <c r="AB20" s="68" t="str">
        <f>_xll.TR($D20,AB$6,"Curn=#2 Scale=6 Period=FY1:FY3 Transpose=Y Null=BLANK",,$Q20,$H$5)</f>
        <v>No universe defined.</v>
      </c>
      <c r="AC20" s="68"/>
      <c r="AD20" s="68"/>
      <c r="AE20" s="68"/>
      <c r="AF20" s="68" t="str">
        <f>_xll.TR($D20,AF$6,"Curn=#2 Scale=6 Transpose=Y Null=BLANK",,$Q20,$H$5)</f>
        <v>No universe defined.</v>
      </c>
      <c r="AG20" s="68"/>
      <c r="AH20" s="68"/>
      <c r="AI20" s="69"/>
      <c r="AJ20" s="69"/>
      <c r="AK20" s="69"/>
      <c r="AL20" s="69"/>
      <c r="AM20" s="69"/>
      <c r="AN20" s="70"/>
      <c r="AO20" s="70"/>
      <c r="AP20" s="70"/>
      <c r="AQ20" s="70"/>
      <c r="AR20" s="70"/>
      <c r="AS20" s="70"/>
      <c r="AT20" s="71" t="str">
        <f t="shared" si="1"/>
        <v/>
      </c>
      <c r="AU20" s="40"/>
      <c r="AV20" s="40"/>
      <c r="AW20" s="40"/>
      <c r="AX20" s="40"/>
      <c r="AY20" s="40"/>
      <c r="AZ20" s="40"/>
      <c r="BA20" s="40"/>
      <c r="BB20" s="40"/>
      <c r="BC20" s="80"/>
      <c r="BD20" s="80"/>
      <c r="BE20" s="80"/>
      <c r="BF20" s="67"/>
      <c r="BG20" s="67"/>
      <c r="BH20" s="67"/>
      <c r="BI20" s="70"/>
      <c r="BJ20" s="70"/>
      <c r="BK20" s="70"/>
      <c r="BL20" s="67"/>
      <c r="BM20" s="67"/>
      <c r="BN20" s="67"/>
      <c r="BO20" s="67"/>
      <c r="BP20" s="72"/>
      <c r="BQ20" s="72"/>
      <c r="BR20" s="72"/>
      <c r="BS20" s="72"/>
      <c r="BT20" s="67"/>
      <c r="BU20" s="67"/>
      <c r="BV20" s="67"/>
      <c r="BW20" s="67"/>
      <c r="BX20" s="67"/>
      <c r="BY20" s="67"/>
      <c r="BZ20" s="67"/>
      <c r="CA20" s="67"/>
      <c r="CD20" s="93"/>
      <c r="CM20" s="23"/>
      <c r="CN20" s="25"/>
      <c r="CO20" s="25"/>
      <c r="CP20" s="25"/>
      <c r="CQ20" s="23"/>
      <c r="CR20" s="23"/>
      <c r="CS20" s="23"/>
      <c r="CT20" s="23"/>
    </row>
    <row r="21" spans="2:98">
      <c r="B21" s="23"/>
      <c r="C21" s="112"/>
      <c r="D21" s="41" t="str">
        <f t="shared" si="2"/>
        <v/>
      </c>
      <c r="E21" s="32"/>
      <c r="F21" s="66"/>
      <c r="G21" s="32"/>
      <c r="H21" s="79"/>
      <c r="I21" s="40"/>
      <c r="J21" s="40"/>
      <c r="K21" s="40"/>
      <c r="L21" s="40"/>
      <c r="M21" s="40"/>
      <c r="N21" s="67"/>
      <c r="O21" s="40"/>
      <c r="P21" s="40"/>
      <c r="Q21" s="40" t="str">
        <f t="shared" si="0"/>
        <v/>
      </c>
      <c r="R21" s="67" t="str">
        <f>IF(D21="","",_xll.TR($D21,R$6,"Curn=#2 scale=6",,$F21,$H$5))</f>
        <v/>
      </c>
      <c r="S21" s="68"/>
      <c r="T21" s="68" t="str">
        <f>_xll.TR(D21,T$6,"Curn=#2 Scale=6 Transpose=Y Null=BLANK",,$Q21,$H$5)</f>
        <v>No universe defined.</v>
      </c>
      <c r="U21" s="68"/>
      <c r="V21" s="68"/>
      <c r="W21" s="68"/>
      <c r="X21" s="68" t="str">
        <f>_xll.TR($D21,X$6,"Curn=#2 Scale=6 Transpose=Y Null=BLANK",,$Q21,$H$5)</f>
        <v>No universe defined.</v>
      </c>
      <c r="Y21" s="68"/>
      <c r="Z21" s="68"/>
      <c r="AA21" s="68"/>
      <c r="AB21" s="68" t="str">
        <f>_xll.TR($D21,AB$6,"Curn=#2 Scale=6 Period=FY1:FY3 Transpose=Y Null=BLANK",,$Q21,$H$5)</f>
        <v>No universe defined.</v>
      </c>
      <c r="AC21" s="68"/>
      <c r="AD21" s="68"/>
      <c r="AE21" s="68"/>
      <c r="AF21" s="68" t="str">
        <f>_xll.TR($D21,AF$6,"Curn=#2 Scale=6 Transpose=Y Null=BLANK",,$Q21,$H$5)</f>
        <v>No universe defined.</v>
      </c>
      <c r="AG21" s="68"/>
      <c r="AH21" s="68"/>
      <c r="AI21" s="69"/>
      <c r="AJ21" s="69"/>
      <c r="AK21" s="69"/>
      <c r="AL21" s="69"/>
      <c r="AM21" s="69"/>
      <c r="AN21" s="70"/>
      <c r="AO21" s="70"/>
      <c r="AP21" s="70"/>
      <c r="AQ21" s="70"/>
      <c r="AR21" s="70"/>
      <c r="AS21" s="70"/>
      <c r="AT21" s="71" t="str">
        <f t="shared" si="1"/>
        <v/>
      </c>
      <c r="AU21" s="40"/>
      <c r="AV21" s="40"/>
      <c r="AW21" s="40"/>
      <c r="AX21" s="40"/>
      <c r="AY21" s="40"/>
      <c r="AZ21" s="40"/>
      <c r="BA21" s="40"/>
      <c r="BB21" s="40"/>
      <c r="BC21" s="80"/>
      <c r="BD21" s="80"/>
      <c r="BE21" s="80"/>
      <c r="BF21" s="67"/>
      <c r="BG21" s="67"/>
      <c r="BH21" s="67"/>
      <c r="BI21" s="70"/>
      <c r="BJ21" s="70"/>
      <c r="BK21" s="70"/>
      <c r="BL21" s="67"/>
      <c r="BM21" s="67"/>
      <c r="BN21" s="67"/>
      <c r="BO21" s="67"/>
      <c r="BP21" s="72"/>
      <c r="BQ21" s="72"/>
      <c r="BR21" s="72"/>
      <c r="BS21" s="72"/>
      <c r="BT21" s="67"/>
      <c r="BU21" s="67"/>
      <c r="BV21" s="67"/>
      <c r="BW21" s="67"/>
      <c r="BX21" s="67"/>
      <c r="BY21" s="67"/>
      <c r="BZ21" s="67"/>
      <c r="CA21" s="67"/>
      <c r="CD21" s="93"/>
      <c r="CM21" s="23"/>
      <c r="CN21" s="25"/>
      <c r="CO21" s="25"/>
      <c r="CP21" s="25"/>
      <c r="CQ21" s="23"/>
      <c r="CR21" s="23"/>
      <c r="CS21" s="23"/>
      <c r="CT21" s="23"/>
    </row>
    <row r="22" spans="2:98">
      <c r="B22" s="23"/>
      <c r="C22" s="112"/>
      <c r="D22" s="41" t="str">
        <f t="shared" si="2"/>
        <v/>
      </c>
      <c r="E22" s="32"/>
      <c r="F22" s="66"/>
      <c r="G22" s="32"/>
      <c r="H22" s="79"/>
      <c r="I22" s="40"/>
      <c r="J22" s="40"/>
      <c r="K22" s="40"/>
      <c r="L22" s="40"/>
      <c r="M22" s="40"/>
      <c r="N22" s="67"/>
      <c r="O22" s="40"/>
      <c r="P22" s="40"/>
      <c r="Q22" s="40" t="str">
        <f t="shared" si="0"/>
        <v/>
      </c>
      <c r="R22" s="67" t="str">
        <f>IF(D22="","",_xll.TR($D22,R$6,"Curn=#2 scale=6",,$F22,$H$5))</f>
        <v/>
      </c>
      <c r="S22" s="68"/>
      <c r="T22" s="68" t="str">
        <f>_xll.TR(D22,T$6,"Curn=#2 Scale=6 Transpose=Y Null=BLANK",,$Q22,$H$5)</f>
        <v>No universe defined.</v>
      </c>
      <c r="U22" s="68"/>
      <c r="V22" s="68"/>
      <c r="W22" s="68"/>
      <c r="X22" s="68" t="str">
        <f>_xll.TR($D22,X$6,"Curn=#2 Scale=6 Transpose=Y Null=BLANK",,$Q22,$H$5)</f>
        <v>No universe defined.</v>
      </c>
      <c r="Y22" s="68"/>
      <c r="Z22" s="68"/>
      <c r="AA22" s="68"/>
      <c r="AB22" s="68" t="str">
        <f>_xll.TR($D22,AB$6,"Curn=#2 Scale=6 Period=FY1:FY3 Transpose=Y Null=BLANK",,$Q22,$H$5)</f>
        <v>No universe defined.</v>
      </c>
      <c r="AC22" s="68"/>
      <c r="AD22" s="68"/>
      <c r="AE22" s="68"/>
      <c r="AF22" s="68" t="str">
        <f>_xll.TR($D22,AF$6,"Curn=#2 Scale=6 Transpose=Y Null=BLANK",,$Q22,$H$5)</f>
        <v>No universe defined.</v>
      </c>
      <c r="AG22" s="68"/>
      <c r="AH22" s="68"/>
      <c r="AI22" s="69"/>
      <c r="AJ22" s="69"/>
      <c r="AK22" s="69"/>
      <c r="AL22" s="69"/>
      <c r="AM22" s="69"/>
      <c r="AN22" s="70"/>
      <c r="AO22" s="70"/>
      <c r="AP22" s="70"/>
      <c r="AQ22" s="70"/>
      <c r="AR22" s="70"/>
      <c r="AS22" s="70"/>
      <c r="AT22" s="71" t="str">
        <f t="shared" si="1"/>
        <v/>
      </c>
      <c r="AU22" s="40"/>
      <c r="AV22" s="40"/>
      <c r="AW22" s="40"/>
      <c r="AX22" s="40"/>
      <c r="AY22" s="40"/>
      <c r="AZ22" s="40"/>
      <c r="BA22" s="40"/>
      <c r="BB22" s="40"/>
      <c r="BC22" s="80"/>
      <c r="BD22" s="80"/>
      <c r="BE22" s="80"/>
      <c r="BF22" s="67"/>
      <c r="BG22" s="67"/>
      <c r="BH22" s="67"/>
      <c r="BI22" s="70"/>
      <c r="BJ22" s="70"/>
      <c r="BK22" s="70"/>
      <c r="BL22" s="67"/>
      <c r="BM22" s="67"/>
      <c r="BN22" s="67"/>
      <c r="BO22" s="67"/>
      <c r="BP22" s="72"/>
      <c r="BQ22" s="72"/>
      <c r="BR22" s="72"/>
      <c r="BS22" s="72"/>
      <c r="BT22" s="67"/>
      <c r="BU22" s="67"/>
      <c r="BV22" s="67"/>
      <c r="BW22" s="67"/>
      <c r="BX22" s="67"/>
      <c r="BY22" s="67"/>
      <c r="BZ22" s="67"/>
      <c r="CA22" s="67"/>
      <c r="CD22" s="93"/>
      <c r="CM22" s="23"/>
      <c r="CN22" s="25"/>
      <c r="CO22" s="25"/>
      <c r="CP22" s="25"/>
      <c r="CQ22" s="23"/>
      <c r="CR22" s="23"/>
      <c r="CS22" s="23"/>
      <c r="CT22" s="23"/>
    </row>
    <row r="23" spans="2:98">
      <c r="B23" s="23"/>
      <c r="C23" s="112"/>
      <c r="D23" s="41" t="str">
        <f t="shared" si="2"/>
        <v/>
      </c>
      <c r="E23" s="32"/>
      <c r="F23" s="66"/>
      <c r="G23" s="32"/>
      <c r="H23" s="79"/>
      <c r="I23" s="40"/>
      <c r="J23" s="40"/>
      <c r="K23" s="40"/>
      <c r="L23" s="40"/>
      <c r="M23" s="40"/>
      <c r="N23" s="67"/>
      <c r="O23" s="40"/>
      <c r="P23" s="40"/>
      <c r="Q23" s="40" t="str">
        <f t="shared" si="0"/>
        <v/>
      </c>
      <c r="R23" s="67" t="str">
        <f>IF(D23="","",_xll.TR($D23,R$6,"Curn=#2 scale=6",,$F23,$H$5))</f>
        <v/>
      </c>
      <c r="S23" s="68"/>
      <c r="T23" s="68" t="str">
        <f>_xll.TR(D23,T$6,"Curn=#2 Scale=6 Transpose=Y Null=BLANK",,$Q23,$H$5)</f>
        <v>No universe defined.</v>
      </c>
      <c r="U23" s="68"/>
      <c r="V23" s="68"/>
      <c r="W23" s="68"/>
      <c r="X23" s="68" t="str">
        <f>_xll.TR($D23,X$6,"Curn=#2 Scale=6 Transpose=Y Null=BLANK",,$Q23,$H$5)</f>
        <v>No universe defined.</v>
      </c>
      <c r="Y23" s="68"/>
      <c r="Z23" s="68"/>
      <c r="AA23" s="68"/>
      <c r="AB23" s="68" t="str">
        <f>_xll.TR($D23,AB$6,"Curn=#2 Scale=6 Period=FY1:FY3 Transpose=Y Null=BLANK",,$Q23,$H$5)</f>
        <v>No universe defined.</v>
      </c>
      <c r="AC23" s="68"/>
      <c r="AD23" s="68"/>
      <c r="AE23" s="68"/>
      <c r="AF23" s="68" t="str">
        <f>_xll.TR($D23,AF$6,"Curn=#2 Scale=6 Transpose=Y Null=BLANK",,$Q23,$H$5)</f>
        <v>No universe defined.</v>
      </c>
      <c r="AG23" s="68"/>
      <c r="AH23" s="68"/>
      <c r="AI23" s="69"/>
      <c r="AJ23" s="69"/>
      <c r="AK23" s="69"/>
      <c r="AL23" s="69"/>
      <c r="AM23" s="69"/>
      <c r="AN23" s="70"/>
      <c r="AO23" s="70"/>
      <c r="AP23" s="70"/>
      <c r="AQ23" s="70"/>
      <c r="AR23" s="70"/>
      <c r="AS23" s="70"/>
      <c r="AT23" s="71" t="str">
        <f t="shared" si="1"/>
        <v/>
      </c>
      <c r="AU23" s="40"/>
      <c r="AV23" s="40"/>
      <c r="AW23" s="40"/>
      <c r="AX23" s="40"/>
      <c r="AY23" s="40"/>
      <c r="AZ23" s="40"/>
      <c r="BA23" s="40"/>
      <c r="BB23" s="40"/>
      <c r="BC23" s="80"/>
      <c r="BD23" s="80"/>
      <c r="BE23" s="80"/>
      <c r="BF23" s="67"/>
      <c r="BG23" s="67"/>
      <c r="BH23" s="67"/>
      <c r="BI23" s="70"/>
      <c r="BJ23" s="70"/>
      <c r="BK23" s="70"/>
      <c r="BL23" s="67"/>
      <c r="BM23" s="67"/>
      <c r="BN23" s="67"/>
      <c r="BO23" s="67"/>
      <c r="BP23" s="72"/>
      <c r="BQ23" s="72"/>
      <c r="BR23" s="72"/>
      <c r="BS23" s="72"/>
      <c r="BT23" s="67"/>
      <c r="BU23" s="67"/>
      <c r="BV23" s="67"/>
      <c r="BW23" s="67"/>
      <c r="BX23" s="67"/>
      <c r="BY23" s="67"/>
      <c r="BZ23" s="67"/>
      <c r="CA23" s="67"/>
      <c r="CD23" s="93"/>
      <c r="CM23" s="23"/>
      <c r="CN23" s="25"/>
      <c r="CO23" s="25"/>
      <c r="CP23" s="25"/>
      <c r="CQ23" s="23"/>
      <c r="CR23" s="23"/>
      <c r="CS23" s="23"/>
      <c r="CT23" s="23"/>
    </row>
    <row r="24" spans="2:98">
      <c r="B24" s="23"/>
      <c r="C24" s="112"/>
      <c r="D24" s="41" t="str">
        <f t="shared" si="2"/>
        <v/>
      </c>
      <c r="E24" s="32"/>
      <c r="F24" s="66"/>
      <c r="G24" s="32"/>
      <c r="H24" s="79"/>
      <c r="I24" s="40"/>
      <c r="J24" s="40"/>
      <c r="K24" s="40"/>
      <c r="L24" s="40"/>
      <c r="M24" s="40"/>
      <c r="N24" s="67"/>
      <c r="O24" s="40"/>
      <c r="P24" s="40"/>
      <c r="Q24" s="40" t="str">
        <f t="shared" si="0"/>
        <v/>
      </c>
      <c r="R24" s="67" t="str">
        <f>IF(D24="","",_xll.TR($D24,R$6,"Curn=#2 scale=6",,$F24,$H$5))</f>
        <v/>
      </c>
      <c r="S24" s="68"/>
      <c r="T24" s="68" t="str">
        <f>_xll.TR(D24,T$6,"Curn=#2 Scale=6 Transpose=Y Null=BLANK",,$Q24,$H$5)</f>
        <v>No universe defined.</v>
      </c>
      <c r="U24" s="68"/>
      <c r="V24" s="68"/>
      <c r="W24" s="68"/>
      <c r="X24" s="68" t="str">
        <f>_xll.TR($D24,X$6,"Curn=#2 Scale=6 Transpose=Y Null=BLANK",,$Q24,$H$5)</f>
        <v>No universe defined.</v>
      </c>
      <c r="Y24" s="68"/>
      <c r="Z24" s="68"/>
      <c r="AA24" s="68"/>
      <c r="AB24" s="68" t="str">
        <f>_xll.TR($D24,AB$6,"Curn=#2 Scale=6 Period=FY1:FY3 Transpose=Y Null=BLANK",,$Q24,$H$5)</f>
        <v>No universe defined.</v>
      </c>
      <c r="AC24" s="68"/>
      <c r="AD24" s="68"/>
      <c r="AE24" s="68"/>
      <c r="AF24" s="68" t="str">
        <f>_xll.TR($D24,AF$6,"Curn=#2 Scale=6 Transpose=Y Null=BLANK",,$Q24,$H$5)</f>
        <v>No universe defined.</v>
      </c>
      <c r="AG24" s="68"/>
      <c r="AH24" s="68"/>
      <c r="AI24" s="69"/>
      <c r="AJ24" s="69"/>
      <c r="AK24" s="69"/>
      <c r="AL24" s="69"/>
      <c r="AM24" s="69"/>
      <c r="AN24" s="70"/>
      <c r="AO24" s="70"/>
      <c r="AP24" s="70"/>
      <c r="AQ24" s="70"/>
      <c r="AR24" s="70"/>
      <c r="AS24" s="70"/>
      <c r="AT24" s="71" t="str">
        <f t="shared" si="1"/>
        <v/>
      </c>
      <c r="AU24" s="40"/>
      <c r="AV24" s="40"/>
      <c r="AW24" s="40"/>
      <c r="AX24" s="40"/>
      <c r="AY24" s="40"/>
      <c r="AZ24" s="40"/>
      <c r="BA24" s="40"/>
      <c r="BB24" s="40"/>
      <c r="BC24" s="80"/>
      <c r="BD24" s="80"/>
      <c r="BE24" s="80"/>
      <c r="BF24" s="67"/>
      <c r="BG24" s="67"/>
      <c r="BH24" s="67"/>
      <c r="BI24" s="70"/>
      <c r="BJ24" s="70"/>
      <c r="BK24" s="70"/>
      <c r="BL24" s="67"/>
      <c r="BM24" s="67"/>
      <c r="BN24" s="67"/>
      <c r="BO24" s="67"/>
      <c r="BP24" s="72"/>
      <c r="BQ24" s="72"/>
      <c r="BR24" s="72"/>
      <c r="BS24" s="72"/>
      <c r="BT24" s="67"/>
      <c r="BU24" s="67"/>
      <c r="BV24" s="67"/>
      <c r="BW24" s="67"/>
      <c r="BX24" s="67"/>
      <c r="BY24" s="67"/>
      <c r="BZ24" s="67"/>
      <c r="CA24" s="67"/>
      <c r="CD24" s="93"/>
      <c r="CM24" s="23"/>
      <c r="CN24" s="25"/>
      <c r="CO24" s="25"/>
      <c r="CP24" s="25"/>
      <c r="CQ24" s="23"/>
      <c r="CR24" s="23"/>
      <c r="CS24" s="23"/>
      <c r="CT24" s="23"/>
    </row>
    <row r="25" spans="2:98">
      <c r="B25" s="23"/>
      <c r="C25" s="112"/>
      <c r="D25" s="41" t="str">
        <f t="shared" si="2"/>
        <v/>
      </c>
      <c r="E25" s="32"/>
      <c r="F25" s="66"/>
      <c r="G25" s="32"/>
      <c r="H25" s="79"/>
      <c r="I25" s="40"/>
      <c r="J25" s="40"/>
      <c r="K25" s="40"/>
      <c r="L25" s="40"/>
      <c r="M25" s="40"/>
      <c r="N25" s="67"/>
      <c r="O25" s="40"/>
      <c r="P25" s="40"/>
      <c r="Q25" s="40" t="str">
        <f t="shared" si="0"/>
        <v/>
      </c>
      <c r="R25" s="67" t="str">
        <f>IF(D25="","",_xll.TR($D25,R$6,"Curn=#2 scale=6",,$F25,$H$5))</f>
        <v/>
      </c>
      <c r="S25" s="68"/>
      <c r="T25" s="68" t="str">
        <f>_xll.TR(D25,T$6,"Curn=#2 Scale=6 Transpose=Y Null=BLANK",,$Q25,$H$5)</f>
        <v>No universe defined.</v>
      </c>
      <c r="U25" s="68"/>
      <c r="V25" s="68"/>
      <c r="W25" s="68"/>
      <c r="X25" s="68" t="str">
        <f>_xll.TR($D25,X$6,"Curn=#2 Scale=6 Transpose=Y Null=BLANK",,$Q25,$H$5)</f>
        <v>No universe defined.</v>
      </c>
      <c r="Y25" s="68"/>
      <c r="Z25" s="68"/>
      <c r="AA25" s="68"/>
      <c r="AB25" s="68" t="str">
        <f>_xll.TR($D25,AB$6,"Curn=#2 Scale=6 Period=FY1:FY3 Transpose=Y Null=BLANK",,$Q25,$H$5)</f>
        <v>No universe defined.</v>
      </c>
      <c r="AC25" s="68"/>
      <c r="AD25" s="68"/>
      <c r="AE25" s="68"/>
      <c r="AF25" s="68" t="str">
        <f>_xll.TR($D25,AF$6,"Curn=#2 Scale=6 Transpose=Y Null=BLANK",,$Q25,$H$5)</f>
        <v>No universe defined.</v>
      </c>
      <c r="AG25" s="68"/>
      <c r="AH25" s="68"/>
      <c r="AI25" s="69"/>
      <c r="AJ25" s="69"/>
      <c r="AK25" s="69"/>
      <c r="AL25" s="69"/>
      <c r="AM25" s="69"/>
      <c r="AN25" s="70"/>
      <c r="AO25" s="70"/>
      <c r="AP25" s="70"/>
      <c r="AQ25" s="70"/>
      <c r="AR25" s="70"/>
      <c r="AS25" s="70"/>
      <c r="AT25" s="71" t="str">
        <f t="shared" si="1"/>
        <v/>
      </c>
      <c r="AU25" s="40"/>
      <c r="AV25" s="40"/>
      <c r="AW25" s="40"/>
      <c r="AX25" s="40"/>
      <c r="AY25" s="40"/>
      <c r="AZ25" s="40"/>
      <c r="BA25" s="40"/>
      <c r="BB25" s="40"/>
      <c r="BC25" s="80"/>
      <c r="BD25" s="80"/>
      <c r="BE25" s="80"/>
      <c r="BF25" s="40"/>
      <c r="BG25" s="40"/>
      <c r="BH25" s="40"/>
      <c r="BI25" s="80"/>
      <c r="BJ25" s="80"/>
      <c r="BK25" s="80"/>
      <c r="BL25" s="40"/>
      <c r="BM25" s="40"/>
      <c r="BN25" s="40"/>
      <c r="BO25" s="40"/>
      <c r="BP25" s="79"/>
      <c r="BQ25" s="79"/>
      <c r="BR25" s="79"/>
      <c r="BS25" s="79"/>
      <c r="BT25" s="40"/>
      <c r="BU25" s="40"/>
      <c r="BV25" s="40"/>
      <c r="BW25" s="40"/>
      <c r="BX25" s="40"/>
      <c r="BY25" s="40"/>
      <c r="BZ25" s="40"/>
      <c r="CA25" s="40"/>
      <c r="CD25" s="93"/>
      <c r="CM25" s="23"/>
      <c r="CN25" s="25"/>
      <c r="CO25" s="25"/>
      <c r="CP25" s="25"/>
      <c r="CQ25" s="23"/>
      <c r="CR25" s="23"/>
      <c r="CS25" s="23"/>
      <c r="CT25" s="23"/>
    </row>
    <row r="26" spans="2:98">
      <c r="B26" s="23"/>
      <c r="C26" s="112"/>
      <c r="D26" s="41" t="str">
        <f t="shared" si="2"/>
        <v/>
      </c>
      <c r="E26" s="32"/>
      <c r="F26" s="66"/>
      <c r="G26" s="32"/>
      <c r="H26" s="79"/>
      <c r="I26" s="40"/>
      <c r="J26" s="40"/>
      <c r="K26" s="40"/>
      <c r="L26" s="40"/>
      <c r="M26" s="40"/>
      <c r="N26" s="67"/>
      <c r="O26" s="40"/>
      <c r="P26" s="40"/>
      <c r="Q26" s="40" t="str">
        <f t="shared" si="0"/>
        <v/>
      </c>
      <c r="R26" s="67" t="str">
        <f>IF(D26="","",_xll.TR($D26,R$6,"Curn=#2 scale=6",,$F26,$H$5))</f>
        <v/>
      </c>
      <c r="S26" s="68"/>
      <c r="T26" s="68" t="str">
        <f>_xll.TR(D26,T$6,"Curn=#2 Scale=6 Transpose=Y Null=BLANK",,$Q26,$H$5)</f>
        <v>No universe defined.</v>
      </c>
      <c r="U26" s="68"/>
      <c r="V26" s="68"/>
      <c r="W26" s="68"/>
      <c r="X26" s="68" t="str">
        <f>_xll.TR($D26,X$6,"Curn=#2 Scale=6 Transpose=Y Null=BLANK",,$Q26,$H$5)</f>
        <v>No universe defined.</v>
      </c>
      <c r="Y26" s="68"/>
      <c r="Z26" s="68"/>
      <c r="AA26" s="68"/>
      <c r="AB26" s="68" t="str">
        <f>_xll.TR($D26,AB$6,"Curn=#2 Scale=6 Period=FY1:FY3 Transpose=Y Null=BLANK",,$Q26,$H$5)</f>
        <v>No universe defined.</v>
      </c>
      <c r="AC26" s="68"/>
      <c r="AD26" s="68"/>
      <c r="AE26" s="68"/>
      <c r="AF26" s="68" t="str">
        <f>_xll.TR($D26,AF$6,"Curn=#2 Scale=6 Transpose=Y Null=BLANK",,$Q26,$H$5)</f>
        <v>No universe defined.</v>
      </c>
      <c r="AG26" s="68"/>
      <c r="AH26" s="68"/>
      <c r="AI26" s="69"/>
      <c r="AJ26" s="69"/>
      <c r="AK26" s="69"/>
      <c r="AL26" s="69"/>
      <c r="AM26" s="69"/>
      <c r="AN26" s="70"/>
      <c r="AO26" s="70"/>
      <c r="AP26" s="70"/>
      <c r="AQ26" s="70"/>
      <c r="AR26" s="70"/>
      <c r="AS26" s="70"/>
      <c r="AT26" s="71" t="str">
        <f t="shared" si="1"/>
        <v/>
      </c>
      <c r="AU26" s="40"/>
      <c r="AV26" s="40"/>
      <c r="AW26" s="40"/>
      <c r="AX26" s="40"/>
      <c r="AY26" s="40"/>
      <c r="AZ26" s="40"/>
      <c r="BA26" s="40"/>
      <c r="BB26" s="40"/>
      <c r="BC26" s="80"/>
      <c r="BD26" s="80"/>
      <c r="BE26" s="80"/>
      <c r="BF26" s="40"/>
      <c r="BG26" s="40"/>
      <c r="BH26" s="40"/>
      <c r="BI26" s="80"/>
      <c r="BJ26" s="80"/>
      <c r="BK26" s="80"/>
      <c r="BL26" s="40"/>
      <c r="BM26" s="40"/>
      <c r="BN26" s="40"/>
      <c r="BO26" s="40"/>
      <c r="BP26" s="79"/>
      <c r="BQ26" s="79"/>
      <c r="BR26" s="79"/>
      <c r="BS26" s="79"/>
      <c r="BT26" s="40"/>
      <c r="BU26" s="40"/>
      <c r="BV26" s="40"/>
      <c r="BW26" s="40"/>
      <c r="BX26" s="40"/>
      <c r="BY26" s="40"/>
      <c r="BZ26" s="40"/>
      <c r="CA26" s="40"/>
      <c r="CD26" s="93"/>
      <c r="CM26" s="23"/>
      <c r="CN26" s="25"/>
      <c r="CO26" s="25"/>
      <c r="CP26" s="25"/>
      <c r="CQ26" s="23"/>
      <c r="CR26" s="23"/>
      <c r="CS26" s="23"/>
      <c r="CT26" s="23"/>
    </row>
    <row r="27" spans="2:98">
      <c r="B27" s="23"/>
      <c r="C27" s="112"/>
      <c r="D27" s="41" t="str">
        <f t="shared" si="2"/>
        <v/>
      </c>
      <c r="E27" s="32"/>
      <c r="F27" s="66"/>
      <c r="G27" s="32"/>
      <c r="H27" s="79"/>
      <c r="I27" s="40"/>
      <c r="J27" s="40"/>
      <c r="K27" s="40"/>
      <c r="L27" s="40"/>
      <c r="M27" s="40"/>
      <c r="N27" s="67"/>
      <c r="O27" s="40"/>
      <c r="P27" s="40"/>
      <c r="Q27" s="40" t="str">
        <f t="shared" si="0"/>
        <v/>
      </c>
      <c r="R27" s="67" t="str">
        <f>IF(D27="","",_xll.TR($D27,R$6,"Curn=#2 scale=6",,$F27,$H$5))</f>
        <v/>
      </c>
      <c r="S27" s="68"/>
      <c r="T27" s="68" t="str">
        <f>_xll.TR(D27,T$6,"Curn=#2 Scale=6 Transpose=Y Null=BLANK",,$Q27,$H$5)</f>
        <v>No universe defined.</v>
      </c>
      <c r="U27" s="68"/>
      <c r="V27" s="68"/>
      <c r="W27" s="68"/>
      <c r="X27" s="68" t="str">
        <f>_xll.TR($D27,X$6,"Curn=#2 Scale=6 Transpose=Y Null=BLANK",,$Q27,$H$5)</f>
        <v>No universe defined.</v>
      </c>
      <c r="Y27" s="68"/>
      <c r="Z27" s="68"/>
      <c r="AA27" s="68"/>
      <c r="AB27" s="68" t="str">
        <f>_xll.TR($D27,AB$6,"Curn=#2 Scale=6 Period=FY1:FY3 Transpose=Y Null=BLANK",,$Q27,$H$5)</f>
        <v>No universe defined.</v>
      </c>
      <c r="AC27" s="68"/>
      <c r="AD27" s="68"/>
      <c r="AE27" s="68"/>
      <c r="AF27" s="68" t="str">
        <f>_xll.TR($D27,AF$6,"Curn=#2 Scale=6 Transpose=Y Null=BLANK",,$Q27,$H$5)</f>
        <v>No universe defined.</v>
      </c>
      <c r="AG27" s="68"/>
      <c r="AH27" s="68"/>
      <c r="AI27" s="69"/>
      <c r="AJ27" s="69"/>
      <c r="AK27" s="69"/>
      <c r="AL27" s="69"/>
      <c r="AM27" s="69"/>
      <c r="AN27" s="70"/>
      <c r="AO27" s="70"/>
      <c r="AP27" s="70"/>
      <c r="AQ27" s="70"/>
      <c r="AR27" s="70"/>
      <c r="AS27" s="70"/>
      <c r="AT27" s="71" t="str">
        <f t="shared" si="1"/>
        <v/>
      </c>
      <c r="AU27" s="40"/>
      <c r="AV27" s="40"/>
      <c r="AW27" s="40"/>
      <c r="AX27" s="40"/>
      <c r="AY27" s="40"/>
      <c r="AZ27" s="40"/>
      <c r="BA27" s="40"/>
      <c r="BB27" s="40"/>
      <c r="BC27" s="80"/>
      <c r="BD27" s="80"/>
      <c r="BE27" s="80"/>
      <c r="BF27" s="40"/>
      <c r="BG27" s="40"/>
      <c r="BH27" s="40"/>
      <c r="BI27" s="80"/>
      <c r="BJ27" s="80"/>
      <c r="BK27" s="80"/>
      <c r="BL27" s="40"/>
      <c r="BM27" s="40"/>
      <c r="BN27" s="40"/>
      <c r="BO27" s="40"/>
      <c r="BP27" s="79"/>
      <c r="BQ27" s="79"/>
      <c r="BR27" s="79"/>
      <c r="BS27" s="79"/>
      <c r="BT27" s="40"/>
      <c r="BU27" s="40"/>
      <c r="BV27" s="40"/>
      <c r="BW27" s="40"/>
      <c r="BX27" s="40"/>
      <c r="BY27" s="40"/>
      <c r="BZ27" s="40"/>
      <c r="CA27" s="40"/>
      <c r="CD27" s="93"/>
      <c r="CM27" s="23"/>
      <c r="CN27" s="25"/>
      <c r="CO27" s="25"/>
      <c r="CP27" s="25"/>
      <c r="CQ27" s="23"/>
      <c r="CR27" s="23"/>
      <c r="CS27" s="23"/>
      <c r="CT27" s="23"/>
    </row>
    <row r="28" spans="2:98">
      <c r="B28" s="23"/>
      <c r="C28" s="112"/>
      <c r="D28" s="41" t="str">
        <f t="shared" si="2"/>
        <v/>
      </c>
      <c r="E28" s="32"/>
      <c r="F28" s="66"/>
      <c r="G28" s="32"/>
      <c r="H28" s="79"/>
      <c r="I28" s="40"/>
      <c r="J28" s="40"/>
      <c r="K28" s="40"/>
      <c r="L28" s="40"/>
      <c r="M28" s="40"/>
      <c r="N28" s="67"/>
      <c r="O28" s="40"/>
      <c r="P28" s="40"/>
      <c r="Q28" s="40" t="str">
        <f t="shared" si="0"/>
        <v/>
      </c>
      <c r="R28" s="67" t="str">
        <f>IF(D28="","",_xll.TR($D28,R$6,"Curn=#2 scale=6",,$F28,$H$5))</f>
        <v/>
      </c>
      <c r="S28" s="68"/>
      <c r="T28" s="68" t="str">
        <f>_xll.TR(D28,T$6,"Curn=#2 Scale=6 Transpose=Y Null=BLANK",,$Q28,$H$5)</f>
        <v>No universe defined.</v>
      </c>
      <c r="U28" s="68"/>
      <c r="V28" s="68"/>
      <c r="W28" s="68"/>
      <c r="X28" s="68" t="str">
        <f>_xll.TR($D28,X$6,"Curn=#2 Scale=6 Transpose=Y Null=BLANK",,$Q28,$H$5)</f>
        <v>No universe defined.</v>
      </c>
      <c r="Y28" s="68"/>
      <c r="Z28" s="68"/>
      <c r="AA28" s="68"/>
      <c r="AB28" s="68" t="str">
        <f>_xll.TR($D28,AB$6,"Curn=#2 Scale=6 Period=FY1:FY3 Transpose=Y Null=BLANK",,$Q28,$H$5)</f>
        <v>No universe defined.</v>
      </c>
      <c r="AC28" s="68"/>
      <c r="AD28" s="68"/>
      <c r="AE28" s="68"/>
      <c r="AF28" s="68" t="str">
        <f>_xll.TR($D28,AF$6,"Curn=#2 Scale=6 Transpose=Y Null=BLANK",,$Q28,$H$5)</f>
        <v>No universe defined.</v>
      </c>
      <c r="AG28" s="68"/>
      <c r="AH28" s="68"/>
      <c r="AI28" s="69"/>
      <c r="AJ28" s="69"/>
      <c r="AK28" s="69"/>
      <c r="AL28" s="69"/>
      <c r="AM28" s="69"/>
      <c r="AN28" s="70"/>
      <c r="AO28" s="70"/>
      <c r="AP28" s="70"/>
      <c r="AQ28" s="70"/>
      <c r="AR28" s="70"/>
      <c r="AS28" s="70"/>
      <c r="AT28" s="71" t="str">
        <f t="shared" si="1"/>
        <v/>
      </c>
      <c r="AU28" s="40"/>
      <c r="AV28" s="40"/>
      <c r="AW28" s="40"/>
      <c r="AX28" s="40"/>
      <c r="AY28" s="40"/>
      <c r="AZ28" s="40"/>
      <c r="BA28" s="40"/>
      <c r="BB28" s="40"/>
      <c r="BC28" s="80"/>
      <c r="BD28" s="80"/>
      <c r="BE28" s="80"/>
      <c r="BF28" s="40"/>
      <c r="BG28" s="40"/>
      <c r="BH28" s="40"/>
      <c r="BI28" s="80"/>
      <c r="BJ28" s="80"/>
      <c r="BK28" s="80"/>
      <c r="BL28" s="40"/>
      <c r="BM28" s="40"/>
      <c r="BN28" s="40"/>
      <c r="BO28" s="40"/>
      <c r="BP28" s="79"/>
      <c r="BQ28" s="79"/>
      <c r="BR28" s="79"/>
      <c r="BS28" s="79"/>
      <c r="BT28" s="40"/>
      <c r="BU28" s="40"/>
      <c r="BV28" s="40"/>
      <c r="BW28" s="40"/>
      <c r="BX28" s="40"/>
      <c r="BY28" s="40"/>
      <c r="BZ28" s="40"/>
      <c r="CA28" s="40"/>
      <c r="CD28" s="93"/>
      <c r="CM28" s="23"/>
      <c r="CN28" s="25"/>
      <c r="CO28" s="25"/>
      <c r="CP28" s="25"/>
      <c r="CQ28" s="23"/>
      <c r="CR28" s="23"/>
      <c r="CS28" s="23"/>
      <c r="CT28" s="23"/>
    </row>
    <row r="29" spans="2:98">
      <c r="B29" s="23"/>
      <c r="C29" s="112"/>
      <c r="D29" s="41" t="str">
        <f t="shared" si="2"/>
        <v/>
      </c>
      <c r="E29" s="32"/>
      <c r="F29" s="66"/>
      <c r="G29" s="32"/>
      <c r="H29" s="79"/>
      <c r="I29" s="40"/>
      <c r="J29" s="40"/>
      <c r="K29" s="40"/>
      <c r="L29" s="40"/>
      <c r="M29" s="40"/>
      <c r="N29" s="67"/>
      <c r="O29" s="40"/>
      <c r="P29" s="40"/>
      <c r="Q29" s="40" t="str">
        <f t="shared" si="0"/>
        <v/>
      </c>
      <c r="R29" s="67" t="str">
        <f>IF(D29="","",_xll.TR($D29,R$6,"Curn=#2 scale=6",,$F29,$H$5))</f>
        <v/>
      </c>
      <c r="S29" s="68"/>
      <c r="T29" s="68" t="str">
        <f>_xll.TR(D29,T$6,"Curn=#2 Scale=6 Transpose=Y Null=BLANK",,$Q29,$H$5)</f>
        <v>No universe defined.</v>
      </c>
      <c r="U29" s="68"/>
      <c r="V29" s="68"/>
      <c r="W29" s="68"/>
      <c r="X29" s="68" t="str">
        <f>_xll.TR($D29,X$6,"Curn=#2 Scale=6 Transpose=Y Null=BLANK",,$Q29,$H$5)</f>
        <v>No universe defined.</v>
      </c>
      <c r="Y29" s="68"/>
      <c r="Z29" s="68"/>
      <c r="AA29" s="68"/>
      <c r="AB29" s="68" t="str">
        <f>_xll.TR($D29,AB$6,"Curn=#2 Scale=6 Period=FY1:FY3 Transpose=Y Null=BLANK",,$Q29,$H$5)</f>
        <v>No universe defined.</v>
      </c>
      <c r="AC29" s="68"/>
      <c r="AD29" s="68"/>
      <c r="AE29" s="68"/>
      <c r="AF29" s="68" t="str">
        <f>_xll.TR($D29,AF$6,"Curn=#2 Scale=6 Transpose=Y Null=BLANK",,$Q29,$H$5)</f>
        <v>No universe defined.</v>
      </c>
      <c r="AG29" s="68"/>
      <c r="AH29" s="68"/>
      <c r="AI29" s="69"/>
      <c r="AJ29" s="69"/>
      <c r="AK29" s="69"/>
      <c r="AL29" s="69"/>
      <c r="AM29" s="69"/>
      <c r="AN29" s="70"/>
      <c r="AO29" s="70"/>
      <c r="AP29" s="70"/>
      <c r="AQ29" s="70"/>
      <c r="AR29" s="70"/>
      <c r="AS29" s="70"/>
      <c r="AT29" s="71" t="str">
        <f t="shared" si="1"/>
        <v/>
      </c>
      <c r="AU29" s="40"/>
      <c r="AV29" s="40"/>
      <c r="AW29" s="40"/>
      <c r="AX29" s="40"/>
      <c r="AY29" s="40"/>
      <c r="AZ29" s="40"/>
      <c r="BA29" s="40"/>
      <c r="BB29" s="40"/>
      <c r="BC29" s="80"/>
      <c r="BD29" s="80"/>
      <c r="BE29" s="80"/>
      <c r="BF29" s="40"/>
      <c r="BG29" s="40"/>
      <c r="BH29" s="40"/>
      <c r="BI29" s="80"/>
      <c r="BJ29" s="80"/>
      <c r="BK29" s="80"/>
      <c r="BL29" s="40"/>
      <c r="BM29" s="40"/>
      <c r="BN29" s="40"/>
      <c r="BO29" s="40"/>
      <c r="BP29" s="79"/>
      <c r="BQ29" s="79"/>
      <c r="BR29" s="79"/>
      <c r="BS29" s="79"/>
      <c r="BT29" s="40"/>
      <c r="BU29" s="40"/>
      <c r="BV29" s="40"/>
      <c r="BW29" s="40"/>
      <c r="BX29" s="40"/>
      <c r="BY29" s="40"/>
      <c r="BZ29" s="40"/>
      <c r="CA29" s="40"/>
      <c r="CD29" s="93"/>
      <c r="CM29" s="23"/>
      <c r="CN29" s="25"/>
      <c r="CO29" s="25"/>
      <c r="CP29" s="25"/>
      <c r="CQ29" s="23"/>
      <c r="CR29" s="23"/>
      <c r="CS29" s="23"/>
      <c r="CT29" s="23"/>
    </row>
    <row r="30" spans="2:98">
      <c r="B30" s="23"/>
      <c r="C30" s="112"/>
      <c r="D30" s="41" t="str">
        <f t="shared" si="2"/>
        <v/>
      </c>
      <c r="E30" s="32"/>
      <c r="F30" s="66"/>
      <c r="G30" s="32"/>
      <c r="H30" s="79"/>
      <c r="I30" s="40"/>
      <c r="J30" s="40"/>
      <c r="K30" s="40"/>
      <c r="L30" s="40"/>
      <c r="M30" s="40"/>
      <c r="N30" s="67"/>
      <c r="O30" s="40"/>
      <c r="P30" s="40"/>
      <c r="Q30" s="40" t="str">
        <f t="shared" si="0"/>
        <v/>
      </c>
      <c r="R30" s="67" t="str">
        <f>IF(D30="","",_xll.TR($D30,R$6,"Curn=#2 scale=6",,$F30,$H$5))</f>
        <v/>
      </c>
      <c r="S30" s="68"/>
      <c r="T30" s="68" t="str">
        <f>_xll.TR(D30,T$6,"Curn=#2 Scale=6 Transpose=Y Null=BLANK",,$Q30,$H$5)</f>
        <v>No universe defined.</v>
      </c>
      <c r="U30" s="68"/>
      <c r="V30" s="68"/>
      <c r="W30" s="68"/>
      <c r="X30" s="68" t="str">
        <f>_xll.TR($D30,X$6,"Curn=#2 Scale=6 Transpose=Y Null=BLANK",,$Q30,$H$5)</f>
        <v>No universe defined.</v>
      </c>
      <c r="Y30" s="68"/>
      <c r="Z30" s="68"/>
      <c r="AA30" s="68"/>
      <c r="AB30" s="68" t="str">
        <f>_xll.TR($D30,AB$6,"Curn=#2 Scale=6 Period=FY1:FY3 Transpose=Y Null=BLANK",,$Q30,$H$5)</f>
        <v>No universe defined.</v>
      </c>
      <c r="AC30" s="68"/>
      <c r="AD30" s="68"/>
      <c r="AE30" s="68"/>
      <c r="AF30" s="68" t="str">
        <f>_xll.TR($D30,AF$6,"Curn=#2 Scale=6 Transpose=Y Null=BLANK",,$Q30,$H$5)</f>
        <v>No universe defined.</v>
      </c>
      <c r="AG30" s="68"/>
      <c r="AH30" s="68"/>
      <c r="AI30" s="69"/>
      <c r="AJ30" s="69"/>
      <c r="AK30" s="69"/>
      <c r="AL30" s="69"/>
      <c r="AM30" s="69"/>
      <c r="AN30" s="70"/>
      <c r="AO30" s="70"/>
      <c r="AP30" s="70"/>
      <c r="AQ30" s="70"/>
      <c r="AR30" s="70"/>
      <c r="AS30" s="70"/>
      <c r="AT30" s="71" t="str">
        <f t="shared" si="1"/>
        <v/>
      </c>
      <c r="AU30" s="40"/>
      <c r="AV30" s="40"/>
      <c r="AW30" s="40"/>
      <c r="AX30" s="40"/>
      <c r="AY30" s="40"/>
      <c r="AZ30" s="40"/>
      <c r="BA30" s="40"/>
      <c r="BB30" s="40"/>
      <c r="BC30" s="80"/>
      <c r="BD30" s="80"/>
      <c r="BE30" s="80"/>
      <c r="BF30" s="40"/>
      <c r="BG30" s="40"/>
      <c r="BH30" s="40"/>
      <c r="BI30" s="80"/>
      <c r="BJ30" s="80"/>
      <c r="BK30" s="80"/>
      <c r="BL30" s="40"/>
      <c r="BM30" s="40"/>
      <c r="BN30" s="40"/>
      <c r="BO30" s="40"/>
      <c r="BP30" s="79"/>
      <c r="BQ30" s="79"/>
      <c r="BR30" s="79"/>
      <c r="BS30" s="79"/>
      <c r="BT30" s="40"/>
      <c r="BU30" s="40"/>
      <c r="BV30" s="40"/>
      <c r="BW30" s="40"/>
      <c r="BX30" s="40"/>
      <c r="BY30" s="40"/>
      <c r="BZ30" s="40"/>
      <c r="CA30" s="40"/>
      <c r="CD30" s="93"/>
      <c r="CM30" s="23"/>
      <c r="CN30" s="25"/>
      <c r="CO30" s="25"/>
      <c r="CP30" s="25"/>
      <c r="CQ30" s="23"/>
      <c r="CR30" s="23"/>
      <c r="CS30" s="23"/>
      <c r="CT30" s="23"/>
    </row>
    <row r="31" spans="2:98">
      <c r="B31" s="23"/>
      <c r="C31" s="112"/>
      <c r="D31" s="41" t="str">
        <f t="shared" si="2"/>
        <v/>
      </c>
      <c r="E31" s="32"/>
      <c r="F31" s="66"/>
      <c r="G31" s="32"/>
      <c r="H31" s="79"/>
      <c r="I31" s="40"/>
      <c r="J31" s="40"/>
      <c r="K31" s="40"/>
      <c r="L31" s="40"/>
      <c r="M31" s="40"/>
      <c r="N31" s="67"/>
      <c r="O31" s="40"/>
      <c r="P31" s="40"/>
      <c r="Q31" s="40" t="str">
        <f t="shared" si="0"/>
        <v/>
      </c>
      <c r="R31" s="67" t="str">
        <f>IF(D31="","",_xll.TR($D31,R$6,"Curn=#2 scale=6",,$F31,$H$5))</f>
        <v/>
      </c>
      <c r="S31" s="68"/>
      <c r="T31" s="68" t="str">
        <f>_xll.TR(D31,T$6,"Curn=#2 Scale=6 Transpose=Y Null=BLANK",,$Q31,$H$5)</f>
        <v>No universe defined.</v>
      </c>
      <c r="U31" s="68"/>
      <c r="V31" s="68"/>
      <c r="W31" s="68"/>
      <c r="X31" s="68" t="str">
        <f>_xll.TR($D31,X$6,"Curn=#2 Scale=6 Transpose=Y Null=BLANK",,$Q31,$H$5)</f>
        <v>No universe defined.</v>
      </c>
      <c r="Y31" s="68"/>
      <c r="Z31" s="68"/>
      <c r="AA31" s="68"/>
      <c r="AB31" s="68" t="str">
        <f>_xll.TR($D31,AB$6,"Curn=#2 Scale=6 Period=FY1:FY3 Transpose=Y Null=BLANK",,$Q31,$H$5)</f>
        <v>No universe defined.</v>
      </c>
      <c r="AC31" s="68"/>
      <c r="AD31" s="68"/>
      <c r="AE31" s="68"/>
      <c r="AF31" s="68" t="str">
        <f>_xll.TR($D31,AF$6,"Curn=#2 Scale=6 Transpose=Y Null=BLANK",,$Q31,$H$5)</f>
        <v>No universe defined.</v>
      </c>
      <c r="AG31" s="68"/>
      <c r="AH31" s="68"/>
      <c r="AI31" s="69"/>
      <c r="AJ31" s="69"/>
      <c r="AK31" s="69"/>
      <c r="AL31" s="69"/>
      <c r="AM31" s="69"/>
      <c r="AN31" s="70"/>
      <c r="AO31" s="70"/>
      <c r="AP31" s="70"/>
      <c r="AQ31" s="70"/>
      <c r="AR31" s="70"/>
      <c r="AS31" s="70"/>
      <c r="AT31" s="71" t="str">
        <f t="shared" si="1"/>
        <v/>
      </c>
      <c r="AU31" s="40"/>
      <c r="AV31" s="40"/>
      <c r="AW31" s="40"/>
      <c r="AX31" s="40"/>
      <c r="AY31" s="40"/>
      <c r="AZ31" s="40"/>
      <c r="BA31" s="40"/>
      <c r="BB31" s="40"/>
      <c r="BC31" s="80"/>
      <c r="BD31" s="80"/>
      <c r="BE31" s="80"/>
      <c r="BF31" s="40"/>
      <c r="BG31" s="40"/>
      <c r="BH31" s="40"/>
      <c r="BI31" s="80"/>
      <c r="BJ31" s="80"/>
      <c r="BK31" s="80"/>
      <c r="BL31" s="40"/>
      <c r="BM31" s="40"/>
      <c r="BN31" s="40"/>
      <c r="BO31" s="40"/>
      <c r="BP31" s="79"/>
      <c r="BQ31" s="79"/>
      <c r="BR31" s="79"/>
      <c r="BS31" s="79"/>
      <c r="BT31" s="40"/>
      <c r="BU31" s="40"/>
      <c r="BV31" s="40"/>
      <c r="BW31" s="40"/>
      <c r="BX31" s="40"/>
      <c r="BY31" s="40"/>
      <c r="BZ31" s="40"/>
      <c r="CA31" s="40"/>
      <c r="CD31" s="93"/>
      <c r="CM31" s="23"/>
      <c r="CN31" s="25"/>
      <c r="CO31" s="25"/>
      <c r="CP31" s="25"/>
      <c r="CQ31" s="23"/>
      <c r="CR31" s="23"/>
      <c r="CS31" s="23"/>
      <c r="CT31" s="23"/>
    </row>
    <row r="32" spans="2:98">
      <c r="B32" s="23"/>
      <c r="C32" s="112"/>
      <c r="D32" s="41" t="str">
        <f t="shared" si="2"/>
        <v/>
      </c>
      <c r="E32" s="32"/>
      <c r="F32" s="66"/>
      <c r="G32" s="32"/>
      <c r="H32" s="79"/>
      <c r="I32" s="40"/>
      <c r="J32" s="40"/>
      <c r="K32" s="40"/>
      <c r="L32" s="40"/>
      <c r="M32" s="40"/>
      <c r="N32" s="67"/>
      <c r="O32" s="40"/>
      <c r="P32" s="40"/>
      <c r="Q32" s="40" t="str">
        <f t="shared" si="0"/>
        <v/>
      </c>
      <c r="R32" s="67" t="str">
        <f>IF(D32="","",_xll.TR($D32,R$6,"Curn=#2 scale=6",,$F32,$H$5))</f>
        <v/>
      </c>
      <c r="S32" s="68"/>
      <c r="T32" s="68" t="str">
        <f>_xll.TR(D32,T$6,"Curn=#2 Scale=6 Transpose=Y Null=BLANK",,$Q32,$H$5)</f>
        <v>No universe defined.</v>
      </c>
      <c r="U32" s="68"/>
      <c r="V32" s="68"/>
      <c r="W32" s="68"/>
      <c r="X32" s="68" t="str">
        <f>_xll.TR($D32,X$6,"Curn=#2 Scale=6 Transpose=Y Null=BLANK",,$Q32,$H$5)</f>
        <v>No universe defined.</v>
      </c>
      <c r="Y32" s="68"/>
      <c r="Z32" s="68"/>
      <c r="AA32" s="68"/>
      <c r="AB32" s="68" t="str">
        <f>_xll.TR($D32,AB$6,"Curn=#2 Scale=6 Period=FY1:FY3 Transpose=Y Null=BLANK",,$Q32,$H$5)</f>
        <v>No universe defined.</v>
      </c>
      <c r="AC32" s="68"/>
      <c r="AD32" s="68"/>
      <c r="AE32" s="68"/>
      <c r="AF32" s="68" t="str">
        <f>_xll.TR($D32,AF$6,"Curn=#2 Scale=6 Transpose=Y Null=BLANK",,$Q32,$H$5)</f>
        <v>No universe defined.</v>
      </c>
      <c r="AG32" s="68"/>
      <c r="AH32" s="68"/>
      <c r="AI32" s="69"/>
      <c r="AJ32" s="69"/>
      <c r="AK32" s="69"/>
      <c r="AL32" s="69"/>
      <c r="AM32" s="69"/>
      <c r="AN32" s="70"/>
      <c r="AO32" s="70"/>
      <c r="AP32" s="70"/>
      <c r="AQ32" s="70"/>
      <c r="AR32" s="70"/>
      <c r="AS32" s="70"/>
      <c r="AT32" s="71" t="str">
        <f t="shared" si="1"/>
        <v/>
      </c>
      <c r="AU32" s="40"/>
      <c r="AV32" s="40"/>
      <c r="AW32" s="40"/>
      <c r="AX32" s="40"/>
      <c r="AY32" s="40"/>
      <c r="AZ32" s="40"/>
      <c r="BA32" s="40"/>
      <c r="BB32" s="40"/>
      <c r="BC32" s="80"/>
      <c r="BD32" s="80"/>
      <c r="BE32" s="80"/>
      <c r="BF32" s="40"/>
      <c r="BG32" s="40"/>
      <c r="BH32" s="40"/>
      <c r="BI32" s="80"/>
      <c r="BJ32" s="80"/>
      <c r="BK32" s="80"/>
      <c r="BL32" s="40"/>
      <c r="BM32" s="40"/>
      <c r="BN32" s="40"/>
      <c r="BO32" s="40"/>
      <c r="BP32" s="79"/>
      <c r="BQ32" s="79"/>
      <c r="BR32" s="79"/>
      <c r="BS32" s="79"/>
      <c r="BT32" s="40"/>
      <c r="BU32" s="40"/>
      <c r="BV32" s="40"/>
      <c r="BW32" s="40"/>
      <c r="BX32" s="40"/>
      <c r="BY32" s="40"/>
      <c r="BZ32" s="40"/>
      <c r="CA32" s="40"/>
      <c r="CD32" s="93"/>
      <c r="CM32" s="23"/>
      <c r="CN32" s="25"/>
      <c r="CO32" s="25"/>
      <c r="CP32" s="25"/>
      <c r="CQ32" s="23"/>
      <c r="CR32" s="23"/>
      <c r="CS32" s="23"/>
      <c r="CT32" s="23"/>
    </row>
    <row r="33" spans="2:98">
      <c r="B33" s="23"/>
      <c r="C33" s="112"/>
      <c r="D33" s="41" t="str">
        <f t="shared" si="2"/>
        <v/>
      </c>
      <c r="E33" s="32"/>
      <c r="F33" s="66"/>
      <c r="G33" s="32"/>
      <c r="H33" s="79"/>
      <c r="I33" s="40"/>
      <c r="J33" s="40"/>
      <c r="K33" s="40"/>
      <c r="L33" s="40"/>
      <c r="M33" s="40"/>
      <c r="N33" s="67"/>
      <c r="O33" s="40"/>
      <c r="P33" s="40"/>
      <c r="Q33" s="40" t="str">
        <f t="shared" si="0"/>
        <v/>
      </c>
      <c r="R33" s="67" t="str">
        <f>IF(D33="","",_xll.TR($D33,R$6,"Curn=#2 scale=6",,$F33,$H$5))</f>
        <v/>
      </c>
      <c r="S33" s="68"/>
      <c r="T33" s="68" t="str">
        <f>_xll.TR(D33,T$6,"Curn=#2 Scale=6 Transpose=Y Null=BLANK",,$Q33,$H$5)</f>
        <v>No universe defined.</v>
      </c>
      <c r="U33" s="68"/>
      <c r="V33" s="68"/>
      <c r="W33" s="68"/>
      <c r="X33" s="68" t="str">
        <f>_xll.TR($D33,X$6,"Curn=#2 Scale=6 Transpose=Y Null=BLANK",,$Q33,$H$5)</f>
        <v>No universe defined.</v>
      </c>
      <c r="Y33" s="68"/>
      <c r="Z33" s="68"/>
      <c r="AA33" s="68"/>
      <c r="AB33" s="68" t="str">
        <f>_xll.TR($D33,AB$6,"Curn=#2 Scale=6 Period=FY1:FY3 Transpose=Y Null=BLANK",,$Q33,$H$5)</f>
        <v>No universe defined.</v>
      </c>
      <c r="AC33" s="68"/>
      <c r="AD33" s="68"/>
      <c r="AE33" s="68"/>
      <c r="AF33" s="68" t="str">
        <f>_xll.TR($D33,AF$6,"Curn=#2 Scale=6 Transpose=Y Null=BLANK",,$Q33,$H$5)</f>
        <v>No universe defined.</v>
      </c>
      <c r="AG33" s="68"/>
      <c r="AH33" s="68"/>
      <c r="AI33" s="69"/>
      <c r="AJ33" s="69"/>
      <c r="AK33" s="69"/>
      <c r="AL33" s="69"/>
      <c r="AM33" s="69"/>
      <c r="AN33" s="70"/>
      <c r="AO33" s="70"/>
      <c r="AP33" s="70"/>
      <c r="AQ33" s="70"/>
      <c r="AR33" s="70"/>
      <c r="AS33" s="70"/>
      <c r="AT33" s="71" t="str">
        <f t="shared" si="1"/>
        <v/>
      </c>
      <c r="AU33" s="40"/>
      <c r="AV33" s="40"/>
      <c r="AW33" s="40"/>
      <c r="AX33" s="40"/>
      <c r="AY33" s="40"/>
      <c r="AZ33" s="40"/>
      <c r="BA33" s="40"/>
      <c r="BB33" s="40"/>
      <c r="BC33" s="80"/>
      <c r="BD33" s="80"/>
      <c r="BE33" s="80"/>
      <c r="BF33" s="40"/>
      <c r="BG33" s="40"/>
      <c r="BH33" s="40"/>
      <c r="BI33" s="80"/>
      <c r="BJ33" s="80"/>
      <c r="BK33" s="80"/>
      <c r="BL33" s="40"/>
      <c r="BM33" s="40"/>
      <c r="BN33" s="40"/>
      <c r="BO33" s="40"/>
      <c r="BP33" s="79"/>
      <c r="BQ33" s="79"/>
      <c r="BR33" s="79"/>
      <c r="BS33" s="79"/>
      <c r="BT33" s="40"/>
      <c r="BU33" s="40"/>
      <c r="BV33" s="40"/>
      <c r="BW33" s="40"/>
      <c r="BX33" s="40"/>
      <c r="BY33" s="40"/>
      <c r="BZ33" s="40"/>
      <c r="CA33" s="40"/>
      <c r="CD33" s="93"/>
      <c r="CM33" s="23"/>
      <c r="CN33" s="25"/>
      <c r="CO33" s="25"/>
      <c r="CP33" s="25"/>
      <c r="CQ33" s="23"/>
      <c r="CR33" s="23"/>
      <c r="CS33" s="23"/>
      <c r="CT33" s="23"/>
    </row>
    <row r="34" spans="2:98">
      <c r="B34" s="23"/>
      <c r="C34" s="112"/>
      <c r="D34" s="41" t="str">
        <f t="shared" si="2"/>
        <v/>
      </c>
      <c r="E34" s="32"/>
      <c r="F34" s="66"/>
      <c r="G34" s="32"/>
      <c r="H34" s="79"/>
      <c r="I34" s="40"/>
      <c r="J34" s="40"/>
      <c r="K34" s="40"/>
      <c r="L34" s="40"/>
      <c r="M34" s="40"/>
      <c r="N34" s="67"/>
      <c r="O34" s="40"/>
      <c r="P34" s="40"/>
      <c r="Q34" s="40" t="str">
        <f t="shared" si="0"/>
        <v/>
      </c>
      <c r="R34" s="67" t="str">
        <f>IF(D34="","",_xll.TR($D34,R$6,"Curn=#2 scale=6",,$F34,$H$5))</f>
        <v/>
      </c>
      <c r="S34" s="68"/>
      <c r="T34" s="68" t="str">
        <f>_xll.TR(D34,T$6,"Curn=#2 Scale=6 Transpose=Y Null=BLANK",,$Q34,$H$5)</f>
        <v>No universe defined.</v>
      </c>
      <c r="U34" s="68"/>
      <c r="V34" s="68"/>
      <c r="W34" s="68"/>
      <c r="X34" s="68" t="str">
        <f>_xll.TR($D34,X$6,"Curn=#2 Scale=6 Transpose=Y Null=BLANK",,$Q34,$H$5)</f>
        <v>No universe defined.</v>
      </c>
      <c r="Y34" s="68"/>
      <c r="Z34" s="68"/>
      <c r="AA34" s="68"/>
      <c r="AB34" s="68" t="str">
        <f>_xll.TR($D34,AB$6,"Curn=#2 Scale=6 Period=FY1:FY3 Transpose=Y Null=BLANK",,$Q34,$H$5)</f>
        <v>No universe defined.</v>
      </c>
      <c r="AC34" s="68"/>
      <c r="AD34" s="68"/>
      <c r="AE34" s="68"/>
      <c r="AF34" s="68" t="str">
        <f>_xll.TR($D34,AF$6,"Curn=#2 Scale=6 Transpose=Y Null=BLANK",,$Q34,$H$5)</f>
        <v>No universe defined.</v>
      </c>
      <c r="AG34" s="68"/>
      <c r="AH34" s="68"/>
      <c r="AI34" s="69"/>
      <c r="AJ34" s="69"/>
      <c r="AK34" s="69"/>
      <c r="AL34" s="69"/>
      <c r="AM34" s="69"/>
      <c r="AN34" s="70"/>
      <c r="AO34" s="70"/>
      <c r="AP34" s="70"/>
      <c r="AQ34" s="70"/>
      <c r="AR34" s="70"/>
      <c r="AS34" s="70"/>
      <c r="AT34" s="71" t="str">
        <f t="shared" si="1"/>
        <v/>
      </c>
      <c r="AU34" s="40"/>
      <c r="AV34" s="40"/>
      <c r="AW34" s="40"/>
      <c r="AX34" s="40"/>
      <c r="AY34" s="40"/>
      <c r="AZ34" s="40"/>
      <c r="BA34" s="40"/>
      <c r="BB34" s="40"/>
      <c r="BC34" s="80"/>
      <c r="BD34" s="80"/>
      <c r="BE34" s="80"/>
      <c r="BF34" s="40"/>
      <c r="BG34" s="40"/>
      <c r="BH34" s="40"/>
      <c r="BI34" s="80"/>
      <c r="BJ34" s="80"/>
      <c r="BK34" s="80"/>
      <c r="BL34" s="40"/>
      <c r="BM34" s="40"/>
      <c r="BN34" s="40"/>
      <c r="BO34" s="40"/>
      <c r="BP34" s="79"/>
      <c r="BQ34" s="79"/>
      <c r="BR34" s="79"/>
      <c r="BS34" s="79"/>
      <c r="BT34" s="40"/>
      <c r="BU34" s="40"/>
      <c r="BV34" s="40"/>
      <c r="BW34" s="40"/>
      <c r="BX34" s="40"/>
      <c r="BY34" s="40"/>
      <c r="BZ34" s="40"/>
      <c r="CA34" s="40"/>
      <c r="CD34" s="93"/>
      <c r="CM34" s="23"/>
      <c r="CN34" s="25"/>
      <c r="CO34" s="25"/>
      <c r="CP34" s="25"/>
      <c r="CQ34" s="23"/>
      <c r="CR34" s="23"/>
      <c r="CS34" s="23"/>
      <c r="CT34" s="23"/>
    </row>
    <row r="35" spans="2:98">
      <c r="B35" s="23"/>
      <c r="C35" s="112"/>
      <c r="D35" s="41" t="str">
        <f t="shared" si="2"/>
        <v/>
      </c>
      <c r="E35" s="32"/>
      <c r="F35" s="66"/>
      <c r="G35" s="32"/>
      <c r="H35" s="79"/>
      <c r="I35" s="40"/>
      <c r="J35" s="40"/>
      <c r="K35" s="40"/>
      <c r="L35" s="40"/>
      <c r="M35" s="40"/>
      <c r="N35" s="67"/>
      <c r="O35" s="40"/>
      <c r="P35" s="40"/>
      <c r="Q35" s="40" t="str">
        <f t="shared" si="0"/>
        <v/>
      </c>
      <c r="R35" s="67" t="str">
        <f>IF(D35="","",_xll.TR($D35,R$6,"Curn=#2 scale=6",,$F35,$H$5))</f>
        <v/>
      </c>
      <c r="S35" s="68"/>
      <c r="T35" s="68" t="str">
        <f>_xll.TR(D35,T$6,"Curn=#2 Scale=6 Transpose=Y Null=BLANK",,$Q35,$H$5)</f>
        <v>No universe defined.</v>
      </c>
      <c r="U35" s="68"/>
      <c r="V35" s="68"/>
      <c r="W35" s="68"/>
      <c r="X35" s="68" t="str">
        <f>_xll.TR($D35,X$6,"Curn=#2 Scale=6 Transpose=Y Null=BLANK",,$Q35,$H$5)</f>
        <v>No universe defined.</v>
      </c>
      <c r="Y35" s="68"/>
      <c r="Z35" s="68"/>
      <c r="AA35" s="68"/>
      <c r="AB35" s="68" t="str">
        <f>_xll.TR($D35,AB$6,"Curn=#2 Scale=6 Period=FY1:FY3 Transpose=Y Null=BLANK",,$Q35,$H$5)</f>
        <v>No universe defined.</v>
      </c>
      <c r="AC35" s="68"/>
      <c r="AD35" s="68"/>
      <c r="AE35" s="68"/>
      <c r="AF35" s="68" t="str">
        <f>_xll.TR($D35,AF$6,"Curn=#2 Scale=6 Transpose=Y Null=BLANK",,$Q35,$H$5)</f>
        <v>No universe defined.</v>
      </c>
      <c r="AG35" s="68"/>
      <c r="AH35" s="68"/>
      <c r="AI35" s="69"/>
      <c r="AJ35" s="69"/>
      <c r="AK35" s="69"/>
      <c r="AL35" s="69"/>
      <c r="AM35" s="69"/>
      <c r="AN35" s="70"/>
      <c r="AO35" s="70"/>
      <c r="AP35" s="70"/>
      <c r="AQ35" s="70"/>
      <c r="AR35" s="70"/>
      <c r="AS35" s="70"/>
      <c r="AT35" s="71" t="str">
        <f t="shared" si="1"/>
        <v/>
      </c>
      <c r="AU35" s="40"/>
      <c r="AV35" s="40"/>
      <c r="AW35" s="40"/>
      <c r="AX35" s="40"/>
      <c r="AY35" s="40"/>
      <c r="AZ35" s="40"/>
      <c r="BA35" s="40"/>
      <c r="BB35" s="40"/>
      <c r="BC35" s="80"/>
      <c r="BD35" s="80"/>
      <c r="BE35" s="80"/>
      <c r="BF35" s="40"/>
      <c r="BG35" s="40"/>
      <c r="BH35" s="40"/>
      <c r="BI35" s="80"/>
      <c r="BJ35" s="80"/>
      <c r="BK35" s="80"/>
      <c r="BL35" s="40"/>
      <c r="BM35" s="40"/>
      <c r="BN35" s="40"/>
      <c r="BO35" s="40"/>
      <c r="BP35" s="79"/>
      <c r="BQ35" s="79"/>
      <c r="BR35" s="79"/>
      <c r="BS35" s="79"/>
      <c r="BT35" s="40"/>
      <c r="BU35" s="40"/>
      <c r="BV35" s="40"/>
      <c r="BW35" s="40"/>
      <c r="BX35" s="40"/>
      <c r="BY35" s="40"/>
      <c r="BZ35" s="40"/>
      <c r="CA35" s="40"/>
      <c r="CD35" s="93"/>
      <c r="CM35" s="23"/>
      <c r="CN35" s="25"/>
      <c r="CO35" s="25"/>
      <c r="CP35" s="25"/>
      <c r="CQ35" s="23"/>
      <c r="CR35" s="23"/>
      <c r="CS35" s="23"/>
      <c r="CT35" s="23"/>
    </row>
    <row r="36" spans="2:98">
      <c r="B36" s="23"/>
      <c r="C36" s="112"/>
      <c r="D36" s="32" t="str">
        <f t="shared" si="2"/>
        <v/>
      </c>
      <c r="E36" s="32"/>
      <c r="F36" s="66"/>
      <c r="G36" s="32"/>
      <c r="H36" s="79"/>
      <c r="I36" s="40"/>
      <c r="J36" s="40"/>
      <c r="K36" s="40"/>
      <c r="L36" s="40"/>
      <c r="M36" s="40"/>
      <c r="N36" s="67"/>
      <c r="O36" s="40"/>
      <c r="P36" s="40"/>
      <c r="Q36" s="40" t="str">
        <f t="shared" si="0"/>
        <v/>
      </c>
      <c r="R36" s="67" t="str">
        <f>IF(D36="","",_xll.TR($D36,R$6,"Curn=#2 scale=6",,$F36,$H$5))</f>
        <v/>
      </c>
      <c r="S36" s="68"/>
      <c r="T36" s="68" t="str">
        <f>_xll.TR(D36,T$6,"Curn=#2 Scale=6 Transpose=Y Null=BLANK",,$Q36,$H$5)</f>
        <v>No universe defined.</v>
      </c>
      <c r="U36" s="68"/>
      <c r="V36" s="68"/>
      <c r="W36" s="68"/>
      <c r="X36" s="68" t="str">
        <f>_xll.TR($D36,X$6,"Curn=#2 Scale=6 Transpose=Y Null=BLANK",,$Q36,$H$5)</f>
        <v>No universe defined.</v>
      </c>
      <c r="Y36" s="68"/>
      <c r="Z36" s="68"/>
      <c r="AA36" s="68"/>
      <c r="AB36" s="68" t="str">
        <f>_xll.TR($D36,AB$6,"Curn=#2 Scale=6 Period=FY1:FY3 Transpose=Y Null=BLANK",,$Q36,$H$5)</f>
        <v>No universe defined.</v>
      </c>
      <c r="AC36" s="68"/>
      <c r="AD36" s="68"/>
      <c r="AE36" s="68"/>
      <c r="AF36" s="68" t="str">
        <f>_xll.TR($D36,AF$6,"Curn=#2 Scale=6 Transpose=Y Null=BLANK",,$Q36,$H$5)</f>
        <v>No universe defined.</v>
      </c>
      <c r="AG36" s="68"/>
      <c r="AH36" s="68"/>
      <c r="AI36" s="69"/>
      <c r="AJ36" s="69"/>
      <c r="AK36" s="69"/>
      <c r="AL36" s="69"/>
      <c r="AM36" s="69"/>
      <c r="AN36" s="70"/>
      <c r="AO36" s="70"/>
      <c r="AP36" s="70"/>
      <c r="AQ36" s="70"/>
      <c r="AR36" s="70"/>
      <c r="AS36" s="70"/>
      <c r="AT36" s="71" t="str">
        <f t="shared" si="1"/>
        <v/>
      </c>
      <c r="AU36" s="40"/>
      <c r="AV36" s="40"/>
      <c r="AW36" s="40"/>
      <c r="AX36" s="40"/>
      <c r="AY36" s="40"/>
      <c r="AZ36" s="40"/>
      <c r="BA36" s="40"/>
      <c r="BB36" s="40"/>
      <c r="BC36" s="80"/>
      <c r="BD36" s="80"/>
      <c r="BE36" s="80"/>
      <c r="BF36" s="40"/>
      <c r="BG36" s="40"/>
      <c r="BH36" s="40"/>
      <c r="BI36" s="80"/>
      <c r="BJ36" s="80"/>
      <c r="BK36" s="80"/>
      <c r="BL36" s="40"/>
      <c r="BM36" s="40"/>
      <c r="BN36" s="40"/>
      <c r="BO36" s="40"/>
      <c r="BP36" s="79"/>
      <c r="BQ36" s="79"/>
      <c r="BR36" s="79"/>
      <c r="BS36" s="79"/>
      <c r="BT36" s="40"/>
      <c r="BU36" s="40"/>
      <c r="BV36" s="40"/>
      <c r="BW36" s="40"/>
      <c r="BX36" s="40"/>
      <c r="BY36" s="40"/>
      <c r="BZ36" s="40"/>
      <c r="CA36" s="40"/>
      <c r="CD36" s="93"/>
      <c r="CM36" s="23"/>
      <c r="CN36" s="25"/>
      <c r="CO36" s="25"/>
      <c r="CP36" s="25"/>
      <c r="CQ36" s="23"/>
      <c r="CR36" s="23"/>
      <c r="CS36" s="23"/>
      <c r="CT36" s="23"/>
    </row>
    <row r="37" spans="2:98">
      <c r="B37" s="23"/>
      <c r="C37" s="112"/>
      <c r="D37" s="32" t="str">
        <f t="shared" si="2"/>
        <v/>
      </c>
      <c r="E37" s="32"/>
      <c r="F37" s="66"/>
      <c r="G37" s="32"/>
      <c r="H37" s="79"/>
      <c r="I37" s="40"/>
      <c r="J37" s="40"/>
      <c r="K37" s="40"/>
      <c r="L37" s="40"/>
      <c r="M37" s="40"/>
      <c r="N37" s="67"/>
      <c r="O37" s="40"/>
      <c r="P37" s="40"/>
      <c r="Q37" s="40" t="str">
        <f t="shared" si="0"/>
        <v/>
      </c>
      <c r="R37" s="67" t="str">
        <f>IF(D37="","",_xll.TR($D37,R$6,"Curn=#2 scale=6",,$F37,$H$5))</f>
        <v/>
      </c>
      <c r="S37" s="68"/>
      <c r="T37" s="68" t="str">
        <f>_xll.TR(D37,T$6,"Curn=#2 Scale=6 Transpose=Y Null=BLANK",,$Q37,$H$5)</f>
        <v>No universe defined.</v>
      </c>
      <c r="U37" s="68"/>
      <c r="V37" s="68"/>
      <c r="W37" s="68"/>
      <c r="X37" s="68" t="str">
        <f>_xll.TR($D37,X$6,"Curn=#2 Scale=6 Transpose=Y Null=BLANK",,$Q37,$H$5)</f>
        <v>No universe defined.</v>
      </c>
      <c r="Y37" s="68"/>
      <c r="Z37" s="68"/>
      <c r="AA37" s="68"/>
      <c r="AB37" s="68" t="str">
        <f>_xll.TR($D37,AB$6,"Curn=#2 Scale=6 Period=FY1:FY3 Transpose=Y Null=BLANK",,$Q37,$H$5)</f>
        <v>No universe defined.</v>
      </c>
      <c r="AC37" s="68"/>
      <c r="AD37" s="68"/>
      <c r="AE37" s="68"/>
      <c r="AF37" s="68" t="str">
        <f>_xll.TR($D37,AF$6,"Curn=#2 Scale=6 Transpose=Y Null=BLANK",,$Q37,$H$5)</f>
        <v>No universe defined.</v>
      </c>
      <c r="AG37" s="68"/>
      <c r="AH37" s="68"/>
      <c r="AI37" s="69"/>
      <c r="AJ37" s="69"/>
      <c r="AK37" s="69"/>
      <c r="AL37" s="69"/>
      <c r="AM37" s="69"/>
      <c r="AN37" s="70"/>
      <c r="AO37" s="70"/>
      <c r="AP37" s="70"/>
      <c r="AQ37" s="70"/>
      <c r="AR37" s="70"/>
      <c r="AS37" s="70"/>
      <c r="AT37" s="71" t="str">
        <f t="shared" si="1"/>
        <v/>
      </c>
      <c r="AU37" s="40"/>
      <c r="AV37" s="40"/>
      <c r="AW37" s="40"/>
      <c r="AX37" s="40"/>
      <c r="AY37" s="40"/>
      <c r="AZ37" s="40"/>
      <c r="BA37" s="40"/>
      <c r="BB37" s="40"/>
      <c r="BC37" s="80"/>
      <c r="BD37" s="80"/>
      <c r="BE37" s="80"/>
      <c r="BF37" s="40"/>
      <c r="BG37" s="40"/>
      <c r="BH37" s="40"/>
      <c r="BI37" s="80"/>
      <c r="BJ37" s="80"/>
      <c r="BK37" s="80"/>
      <c r="BL37" s="40"/>
      <c r="BM37" s="40"/>
      <c r="BN37" s="40"/>
      <c r="BO37" s="40"/>
      <c r="BP37" s="79"/>
      <c r="BQ37" s="79"/>
      <c r="BR37" s="79"/>
      <c r="BS37" s="79"/>
      <c r="BT37" s="40"/>
      <c r="BU37" s="40"/>
      <c r="BV37" s="40"/>
      <c r="BW37" s="40"/>
      <c r="BX37" s="40"/>
      <c r="BY37" s="40"/>
      <c r="BZ37" s="40"/>
      <c r="CA37" s="40"/>
      <c r="CD37" s="93"/>
      <c r="CM37" s="23"/>
      <c r="CN37" s="25"/>
      <c r="CO37" s="25"/>
      <c r="CP37" s="25"/>
      <c r="CQ37" s="23"/>
      <c r="CR37" s="23"/>
      <c r="CS37" s="23"/>
      <c r="CT37" s="23"/>
    </row>
    <row r="38" spans="2:98">
      <c r="B38" s="23"/>
      <c r="C38" s="112"/>
      <c r="D38" s="32" t="str">
        <f t="shared" si="2"/>
        <v/>
      </c>
      <c r="E38" s="32"/>
      <c r="F38" s="66"/>
      <c r="G38" s="32"/>
      <c r="H38" s="79"/>
      <c r="I38" s="40"/>
      <c r="J38" s="40"/>
      <c r="K38" s="40"/>
      <c r="L38" s="40"/>
      <c r="M38" s="40"/>
      <c r="N38" s="67"/>
      <c r="O38" s="40"/>
      <c r="P38" s="40"/>
      <c r="Q38" s="40" t="str">
        <f t="shared" si="0"/>
        <v/>
      </c>
      <c r="R38" s="67" t="str">
        <f>IF(D38="","",_xll.TR($D38,R$6,"Curn=#2 scale=6",,$F38,$H$5))</f>
        <v/>
      </c>
      <c r="S38" s="68"/>
      <c r="T38" s="68" t="str">
        <f>_xll.TR(D38,T$6,"Curn=#2 Scale=6 Transpose=Y Null=BLANK",,$Q38,$H$5)</f>
        <v>No universe defined.</v>
      </c>
      <c r="U38" s="68"/>
      <c r="V38" s="68"/>
      <c r="W38" s="68"/>
      <c r="X38" s="68" t="str">
        <f>_xll.TR($D38,X$6,"Curn=#2 Scale=6 Transpose=Y Null=BLANK",,$Q38,$H$5)</f>
        <v>No universe defined.</v>
      </c>
      <c r="Y38" s="68"/>
      <c r="Z38" s="68"/>
      <c r="AA38" s="68"/>
      <c r="AB38" s="68" t="str">
        <f>_xll.TR($D38,AB$6,"Curn=#2 Scale=6 Period=FY1:FY3 Transpose=Y Null=BLANK",,$Q38,$H$5)</f>
        <v>No universe defined.</v>
      </c>
      <c r="AC38" s="68"/>
      <c r="AD38" s="68"/>
      <c r="AE38" s="68"/>
      <c r="AF38" s="68" t="str">
        <f>_xll.TR($D38,AF$6,"Curn=#2 Scale=6 Transpose=Y Null=BLANK",,$Q38,$H$5)</f>
        <v>No universe defined.</v>
      </c>
      <c r="AG38" s="68"/>
      <c r="AH38" s="68"/>
      <c r="AI38" s="69"/>
      <c r="AJ38" s="69"/>
      <c r="AK38" s="69"/>
      <c r="AL38" s="69"/>
      <c r="AM38" s="69"/>
      <c r="AN38" s="70"/>
      <c r="AO38" s="70"/>
      <c r="AP38" s="70"/>
      <c r="AQ38" s="70"/>
      <c r="AR38" s="70"/>
      <c r="AS38" s="70"/>
      <c r="AT38" s="71" t="str">
        <f t="shared" si="1"/>
        <v/>
      </c>
      <c r="AU38" s="40"/>
      <c r="AV38" s="40"/>
      <c r="AW38" s="40"/>
      <c r="AX38" s="40"/>
      <c r="AY38" s="40"/>
      <c r="AZ38" s="40"/>
      <c r="BA38" s="40"/>
      <c r="BB38" s="40"/>
      <c r="BC38" s="80"/>
      <c r="BD38" s="80"/>
      <c r="BE38" s="80"/>
      <c r="BF38" s="40"/>
      <c r="BG38" s="40"/>
      <c r="BH38" s="40"/>
      <c r="BI38" s="80"/>
      <c r="BJ38" s="80"/>
      <c r="BK38" s="80"/>
      <c r="BL38" s="40"/>
      <c r="BM38" s="40"/>
      <c r="BN38" s="40"/>
      <c r="BO38" s="40"/>
      <c r="BP38" s="79"/>
      <c r="BQ38" s="79"/>
      <c r="BR38" s="79"/>
      <c r="BS38" s="79"/>
      <c r="BT38" s="40"/>
      <c r="BU38" s="40"/>
      <c r="BV38" s="40"/>
      <c r="BW38" s="40"/>
      <c r="BX38" s="40"/>
      <c r="BY38" s="40"/>
      <c r="BZ38" s="40"/>
      <c r="CA38" s="40"/>
      <c r="CD38" s="93"/>
      <c r="CM38" s="23"/>
      <c r="CN38" s="25"/>
      <c r="CO38" s="25"/>
      <c r="CP38" s="25"/>
      <c r="CQ38" s="23"/>
      <c r="CR38" s="23"/>
      <c r="CS38" s="23"/>
      <c r="CT38" s="23"/>
    </row>
    <row r="39" spans="2:98">
      <c r="B39" s="23"/>
      <c r="C39" s="112"/>
      <c r="D39" s="32" t="str">
        <f t="shared" si="2"/>
        <v/>
      </c>
      <c r="E39" s="32"/>
      <c r="F39" s="66"/>
      <c r="G39" s="32"/>
      <c r="H39" s="79"/>
      <c r="I39" s="40"/>
      <c r="J39" s="40"/>
      <c r="K39" s="40"/>
      <c r="L39" s="40"/>
      <c r="M39" s="40"/>
      <c r="N39" s="67"/>
      <c r="O39" s="40"/>
      <c r="P39" s="40"/>
      <c r="Q39" s="40" t="str">
        <f t="shared" si="0"/>
        <v/>
      </c>
      <c r="R39" s="67" t="str">
        <f>IF(D39="","",_xll.TR($D39,R$6,"Curn=#2 scale=6",,$F39,$H$5))</f>
        <v/>
      </c>
      <c r="S39" s="68"/>
      <c r="T39" s="68" t="str">
        <f>_xll.TR(D39,T$6,"Curn=#2 Scale=6 Transpose=Y Null=BLANK",,$Q39,$H$5)</f>
        <v>No universe defined.</v>
      </c>
      <c r="U39" s="68"/>
      <c r="V39" s="68"/>
      <c r="W39" s="68"/>
      <c r="X39" s="68" t="str">
        <f>_xll.TR($D39,X$6,"Curn=#2 Scale=6 Transpose=Y Null=BLANK",,$Q39,$H$5)</f>
        <v>No universe defined.</v>
      </c>
      <c r="Y39" s="68"/>
      <c r="Z39" s="68"/>
      <c r="AA39" s="68"/>
      <c r="AB39" s="68" t="str">
        <f>_xll.TR($D39,AB$6,"Curn=#2 Scale=6 Period=FY1:FY3 Transpose=Y Null=BLANK",,$Q39,$H$5)</f>
        <v>No universe defined.</v>
      </c>
      <c r="AC39" s="68"/>
      <c r="AD39" s="68"/>
      <c r="AE39" s="68"/>
      <c r="AF39" s="68" t="str">
        <f>_xll.TR($D39,AF$6,"Curn=#2 Scale=6 Transpose=Y Null=BLANK",,$Q39,$H$5)</f>
        <v>No universe defined.</v>
      </c>
      <c r="AG39" s="68"/>
      <c r="AH39" s="68"/>
      <c r="AI39" s="69"/>
      <c r="AJ39" s="69"/>
      <c r="AK39" s="69"/>
      <c r="AL39" s="69"/>
      <c r="AM39" s="69"/>
      <c r="AN39" s="70"/>
      <c r="AO39" s="70"/>
      <c r="AP39" s="70"/>
      <c r="AQ39" s="70"/>
      <c r="AR39" s="70"/>
      <c r="AS39" s="70"/>
      <c r="AT39" s="71" t="str">
        <f t="shared" si="1"/>
        <v/>
      </c>
      <c r="AU39" s="40"/>
      <c r="AV39" s="40"/>
      <c r="AW39" s="40"/>
      <c r="AX39" s="40"/>
      <c r="AY39" s="40"/>
      <c r="AZ39" s="40"/>
      <c r="BA39" s="40"/>
      <c r="BB39" s="40"/>
      <c r="BC39" s="80"/>
      <c r="BD39" s="80"/>
      <c r="BE39" s="80"/>
      <c r="BF39" s="40"/>
      <c r="BG39" s="40"/>
      <c r="BH39" s="40"/>
      <c r="BI39" s="80"/>
      <c r="BJ39" s="80"/>
      <c r="BK39" s="80"/>
      <c r="BL39" s="40"/>
      <c r="BM39" s="40"/>
      <c r="BN39" s="40"/>
      <c r="BO39" s="40"/>
      <c r="BP39" s="79"/>
      <c r="BQ39" s="79"/>
      <c r="BR39" s="79"/>
      <c r="BS39" s="79"/>
      <c r="BT39" s="40"/>
      <c r="BU39" s="40"/>
      <c r="BV39" s="40"/>
      <c r="BW39" s="40"/>
      <c r="BX39" s="40"/>
      <c r="BY39" s="40"/>
      <c r="BZ39" s="40"/>
      <c r="CA39" s="40"/>
      <c r="CD39" s="93"/>
      <c r="CM39" s="23"/>
      <c r="CN39" s="25"/>
      <c r="CO39" s="25"/>
      <c r="CP39" s="25"/>
      <c r="CQ39" s="23"/>
      <c r="CR39" s="23"/>
      <c r="CS39" s="23"/>
      <c r="CT39" s="23"/>
    </row>
    <row r="40" spans="2:98">
      <c r="B40" s="23"/>
      <c r="C40" s="112"/>
      <c r="D40" s="32" t="str">
        <f t="shared" si="2"/>
        <v/>
      </c>
      <c r="E40" s="32"/>
      <c r="F40" s="66"/>
      <c r="G40" s="32"/>
      <c r="H40" s="79"/>
      <c r="I40" s="40"/>
      <c r="J40" s="40"/>
      <c r="K40" s="40"/>
      <c r="L40" s="40"/>
      <c r="M40" s="40"/>
      <c r="N40" s="67"/>
      <c r="O40" s="40"/>
      <c r="P40" s="40"/>
      <c r="Q40" s="40" t="str">
        <f t="shared" si="0"/>
        <v/>
      </c>
      <c r="R40" s="67" t="str">
        <f>IF(D40="","",_xll.TR($D40,R$6,"Curn=#2 scale=6",,$F40,$H$5))</f>
        <v/>
      </c>
      <c r="S40" s="68"/>
      <c r="T40" s="68" t="str">
        <f>_xll.TR(D40,T$6,"Curn=#2 Scale=6 Transpose=Y Null=BLANK",,$Q40,$H$5)</f>
        <v>No universe defined.</v>
      </c>
      <c r="U40" s="68"/>
      <c r="V40" s="68"/>
      <c r="W40" s="68"/>
      <c r="X40" s="68" t="str">
        <f>_xll.TR($D40,X$6,"Curn=#2 Scale=6 Transpose=Y Null=BLANK",,$Q40,$H$5)</f>
        <v>No universe defined.</v>
      </c>
      <c r="Y40" s="68"/>
      <c r="Z40" s="68"/>
      <c r="AA40" s="68"/>
      <c r="AB40" s="68" t="str">
        <f>_xll.TR($D40,AB$6,"Curn=#2 Scale=6 Period=FY1:FY3 Transpose=Y Null=BLANK",,$Q40,$H$5)</f>
        <v>No universe defined.</v>
      </c>
      <c r="AC40" s="68"/>
      <c r="AD40" s="68"/>
      <c r="AE40" s="68"/>
      <c r="AF40" s="68" t="str">
        <f>_xll.TR($D40,AF$6,"Curn=#2 Scale=6 Transpose=Y Null=BLANK",,$Q40,$H$5)</f>
        <v>No universe defined.</v>
      </c>
      <c r="AG40" s="68"/>
      <c r="AH40" s="68"/>
      <c r="AI40" s="69"/>
      <c r="AJ40" s="69"/>
      <c r="AK40" s="69"/>
      <c r="AL40" s="69"/>
      <c r="AM40" s="69"/>
      <c r="AN40" s="70"/>
      <c r="AO40" s="70"/>
      <c r="AP40" s="70"/>
      <c r="AQ40" s="70"/>
      <c r="AR40" s="70"/>
      <c r="AS40" s="70"/>
      <c r="AT40" s="71" t="str">
        <f t="shared" si="1"/>
        <v/>
      </c>
      <c r="AU40" s="40"/>
      <c r="AV40" s="40"/>
      <c r="AW40" s="40"/>
      <c r="AX40" s="40"/>
      <c r="AY40" s="40"/>
      <c r="AZ40" s="40"/>
      <c r="BA40" s="40"/>
      <c r="BB40" s="40"/>
      <c r="BC40" s="80"/>
      <c r="BD40" s="80"/>
      <c r="BE40" s="80"/>
      <c r="BF40" s="40"/>
      <c r="BG40" s="40"/>
      <c r="BH40" s="40"/>
      <c r="BI40" s="80"/>
      <c r="BJ40" s="80"/>
      <c r="BK40" s="80"/>
      <c r="BL40" s="40"/>
      <c r="BM40" s="40"/>
      <c r="BN40" s="40"/>
      <c r="BO40" s="40"/>
      <c r="BP40" s="79"/>
      <c r="BQ40" s="79"/>
      <c r="BR40" s="79"/>
      <c r="BS40" s="79"/>
      <c r="BT40" s="40"/>
      <c r="BU40" s="40"/>
      <c r="BV40" s="40"/>
      <c r="BW40" s="40"/>
      <c r="BX40" s="40"/>
      <c r="BY40" s="40"/>
      <c r="BZ40" s="40"/>
      <c r="CA40" s="40"/>
      <c r="CD40" s="93"/>
      <c r="CM40" s="23"/>
      <c r="CN40" s="25"/>
      <c r="CO40" s="25"/>
      <c r="CP40" s="25"/>
      <c r="CQ40" s="23"/>
      <c r="CR40" s="23"/>
      <c r="CS40" s="23"/>
      <c r="CT40" s="23"/>
    </row>
    <row r="41" spans="2:98">
      <c r="B41" s="23"/>
      <c r="C41" s="112"/>
      <c r="D41" s="32" t="str">
        <f t="shared" si="2"/>
        <v/>
      </c>
      <c r="E41" s="32"/>
      <c r="F41" s="66"/>
      <c r="G41" s="32"/>
      <c r="H41" s="79"/>
      <c r="I41" s="40"/>
      <c r="J41" s="40"/>
      <c r="K41" s="40"/>
      <c r="L41" s="40"/>
      <c r="M41" s="40"/>
      <c r="N41" s="67"/>
      <c r="O41" s="40"/>
      <c r="P41" s="40"/>
      <c r="Q41" s="40" t="str">
        <f t="shared" si="0"/>
        <v/>
      </c>
      <c r="R41" s="67" t="str">
        <f>IF(D41="","",_xll.TR($D41,R$6,"Curn=#2 scale=6",,$F41,$H$5))</f>
        <v/>
      </c>
      <c r="S41" s="68"/>
      <c r="T41" s="68" t="str">
        <f>_xll.TR(D41,T$6,"Curn=#2 Scale=6 Transpose=Y Null=BLANK",,$Q41,$H$5)</f>
        <v>No universe defined.</v>
      </c>
      <c r="U41" s="68"/>
      <c r="V41" s="68"/>
      <c r="W41" s="68"/>
      <c r="X41" s="68" t="str">
        <f>_xll.TR($D41,X$6,"Curn=#2 Scale=6 Transpose=Y Null=BLANK",,$Q41,$H$5)</f>
        <v>No universe defined.</v>
      </c>
      <c r="Y41" s="68"/>
      <c r="Z41" s="68"/>
      <c r="AA41" s="68"/>
      <c r="AB41" s="68" t="str">
        <f>_xll.TR($D41,AB$6,"Curn=#2 Scale=6 Period=FY1:FY3 Transpose=Y Null=BLANK",,$Q41,$H$5)</f>
        <v>No universe defined.</v>
      </c>
      <c r="AC41" s="68"/>
      <c r="AD41" s="68"/>
      <c r="AE41" s="68"/>
      <c r="AF41" s="68" t="str">
        <f>_xll.TR($D41,AF$6,"Curn=#2 Scale=6 Transpose=Y Null=BLANK",,$Q41,$H$5)</f>
        <v>No universe defined.</v>
      </c>
      <c r="AG41" s="68"/>
      <c r="AH41" s="68"/>
      <c r="AI41" s="69"/>
      <c r="AJ41" s="69"/>
      <c r="AK41" s="69"/>
      <c r="AL41" s="69"/>
      <c r="AM41" s="69"/>
      <c r="AN41" s="70"/>
      <c r="AO41" s="70"/>
      <c r="AP41" s="70"/>
      <c r="AQ41" s="70"/>
      <c r="AR41" s="70"/>
      <c r="AS41" s="70"/>
      <c r="AT41" s="71" t="str">
        <f t="shared" si="1"/>
        <v/>
      </c>
      <c r="AU41" s="40"/>
      <c r="AV41" s="40"/>
      <c r="AW41" s="40"/>
      <c r="AX41" s="40"/>
      <c r="AY41" s="40"/>
      <c r="AZ41" s="40"/>
      <c r="BA41" s="40"/>
      <c r="BB41" s="40"/>
      <c r="BC41" s="80"/>
      <c r="BD41" s="80"/>
      <c r="BE41" s="80"/>
      <c r="BF41" s="40"/>
      <c r="BG41" s="40"/>
      <c r="BH41" s="40"/>
      <c r="BI41" s="80"/>
      <c r="BJ41" s="80"/>
      <c r="BK41" s="80"/>
      <c r="BL41" s="40"/>
      <c r="BM41" s="40"/>
      <c r="BN41" s="40"/>
      <c r="BO41" s="40"/>
      <c r="BP41" s="79"/>
      <c r="BQ41" s="79"/>
      <c r="BR41" s="79"/>
      <c r="BS41" s="79"/>
      <c r="BT41" s="40"/>
      <c r="BU41" s="40"/>
      <c r="BV41" s="40"/>
      <c r="BW41" s="40"/>
      <c r="BX41" s="40"/>
      <c r="BY41" s="40"/>
      <c r="BZ41" s="40"/>
      <c r="CA41" s="40"/>
      <c r="CD41" s="93"/>
      <c r="CM41" s="23"/>
      <c r="CN41" s="25"/>
      <c r="CO41" s="25"/>
      <c r="CP41" s="25"/>
      <c r="CQ41" s="23"/>
      <c r="CR41" s="23"/>
      <c r="CS41" s="23"/>
      <c r="CT41" s="23"/>
    </row>
    <row r="42" spans="2:98">
      <c r="B42" s="23"/>
      <c r="C42" s="112"/>
      <c r="D42" s="32" t="str">
        <f t="shared" si="2"/>
        <v/>
      </c>
      <c r="E42" s="32"/>
      <c r="F42" s="66"/>
      <c r="G42" s="32"/>
      <c r="H42" s="79"/>
      <c r="I42" s="40"/>
      <c r="J42" s="40"/>
      <c r="K42" s="40"/>
      <c r="L42" s="40"/>
      <c r="M42" s="40"/>
      <c r="N42" s="67"/>
      <c r="O42" s="40"/>
      <c r="P42" s="40"/>
      <c r="Q42" s="40" t="str">
        <f t="shared" si="0"/>
        <v/>
      </c>
      <c r="R42" s="67" t="str">
        <f>IF(D42="","",_xll.TR($D42,R$6,"Curn=#2 scale=6",,$F42,$H$5))</f>
        <v/>
      </c>
      <c r="S42" s="68"/>
      <c r="T42" s="68" t="str">
        <f>_xll.TR(D42,T$6,"Curn=#2 Scale=6 Transpose=Y Null=BLANK",,$Q42,$H$5)</f>
        <v>No universe defined.</v>
      </c>
      <c r="U42" s="68"/>
      <c r="V42" s="68"/>
      <c r="W42" s="68"/>
      <c r="X42" s="68" t="str">
        <f>_xll.TR($D42,X$6,"Curn=#2 Scale=6 Transpose=Y Null=BLANK",,$Q42,$H$5)</f>
        <v>No universe defined.</v>
      </c>
      <c r="Y42" s="68"/>
      <c r="Z42" s="68"/>
      <c r="AA42" s="68"/>
      <c r="AB42" s="68" t="str">
        <f>_xll.TR($D42,AB$6,"Curn=#2 Scale=6 Period=FY1:FY3 Transpose=Y Null=BLANK",,$Q42,$H$5)</f>
        <v>No universe defined.</v>
      </c>
      <c r="AC42" s="68"/>
      <c r="AD42" s="68"/>
      <c r="AE42" s="68"/>
      <c r="AF42" s="68" t="str">
        <f>_xll.TR($D42,AF$6,"Curn=#2 Scale=6 Transpose=Y Null=BLANK",,$Q42,$H$5)</f>
        <v>No universe defined.</v>
      </c>
      <c r="AG42" s="68"/>
      <c r="AH42" s="68"/>
      <c r="AI42" s="69"/>
      <c r="AJ42" s="69"/>
      <c r="AK42" s="69"/>
      <c r="AL42" s="69"/>
      <c r="AM42" s="69"/>
      <c r="AN42" s="70"/>
      <c r="AO42" s="70"/>
      <c r="AP42" s="70"/>
      <c r="AQ42" s="70"/>
      <c r="AR42" s="70"/>
      <c r="AS42" s="70"/>
      <c r="AT42" s="71" t="str">
        <f t="shared" si="1"/>
        <v/>
      </c>
      <c r="AU42" s="40"/>
      <c r="AV42" s="40"/>
      <c r="AW42" s="40"/>
      <c r="AX42" s="40"/>
      <c r="AY42" s="40"/>
      <c r="AZ42" s="40"/>
      <c r="BA42" s="40"/>
      <c r="BB42" s="40"/>
      <c r="BC42" s="80"/>
      <c r="BD42" s="80"/>
      <c r="BE42" s="80"/>
      <c r="BF42" s="40"/>
      <c r="BG42" s="40"/>
      <c r="BH42" s="40"/>
      <c r="BI42" s="80"/>
      <c r="BJ42" s="80"/>
      <c r="BK42" s="80"/>
      <c r="BL42" s="40"/>
      <c r="BM42" s="40"/>
      <c r="BN42" s="40"/>
      <c r="BO42" s="40"/>
      <c r="BP42" s="79"/>
      <c r="BQ42" s="79"/>
      <c r="BR42" s="79"/>
      <c r="BS42" s="79"/>
      <c r="BT42" s="40"/>
      <c r="BU42" s="40"/>
      <c r="BV42" s="40"/>
      <c r="BW42" s="40"/>
      <c r="BX42" s="40"/>
      <c r="BY42" s="40"/>
      <c r="BZ42" s="40"/>
      <c r="CA42" s="40"/>
      <c r="CD42" s="93"/>
      <c r="CM42" s="23"/>
      <c r="CN42" s="25"/>
      <c r="CO42" s="25"/>
      <c r="CP42" s="25"/>
      <c r="CQ42" s="23"/>
      <c r="CR42" s="23"/>
      <c r="CS42" s="23"/>
      <c r="CT42" s="23"/>
    </row>
    <row r="43" spans="2:98">
      <c r="B43" s="23"/>
      <c r="C43" s="112"/>
      <c r="D43" s="32" t="str">
        <f t="shared" si="2"/>
        <v/>
      </c>
      <c r="E43" s="32"/>
      <c r="F43" s="66"/>
      <c r="G43" s="32"/>
      <c r="H43" s="79"/>
      <c r="I43" s="40"/>
      <c r="J43" s="40"/>
      <c r="K43" s="40"/>
      <c r="L43" s="40"/>
      <c r="M43" s="40"/>
      <c r="N43" s="67"/>
      <c r="O43" s="40"/>
      <c r="P43" s="40"/>
      <c r="Q43" s="40" t="str">
        <f t="shared" si="0"/>
        <v/>
      </c>
      <c r="R43" s="67" t="str">
        <f>IF(D43="","",_xll.TR($D43,R$6,"Curn=#2 scale=6",,$F43,$H$5))</f>
        <v/>
      </c>
      <c r="S43" s="68"/>
      <c r="T43" s="68" t="str">
        <f>_xll.TR(D43,T$6,"Curn=#2 Scale=6 Transpose=Y Null=BLANK",,$Q43,$H$5)</f>
        <v>No universe defined.</v>
      </c>
      <c r="U43" s="68"/>
      <c r="V43" s="68"/>
      <c r="W43" s="68"/>
      <c r="X43" s="68" t="str">
        <f>_xll.TR($D43,X$6,"Curn=#2 Scale=6 Transpose=Y Null=BLANK",,$Q43,$H$5)</f>
        <v>No universe defined.</v>
      </c>
      <c r="Y43" s="68" t="str">
        <f>IF($D43="","",IFERROR($Q43/_xll.TR($D43,Y$6,"Curn=#1 Scale=6 Null=BLANK",,$H$5),"-"))</f>
        <v/>
      </c>
      <c r="Z43" s="68" t="str">
        <f>IF($D43="","",IFERROR($Q43/_xll.TR($D43,Z$6,"Curn=#1 Scale=6 Null=BLANK",,$H$5),"-"))</f>
        <v/>
      </c>
      <c r="AA43" s="68"/>
      <c r="AB43" s="68" t="str">
        <f>_xll.TR($D43,AB$6,"Curn=#2 Scale=6 Period=FY1:FY3 Transpose=Y Null=BLANK",,$Q43,$H$5)</f>
        <v>No universe defined.</v>
      </c>
      <c r="AC43" s="68"/>
      <c r="AD43" s="68"/>
      <c r="AE43" s="68"/>
      <c r="AF43" s="68" t="str">
        <f>_xll.TR($D43,AF$6,"Curn=#2 Scale=6 Transpose=Y Null=BLANK",,$Q43,$H$5)</f>
        <v>No universe defined.</v>
      </c>
      <c r="AG43" s="68"/>
      <c r="AH43" s="68"/>
      <c r="AI43" s="69"/>
      <c r="AJ43" s="69"/>
      <c r="AK43" s="69"/>
      <c r="AL43" s="69"/>
      <c r="AM43" s="69"/>
      <c r="AN43" s="70"/>
      <c r="AO43" s="70"/>
      <c r="AP43" s="70"/>
      <c r="AQ43" s="70"/>
      <c r="AR43" s="70"/>
      <c r="AS43" s="70"/>
      <c r="AT43" s="71" t="str">
        <f t="shared" si="1"/>
        <v/>
      </c>
      <c r="AU43" s="40"/>
      <c r="AV43" s="40"/>
      <c r="AW43" s="40"/>
      <c r="AX43" s="40"/>
      <c r="AY43" s="40"/>
      <c r="AZ43" s="40"/>
      <c r="BA43" s="40"/>
      <c r="BB43" s="40"/>
      <c r="BC43" s="80"/>
      <c r="BD43" s="80"/>
      <c r="BE43" s="80"/>
      <c r="BF43" s="40"/>
      <c r="BG43" s="40"/>
      <c r="BH43" s="40"/>
      <c r="BI43" s="80"/>
      <c r="BJ43" s="80"/>
      <c r="BK43" s="80"/>
      <c r="BL43" s="40"/>
      <c r="BM43" s="40"/>
      <c r="BN43" s="40"/>
      <c r="BO43" s="40"/>
      <c r="BP43" s="79"/>
      <c r="BQ43" s="79"/>
      <c r="BR43" s="79"/>
      <c r="BS43" s="79"/>
      <c r="BT43" s="40"/>
      <c r="BU43" s="40"/>
      <c r="BV43" s="40"/>
      <c r="BW43" s="40"/>
      <c r="BX43" s="40"/>
      <c r="BY43" s="40"/>
      <c r="BZ43" s="40"/>
      <c r="CA43" s="40"/>
      <c r="CD43" s="93"/>
      <c r="CM43" s="23"/>
      <c r="CN43" s="25"/>
      <c r="CO43" s="25"/>
      <c r="CP43" s="25"/>
      <c r="CQ43" s="23"/>
      <c r="CR43" s="23"/>
      <c r="CS43" s="23"/>
      <c r="CT43" s="23"/>
    </row>
    <row r="44" spans="2:98">
      <c r="B44" s="23"/>
      <c r="C44" s="112"/>
      <c r="D44" s="32" t="str">
        <f t="shared" si="2"/>
        <v/>
      </c>
      <c r="E44" s="32"/>
      <c r="F44" s="66"/>
      <c r="G44" s="32"/>
      <c r="H44" s="79"/>
      <c r="I44" s="40"/>
      <c r="J44" s="40"/>
      <c r="K44" s="40"/>
      <c r="L44" s="40"/>
      <c r="M44" s="40"/>
      <c r="N44" s="67"/>
      <c r="O44" s="40"/>
      <c r="P44" s="40"/>
      <c r="Q44" s="40" t="str">
        <f t="shared" si="0"/>
        <v/>
      </c>
      <c r="R44" s="67" t="str">
        <f>IF(D44="","",_xll.TR($D44,R$6,"Curn=#2 scale=6",,$F44,$H$5))</f>
        <v/>
      </c>
      <c r="S44" s="68"/>
      <c r="T44" s="68" t="str">
        <f>_xll.TR(D44,T$6,"Curn=#2 Scale=6 Transpose=Y Null=BLANK",,$Q44,$H$5)</f>
        <v>No universe defined.</v>
      </c>
      <c r="U44" s="68"/>
      <c r="V44" s="68"/>
      <c r="W44" s="68"/>
      <c r="X44" s="68" t="str">
        <f>_xll.TR($D44,X$6,"Curn=#2 Scale=6 Transpose=Y Null=BLANK",,$Q44,$H$5)</f>
        <v>No universe defined.</v>
      </c>
      <c r="Y44" s="68"/>
      <c r="Z44" s="68"/>
      <c r="AA44" s="68"/>
      <c r="AB44" s="68" t="str">
        <f>_xll.TR($D44,AB$6,"Curn=#2 Scale=6 Period=FY1:FY3 Transpose=Y Null=BLANK",,$Q44,$H$5)</f>
        <v>No universe defined.</v>
      </c>
      <c r="AC44" s="68"/>
      <c r="AD44" s="68"/>
      <c r="AE44" s="68"/>
      <c r="AF44" s="68" t="str">
        <f>_xll.TR($D44,AF$6,"Curn=#2 Scale=6 Transpose=Y Null=BLANK",,$Q44,$H$5)</f>
        <v>No universe defined.</v>
      </c>
      <c r="AG44" s="68"/>
      <c r="AH44" s="68"/>
      <c r="AI44" s="69"/>
      <c r="AJ44" s="69"/>
      <c r="AK44" s="69"/>
      <c r="AL44" s="69"/>
      <c r="AM44" s="69"/>
      <c r="AN44" s="70"/>
      <c r="AO44" s="70"/>
      <c r="AP44" s="70"/>
      <c r="AQ44" s="70"/>
      <c r="AR44" s="70"/>
      <c r="AS44" s="70"/>
      <c r="AT44" s="71" t="str">
        <f t="shared" si="1"/>
        <v/>
      </c>
      <c r="AU44" s="40"/>
      <c r="AV44" s="40"/>
      <c r="AW44" s="40"/>
      <c r="AX44" s="40"/>
      <c r="AY44" s="40"/>
      <c r="AZ44" s="40"/>
      <c r="BA44" s="40"/>
      <c r="BB44" s="40"/>
      <c r="BC44" s="80"/>
      <c r="BD44" s="80"/>
      <c r="BE44" s="80"/>
      <c r="BF44" s="40"/>
      <c r="BG44" s="40"/>
      <c r="BH44" s="40"/>
      <c r="BI44" s="80"/>
      <c r="BJ44" s="80"/>
      <c r="BK44" s="80"/>
      <c r="BL44" s="40"/>
      <c r="BM44" s="40"/>
      <c r="BN44" s="40"/>
      <c r="BO44" s="40"/>
      <c r="BP44" s="79"/>
      <c r="BQ44" s="79"/>
      <c r="BR44" s="79"/>
      <c r="BS44" s="79"/>
      <c r="BT44" s="40"/>
      <c r="BU44" s="40"/>
      <c r="BV44" s="40"/>
      <c r="BW44" s="40"/>
      <c r="BX44" s="40"/>
      <c r="BY44" s="40"/>
      <c r="BZ44" s="40"/>
      <c r="CA44" s="40"/>
      <c r="CD44" s="93"/>
      <c r="CM44" s="23"/>
      <c r="CN44" s="25"/>
      <c r="CO44" s="25"/>
      <c r="CP44" s="25"/>
      <c r="CQ44" s="23"/>
      <c r="CR44" s="23"/>
      <c r="CS44" s="23"/>
      <c r="CT44" s="23"/>
    </row>
    <row r="45" spans="2:98">
      <c r="B45" s="23"/>
      <c r="C45" s="112"/>
      <c r="D45" s="32" t="str">
        <f t="shared" si="2"/>
        <v/>
      </c>
      <c r="E45" s="32"/>
      <c r="F45" s="66"/>
      <c r="G45" s="32"/>
      <c r="H45" s="79"/>
      <c r="I45" s="40"/>
      <c r="J45" s="40"/>
      <c r="K45" s="40"/>
      <c r="L45" s="40"/>
      <c r="M45" s="40"/>
      <c r="N45" s="67"/>
      <c r="O45" s="40"/>
      <c r="P45" s="40"/>
      <c r="Q45" s="40" t="str">
        <f t="shared" si="0"/>
        <v/>
      </c>
      <c r="R45" s="67" t="str">
        <f>IF(D45="","",_xll.TR($D45,R$6,"Curn=#2 scale=6",,$F45,$H$5))</f>
        <v/>
      </c>
      <c r="S45" s="68"/>
      <c r="T45" s="68" t="str">
        <f>_xll.TR(D45,T$6,"Curn=#2 Scale=6 Transpose=Y Null=BLANK",,$Q45,$H$5)</f>
        <v>No universe defined.</v>
      </c>
      <c r="U45" s="68"/>
      <c r="V45" s="68"/>
      <c r="W45" s="68"/>
      <c r="X45" s="68" t="str">
        <f>_xll.TR($D45,X$6,"Curn=#2 Scale=6 Transpose=Y Null=BLANK",,$Q45,$H$5)</f>
        <v>No universe defined.</v>
      </c>
      <c r="Y45" s="68"/>
      <c r="Z45" s="68"/>
      <c r="AA45" s="68"/>
      <c r="AB45" s="68" t="str">
        <f>_xll.TR($D45,AB$6,"Curn=#2 Scale=6 Period=FY1:FY3 Transpose=Y Null=BLANK",,$Q45,$H$5)</f>
        <v>No universe defined.</v>
      </c>
      <c r="AC45" s="68"/>
      <c r="AD45" s="68"/>
      <c r="AE45" s="68"/>
      <c r="AF45" s="68" t="str">
        <f>_xll.TR($D45,AF$6,"Curn=#2 Scale=6 Transpose=Y Null=BLANK",,$Q45,$H$5)</f>
        <v>No universe defined.</v>
      </c>
      <c r="AG45" s="68"/>
      <c r="AH45" s="68"/>
      <c r="AI45" s="69"/>
      <c r="AJ45" s="69"/>
      <c r="AK45" s="69"/>
      <c r="AL45" s="69"/>
      <c r="AM45" s="69"/>
      <c r="AN45" s="70"/>
      <c r="AO45" s="70"/>
      <c r="AP45" s="70"/>
      <c r="AQ45" s="70"/>
      <c r="AR45" s="70"/>
      <c r="AS45" s="70"/>
      <c r="AT45" s="71" t="str">
        <f t="shared" si="1"/>
        <v/>
      </c>
      <c r="AU45" s="40"/>
      <c r="AV45" s="40"/>
      <c r="AW45" s="40"/>
      <c r="AX45" s="40"/>
      <c r="AY45" s="40"/>
      <c r="AZ45" s="40"/>
      <c r="BA45" s="40"/>
      <c r="BB45" s="40"/>
      <c r="BC45" s="80"/>
      <c r="BD45" s="80"/>
      <c r="BE45" s="80"/>
      <c r="BF45" s="40"/>
      <c r="BG45" s="40"/>
      <c r="BH45" s="40"/>
      <c r="BI45" s="80"/>
      <c r="BJ45" s="80"/>
      <c r="BK45" s="80"/>
      <c r="BL45" s="40"/>
      <c r="BM45" s="40"/>
      <c r="BN45" s="40"/>
      <c r="BO45" s="40"/>
      <c r="BP45" s="79"/>
      <c r="BQ45" s="79"/>
      <c r="BR45" s="79"/>
      <c r="BS45" s="79"/>
      <c r="BT45" s="40"/>
      <c r="BU45" s="40"/>
      <c r="BV45" s="40"/>
      <c r="BW45" s="40"/>
      <c r="BX45" s="40"/>
      <c r="BY45" s="40"/>
      <c r="BZ45" s="40"/>
      <c r="CA45" s="40"/>
      <c r="CD45" s="93"/>
      <c r="CM45" s="23"/>
      <c r="CN45" s="25"/>
      <c r="CO45" s="25"/>
      <c r="CP45" s="25"/>
      <c r="CQ45" s="23"/>
      <c r="CR45" s="23"/>
      <c r="CS45" s="23"/>
      <c r="CT45" s="23"/>
    </row>
    <row r="46" spans="2:98">
      <c r="B46" s="23"/>
      <c r="C46" s="112"/>
      <c r="D46" s="32" t="str">
        <f t="shared" si="2"/>
        <v/>
      </c>
      <c r="E46" s="32"/>
      <c r="F46" s="66"/>
      <c r="G46" s="32"/>
      <c r="H46" s="79"/>
      <c r="I46" s="40"/>
      <c r="J46" s="40"/>
      <c r="K46" s="40"/>
      <c r="L46" s="40"/>
      <c r="M46" s="40"/>
      <c r="N46" s="67"/>
      <c r="O46" s="40"/>
      <c r="P46" s="40"/>
      <c r="Q46" s="40" t="str">
        <f t="shared" si="0"/>
        <v/>
      </c>
      <c r="R46" s="67" t="str">
        <f>IF(D46="","",_xll.TR($D46,R$6,"Curn=#2 scale=6",,$F46,$H$5))</f>
        <v/>
      </c>
      <c r="S46" s="68"/>
      <c r="T46" s="68" t="str">
        <f>_xll.TR(D46,T$6,"Curn=#2 Scale=6 Transpose=Y Null=BLANK",,$Q46,$H$5)</f>
        <v>No universe defined.</v>
      </c>
      <c r="U46" s="68"/>
      <c r="V46" s="68"/>
      <c r="W46" s="68"/>
      <c r="X46" s="68" t="str">
        <f>_xll.TR($D46,X$6,"Curn=#2 Scale=6 Transpose=Y Null=BLANK",,$Q46,$H$5)</f>
        <v>No universe defined.</v>
      </c>
      <c r="Y46" s="68"/>
      <c r="Z46" s="68"/>
      <c r="AA46" s="68"/>
      <c r="AB46" s="68" t="str">
        <f>_xll.TR($D46,AB$6,"Curn=#2 Scale=6 Period=FY1:FY3 Transpose=Y Null=BLANK",,$Q46,$H$5)</f>
        <v>No universe defined.</v>
      </c>
      <c r="AC46" s="68"/>
      <c r="AD46" s="68"/>
      <c r="AE46" s="68"/>
      <c r="AF46" s="68" t="str">
        <f>_xll.TR($D46,AF$6,"Curn=#2 Scale=6 Transpose=Y Null=BLANK",,$Q46,$H$5)</f>
        <v>No universe defined.</v>
      </c>
      <c r="AG46" s="68"/>
      <c r="AH46" s="68"/>
      <c r="AI46" s="69"/>
      <c r="AJ46" s="69"/>
      <c r="AK46" s="69"/>
      <c r="AL46" s="69"/>
      <c r="AM46" s="69"/>
      <c r="AN46" s="70"/>
      <c r="AO46" s="70"/>
      <c r="AP46" s="70"/>
      <c r="AQ46" s="70"/>
      <c r="AR46" s="70"/>
      <c r="AS46" s="70"/>
      <c r="AT46" s="71" t="str">
        <f t="shared" si="1"/>
        <v/>
      </c>
      <c r="AU46" s="40"/>
      <c r="AV46" s="40"/>
      <c r="AW46" s="40"/>
      <c r="AX46" s="40"/>
      <c r="AY46" s="40"/>
      <c r="AZ46" s="40"/>
      <c r="BA46" s="40"/>
      <c r="BB46" s="40"/>
      <c r="BC46" s="80"/>
      <c r="BD46" s="80"/>
      <c r="BE46" s="80"/>
      <c r="BF46" s="40"/>
      <c r="BG46" s="40"/>
      <c r="BH46" s="40"/>
      <c r="BI46" s="80"/>
      <c r="BJ46" s="80"/>
      <c r="BK46" s="80"/>
      <c r="BL46" s="40"/>
      <c r="BM46" s="40"/>
      <c r="BN46" s="40"/>
      <c r="BO46" s="40"/>
      <c r="BP46" s="79"/>
      <c r="BQ46" s="79"/>
      <c r="BR46" s="79"/>
      <c r="BS46" s="79"/>
      <c r="BT46" s="40"/>
      <c r="BU46" s="40"/>
      <c r="BV46" s="40"/>
      <c r="BW46" s="40"/>
      <c r="BX46" s="40"/>
      <c r="BY46" s="40"/>
      <c r="BZ46" s="40"/>
      <c r="CA46" s="40"/>
      <c r="CD46" s="93"/>
      <c r="CM46" s="23"/>
      <c r="CN46" s="25"/>
      <c r="CO46" s="25"/>
      <c r="CP46" s="25"/>
      <c r="CQ46" s="23"/>
      <c r="CR46" s="23"/>
      <c r="CS46" s="23"/>
      <c r="CT46" s="23"/>
    </row>
    <row r="47" spans="2:98">
      <c r="B47" s="23"/>
      <c r="C47" s="112"/>
      <c r="D47" s="32" t="str">
        <f t="shared" si="2"/>
        <v/>
      </c>
      <c r="E47" s="32"/>
      <c r="F47" s="66"/>
      <c r="G47" s="32"/>
      <c r="H47" s="79"/>
      <c r="I47" s="40"/>
      <c r="J47" s="40"/>
      <c r="K47" s="40"/>
      <c r="L47" s="40"/>
      <c r="M47" s="40"/>
      <c r="N47" s="67"/>
      <c r="O47" s="40"/>
      <c r="P47" s="40"/>
      <c r="Q47" s="40" t="str">
        <f t="shared" si="0"/>
        <v/>
      </c>
      <c r="R47" s="67" t="str">
        <f>IF(D47="","",_xll.TR($D47,R$6,"Curn=#2 scale=6",,$F47,$H$5))</f>
        <v/>
      </c>
      <c r="S47" s="68"/>
      <c r="T47" s="68" t="str">
        <f>_xll.TR(D47,T$6,"Curn=#2 Scale=6 Transpose=Y Null=BLANK",,$Q47,$H$5)</f>
        <v>No universe defined.</v>
      </c>
      <c r="U47" s="68"/>
      <c r="V47" s="68"/>
      <c r="W47" s="68"/>
      <c r="X47" s="68" t="str">
        <f>_xll.TR($D47,X$6,"Curn=#2 Scale=6 Transpose=Y Null=BLANK",,$Q47,$H$5)</f>
        <v>No universe defined.</v>
      </c>
      <c r="Y47" s="68"/>
      <c r="Z47" s="68"/>
      <c r="AA47" s="68"/>
      <c r="AB47" s="68" t="str">
        <f>_xll.TR($D47,AB$6,"Curn=#2 Scale=6 Period=FY1:FY3 Transpose=Y Null=BLANK",,$Q47,$H$5)</f>
        <v>No universe defined.</v>
      </c>
      <c r="AC47" s="68"/>
      <c r="AD47" s="68"/>
      <c r="AE47" s="68"/>
      <c r="AF47" s="68" t="str">
        <f>_xll.TR($D47,AF$6,"Curn=#2 Scale=6 Transpose=Y Null=BLANK",,$Q47,$H$5)</f>
        <v>No universe defined.</v>
      </c>
      <c r="AG47" s="68"/>
      <c r="AH47" s="68"/>
      <c r="AI47" s="69"/>
      <c r="AJ47" s="69"/>
      <c r="AK47" s="69"/>
      <c r="AL47" s="69"/>
      <c r="AM47" s="69"/>
      <c r="AN47" s="70"/>
      <c r="AO47" s="70"/>
      <c r="AP47" s="70"/>
      <c r="AQ47" s="70"/>
      <c r="AR47" s="70"/>
      <c r="AS47" s="70"/>
      <c r="AT47" s="71" t="str">
        <f t="shared" si="1"/>
        <v/>
      </c>
      <c r="AU47" s="40"/>
      <c r="AV47" s="40"/>
      <c r="AW47" s="40"/>
      <c r="AX47" s="40"/>
      <c r="AY47" s="40"/>
      <c r="AZ47" s="40"/>
      <c r="BA47" s="40"/>
      <c r="BB47" s="40"/>
      <c r="BC47" s="80"/>
      <c r="BD47" s="80"/>
      <c r="BE47" s="80"/>
      <c r="BF47" s="40"/>
      <c r="BG47" s="40"/>
      <c r="BH47" s="40"/>
      <c r="BI47" s="80"/>
      <c r="BJ47" s="80"/>
      <c r="BK47" s="80"/>
      <c r="BL47" s="40"/>
      <c r="BM47" s="40"/>
      <c r="BN47" s="40"/>
      <c r="BO47" s="40"/>
      <c r="BP47" s="79"/>
      <c r="BQ47" s="79"/>
      <c r="BR47" s="79"/>
      <c r="BS47" s="79"/>
      <c r="BT47" s="40"/>
      <c r="BU47" s="40"/>
      <c r="BV47" s="40"/>
      <c r="BW47" s="40"/>
      <c r="BX47" s="40"/>
      <c r="BY47" s="40"/>
      <c r="BZ47" s="40"/>
      <c r="CA47" s="40"/>
      <c r="CD47" s="93"/>
      <c r="CM47" s="23"/>
      <c r="CN47" s="25"/>
      <c r="CO47" s="25"/>
      <c r="CP47" s="25"/>
      <c r="CQ47" s="23"/>
      <c r="CR47" s="23"/>
      <c r="CS47" s="23"/>
      <c r="CT47" s="23"/>
    </row>
    <row r="48" spans="2:98">
      <c r="B48" s="23"/>
      <c r="C48" s="112"/>
      <c r="D48" s="32" t="str">
        <f t="shared" si="2"/>
        <v/>
      </c>
      <c r="E48" s="32"/>
      <c r="F48" s="66"/>
      <c r="G48" s="32"/>
      <c r="H48" s="79"/>
      <c r="I48" s="40"/>
      <c r="J48" s="40"/>
      <c r="K48" s="40"/>
      <c r="L48" s="40"/>
      <c r="M48" s="40"/>
      <c r="N48" s="67"/>
      <c r="O48" s="40"/>
      <c r="P48" s="40"/>
      <c r="Q48" s="40" t="str">
        <f t="shared" si="0"/>
        <v/>
      </c>
      <c r="R48" s="67" t="str">
        <f>IF(D48="","",_xll.TR($D48,R$6,"Curn=#2 scale=6",,$F48,$H$5))</f>
        <v/>
      </c>
      <c r="S48" s="68"/>
      <c r="T48" s="68" t="str">
        <f>_xll.TR(D48,T$6,"Curn=#2 Scale=6 Transpose=Y Null=BLANK",,$Q48,$H$5)</f>
        <v>No universe defined.</v>
      </c>
      <c r="U48" s="68"/>
      <c r="V48" s="68"/>
      <c r="W48" s="68"/>
      <c r="X48" s="68" t="str">
        <f>_xll.TR($D48,X$6,"Curn=#2 Scale=6 Transpose=Y Null=BLANK",,$Q48,$H$5)</f>
        <v>No universe defined.</v>
      </c>
      <c r="Y48" s="68"/>
      <c r="Z48" s="68"/>
      <c r="AA48" s="68"/>
      <c r="AB48" s="68" t="str">
        <f>_xll.TR($D48,AB$6,"Curn=#2 Scale=6 Period=FY1:FY3 Transpose=Y Null=BLANK",,$Q48,$H$5)</f>
        <v>No universe defined.</v>
      </c>
      <c r="AC48" s="68"/>
      <c r="AD48" s="68"/>
      <c r="AE48" s="68"/>
      <c r="AF48" s="68" t="str">
        <f>_xll.TR($D48,AF$6,"Curn=#2 Scale=6 Transpose=Y Null=BLANK",,$Q48,$H$5)</f>
        <v>No universe defined.</v>
      </c>
      <c r="AG48" s="68"/>
      <c r="AH48" s="68"/>
      <c r="AI48" s="69"/>
      <c r="AJ48" s="69"/>
      <c r="AK48" s="69"/>
      <c r="AL48" s="69"/>
      <c r="AM48" s="69"/>
      <c r="AN48" s="70"/>
      <c r="AO48" s="70"/>
      <c r="AP48" s="70"/>
      <c r="AQ48" s="70"/>
      <c r="AR48" s="70"/>
      <c r="AS48" s="70"/>
      <c r="AT48" s="71" t="str">
        <f t="shared" si="1"/>
        <v/>
      </c>
      <c r="AU48" s="40"/>
      <c r="AV48" s="40"/>
      <c r="AW48" s="40"/>
      <c r="AX48" s="40"/>
      <c r="AY48" s="40"/>
      <c r="AZ48" s="40"/>
      <c r="BA48" s="40"/>
      <c r="BB48" s="40"/>
      <c r="BC48" s="80"/>
      <c r="BD48" s="80"/>
      <c r="BE48" s="80"/>
      <c r="BF48" s="40"/>
      <c r="BG48" s="40"/>
      <c r="BH48" s="40"/>
      <c r="BI48" s="80"/>
      <c r="BJ48" s="80"/>
      <c r="BK48" s="80"/>
      <c r="BL48" s="40"/>
      <c r="BM48" s="40"/>
      <c r="BN48" s="40"/>
      <c r="BO48" s="40"/>
      <c r="BP48" s="79"/>
      <c r="BQ48" s="79"/>
      <c r="BR48" s="79"/>
      <c r="BS48" s="79"/>
      <c r="BT48" s="40"/>
      <c r="BU48" s="40"/>
      <c r="BV48" s="40"/>
      <c r="BW48" s="40"/>
      <c r="BX48" s="40"/>
      <c r="BY48" s="40"/>
      <c r="BZ48" s="40"/>
      <c r="CA48" s="40"/>
      <c r="CD48" s="93"/>
      <c r="CM48" s="23"/>
      <c r="CN48" s="25"/>
      <c r="CO48" s="25"/>
      <c r="CP48" s="25"/>
      <c r="CQ48" s="23"/>
      <c r="CR48" s="23"/>
      <c r="CS48" s="23"/>
      <c r="CT48" s="23"/>
    </row>
    <row r="49" spans="2:98">
      <c r="B49" s="23"/>
      <c r="C49" s="112"/>
      <c r="D49" s="32" t="str">
        <f t="shared" si="2"/>
        <v/>
      </c>
      <c r="E49" s="32"/>
      <c r="F49" s="66"/>
      <c r="G49" s="32"/>
      <c r="H49" s="79"/>
      <c r="I49" s="40"/>
      <c r="J49" s="40"/>
      <c r="K49" s="40"/>
      <c r="L49" s="40"/>
      <c r="M49" s="40"/>
      <c r="N49" s="67"/>
      <c r="O49" s="40"/>
      <c r="P49" s="40"/>
      <c r="Q49" s="40" t="str">
        <f t="shared" si="0"/>
        <v/>
      </c>
      <c r="R49" s="67" t="str">
        <f>IF(D49="","",_xll.TR($D49,R$6,"Curn=#2 scale=6",,$F49,$H$5))</f>
        <v/>
      </c>
      <c r="S49" s="68"/>
      <c r="T49" s="68" t="str">
        <f>_xll.TR(D49,T$6,"Curn=#2 Scale=6 Transpose=Y Null=BLANK",,$Q49,$H$5)</f>
        <v>No universe defined.</v>
      </c>
      <c r="U49" s="68"/>
      <c r="V49" s="68"/>
      <c r="W49" s="68"/>
      <c r="X49" s="68" t="str">
        <f>_xll.TR($D49,X$6,"Curn=#2 Scale=6 Transpose=Y Null=BLANK",,$Q49,$H$5)</f>
        <v>No universe defined.</v>
      </c>
      <c r="Y49" s="68"/>
      <c r="Z49" s="68"/>
      <c r="AA49" s="68"/>
      <c r="AB49" s="68" t="str">
        <f>_xll.TR($D49,AB$6,"Curn=#2 Scale=6 Period=FY1:FY3 Transpose=Y Null=BLANK",,$Q49,$H$5)</f>
        <v>No universe defined.</v>
      </c>
      <c r="AC49" s="68"/>
      <c r="AD49" s="68"/>
      <c r="AE49" s="68"/>
      <c r="AF49" s="68" t="str">
        <f>_xll.TR($D49,AF$6,"Curn=#2 Scale=6 Transpose=Y Null=BLANK",,$Q49,$H$5)</f>
        <v>No universe defined.</v>
      </c>
      <c r="AG49" s="68"/>
      <c r="AH49" s="68"/>
      <c r="AI49" s="69"/>
      <c r="AJ49" s="69"/>
      <c r="AK49" s="69"/>
      <c r="AL49" s="69"/>
      <c r="AM49" s="69"/>
      <c r="AN49" s="70"/>
      <c r="AO49" s="70"/>
      <c r="AP49" s="70"/>
      <c r="AQ49" s="70"/>
      <c r="AR49" s="70"/>
      <c r="AS49" s="70"/>
      <c r="AT49" s="71" t="str">
        <f t="shared" si="1"/>
        <v/>
      </c>
      <c r="AU49" s="40"/>
      <c r="AV49" s="40"/>
      <c r="AW49" s="40"/>
      <c r="AX49" s="40"/>
      <c r="AY49" s="40"/>
      <c r="AZ49" s="40"/>
      <c r="BA49" s="40"/>
      <c r="BB49" s="40"/>
      <c r="BC49" s="80"/>
      <c r="BD49" s="80"/>
      <c r="BE49" s="80"/>
      <c r="BF49" s="40"/>
      <c r="BG49" s="40"/>
      <c r="BH49" s="40"/>
      <c r="BI49" s="80"/>
      <c r="BJ49" s="80"/>
      <c r="BK49" s="80"/>
      <c r="BL49" s="40"/>
      <c r="BM49" s="40"/>
      <c r="BN49" s="40"/>
      <c r="BO49" s="40"/>
      <c r="BP49" s="79"/>
      <c r="BQ49" s="79"/>
      <c r="BR49" s="79"/>
      <c r="BS49" s="79"/>
      <c r="BT49" s="40"/>
      <c r="BU49" s="40"/>
      <c r="BV49" s="40"/>
      <c r="BW49" s="40"/>
      <c r="BX49" s="40"/>
      <c r="BY49" s="40"/>
      <c r="BZ49" s="40"/>
      <c r="CA49" s="40"/>
      <c r="CD49" s="93"/>
      <c r="CM49" s="23"/>
      <c r="CN49" s="25"/>
      <c r="CO49" s="25"/>
      <c r="CP49" s="25"/>
      <c r="CQ49" s="23"/>
      <c r="CR49" s="23"/>
      <c r="CS49" s="23"/>
      <c r="CT49" s="23"/>
    </row>
    <row r="50" spans="2:98">
      <c r="B50" s="23"/>
      <c r="C50" s="112"/>
      <c r="D50" s="32" t="str">
        <f t="shared" si="2"/>
        <v/>
      </c>
      <c r="E50" s="32"/>
      <c r="F50" s="66"/>
      <c r="G50" s="32"/>
      <c r="H50" s="79"/>
      <c r="I50" s="40"/>
      <c r="J50" s="40"/>
      <c r="K50" s="40"/>
      <c r="L50" s="40"/>
      <c r="M50" s="40"/>
      <c r="N50" s="67"/>
      <c r="O50" s="40"/>
      <c r="P50" s="40"/>
      <c r="Q50" s="40" t="str">
        <f t="shared" si="0"/>
        <v/>
      </c>
      <c r="R50" s="67" t="str">
        <f>IF(D50="","",_xll.TR($D50,R$6,"Curn=#2 scale=6",,$F50,$H$5))</f>
        <v/>
      </c>
      <c r="S50" s="68"/>
      <c r="T50" s="68" t="str">
        <f>_xll.TR(D50,T$6,"Curn=#2 Scale=6 Transpose=Y Null=BLANK",,$Q50,$H$5)</f>
        <v>No universe defined.</v>
      </c>
      <c r="U50" s="68"/>
      <c r="V50" s="68"/>
      <c r="W50" s="68"/>
      <c r="X50" s="68" t="str">
        <f>_xll.TR($D50,X$6,"Curn=#2 Scale=6 Transpose=Y Null=BLANK",,$Q50,$H$5)</f>
        <v>No universe defined.</v>
      </c>
      <c r="Y50" s="68"/>
      <c r="Z50" s="68"/>
      <c r="AA50" s="68"/>
      <c r="AB50" s="68" t="str">
        <f>_xll.TR($D50,AB$6,"Curn=#2 Scale=6 Period=FY1:FY3 Transpose=Y Null=BLANK",,$Q50,$H$5)</f>
        <v>No universe defined.</v>
      </c>
      <c r="AC50" s="68"/>
      <c r="AD50" s="68"/>
      <c r="AE50" s="68"/>
      <c r="AF50" s="68" t="str">
        <f>_xll.TR($D50,AF$6,"Curn=#2 Scale=6 Transpose=Y Null=BLANK",,$Q50,$H$5)</f>
        <v>No universe defined.</v>
      </c>
      <c r="AG50" s="68"/>
      <c r="AH50" s="68"/>
      <c r="AI50" s="69"/>
      <c r="AJ50" s="69"/>
      <c r="AK50" s="69"/>
      <c r="AL50" s="69"/>
      <c r="AM50" s="69"/>
      <c r="AN50" s="70"/>
      <c r="AO50" s="70"/>
      <c r="AP50" s="70"/>
      <c r="AQ50" s="70"/>
      <c r="AR50" s="70"/>
      <c r="AS50" s="70"/>
      <c r="AT50" s="71" t="str">
        <f t="shared" si="1"/>
        <v/>
      </c>
      <c r="AU50" s="40"/>
      <c r="AV50" s="40"/>
      <c r="AW50" s="40"/>
      <c r="AX50" s="40"/>
      <c r="AY50" s="40"/>
      <c r="AZ50" s="40"/>
      <c r="BA50" s="40"/>
      <c r="BB50" s="40"/>
      <c r="BC50" s="80"/>
      <c r="BD50" s="80"/>
      <c r="BE50" s="80"/>
      <c r="BF50" s="40"/>
      <c r="BG50" s="40"/>
      <c r="BH50" s="40"/>
      <c r="BI50" s="80"/>
      <c r="BJ50" s="80"/>
      <c r="BK50" s="80"/>
      <c r="BL50" s="40"/>
      <c r="BM50" s="40"/>
      <c r="BN50" s="40"/>
      <c r="BO50" s="40"/>
      <c r="BP50" s="79"/>
      <c r="BQ50" s="79"/>
      <c r="BR50" s="79"/>
      <c r="BS50" s="79"/>
      <c r="BT50" s="40"/>
      <c r="BU50" s="40"/>
      <c r="BV50" s="40"/>
      <c r="BW50" s="40"/>
      <c r="BX50" s="40"/>
      <c r="BY50" s="40"/>
      <c r="BZ50" s="40"/>
      <c r="CA50" s="40"/>
      <c r="CD50" s="93"/>
      <c r="CM50" s="23"/>
      <c r="CN50" s="25"/>
      <c r="CO50" s="25"/>
      <c r="CP50" s="25"/>
      <c r="CQ50" s="23"/>
      <c r="CR50" s="23"/>
      <c r="CS50" s="23"/>
      <c r="CT50" s="23"/>
    </row>
    <row r="51" spans="2:98">
      <c r="B51" s="23"/>
      <c r="C51" s="112"/>
      <c r="D51" s="32" t="str">
        <f t="shared" si="2"/>
        <v/>
      </c>
      <c r="E51" s="32"/>
      <c r="F51" s="66"/>
      <c r="G51" s="32"/>
      <c r="H51" s="79"/>
      <c r="I51" s="40"/>
      <c r="J51" s="40"/>
      <c r="K51" s="40"/>
      <c r="L51" s="40"/>
      <c r="M51" s="40"/>
      <c r="N51" s="67"/>
      <c r="O51" s="40"/>
      <c r="P51" s="40"/>
      <c r="Q51" s="40" t="str">
        <f t="shared" si="0"/>
        <v/>
      </c>
      <c r="R51" s="67" t="str">
        <f>IF(D51="","",_xll.TR($D51,R$6,"Curn=#2 scale=6",,$F51,$H$5))</f>
        <v/>
      </c>
      <c r="S51" s="68"/>
      <c r="T51" s="68" t="str">
        <f>_xll.TR(D51,T$6,"Curn=#2 Scale=6 Transpose=Y Null=BLANK",,$Q51,$H$5)</f>
        <v>No universe defined.</v>
      </c>
      <c r="U51" s="68"/>
      <c r="V51" s="68"/>
      <c r="W51" s="68"/>
      <c r="X51" s="68" t="str">
        <f>_xll.TR($D51,X$6,"Curn=#2 Scale=6 Transpose=Y Null=BLANK",,$Q51,$H$5)</f>
        <v>No universe defined.</v>
      </c>
      <c r="Y51" s="68"/>
      <c r="Z51" s="68"/>
      <c r="AA51" s="68"/>
      <c r="AB51" s="68" t="str">
        <f>_xll.TR($D51,AB$6,"Curn=#2 Scale=6 Period=FY1:FY3 Transpose=Y Null=BLANK",,$Q51,$H$5)</f>
        <v>No universe defined.</v>
      </c>
      <c r="AC51" s="68"/>
      <c r="AD51" s="68"/>
      <c r="AE51" s="68"/>
      <c r="AF51" s="68" t="str">
        <f>_xll.TR($D51,AF$6,"Curn=#2 Scale=6 Transpose=Y Null=BLANK",,$Q51,$H$5)</f>
        <v>No universe defined.</v>
      </c>
      <c r="AG51" s="68"/>
      <c r="AH51" s="68"/>
      <c r="AI51" s="69"/>
      <c r="AJ51" s="69"/>
      <c r="AK51" s="69"/>
      <c r="AL51" s="69"/>
      <c r="AM51" s="69"/>
      <c r="AN51" s="70"/>
      <c r="AO51" s="70"/>
      <c r="AP51" s="70"/>
      <c r="AQ51" s="70"/>
      <c r="AR51" s="70"/>
      <c r="AS51" s="70"/>
      <c r="AT51" s="71" t="str">
        <f t="shared" si="1"/>
        <v/>
      </c>
      <c r="AU51" s="40"/>
      <c r="AV51" s="40"/>
      <c r="AW51" s="40"/>
      <c r="AX51" s="40"/>
      <c r="AY51" s="40"/>
      <c r="AZ51" s="40"/>
      <c r="BA51" s="40"/>
      <c r="BB51" s="40"/>
      <c r="BC51" s="80"/>
      <c r="BD51" s="80"/>
      <c r="BE51" s="80"/>
      <c r="BF51" s="40"/>
      <c r="BG51" s="40"/>
      <c r="BH51" s="40"/>
      <c r="BI51" s="80"/>
      <c r="BJ51" s="80"/>
      <c r="BK51" s="80"/>
      <c r="BL51" s="40"/>
      <c r="BM51" s="40"/>
      <c r="BN51" s="40"/>
      <c r="BO51" s="40"/>
      <c r="BP51" s="79"/>
      <c r="BQ51" s="79"/>
      <c r="BR51" s="79"/>
      <c r="BS51" s="79"/>
      <c r="BT51" s="40"/>
      <c r="BU51" s="40"/>
      <c r="BV51" s="40"/>
      <c r="BW51" s="40"/>
      <c r="BX51" s="40"/>
      <c r="BY51" s="40"/>
      <c r="BZ51" s="40"/>
      <c r="CA51" s="40"/>
      <c r="CD51" s="93"/>
      <c r="CM51" s="23"/>
      <c r="CN51" s="25"/>
      <c r="CO51" s="25"/>
      <c r="CP51" s="25"/>
      <c r="CQ51" s="23"/>
      <c r="CR51" s="23"/>
      <c r="CS51" s="23"/>
      <c r="CT51" s="23"/>
    </row>
    <row r="52" spans="2:98">
      <c r="B52" s="23"/>
      <c r="C52" s="112"/>
      <c r="D52" s="32" t="str">
        <f t="shared" si="2"/>
        <v/>
      </c>
      <c r="E52" s="32"/>
      <c r="F52" s="66"/>
      <c r="G52" s="32"/>
      <c r="H52" s="79"/>
      <c r="I52" s="40"/>
      <c r="J52" s="40"/>
      <c r="K52" s="40"/>
      <c r="L52" s="40"/>
      <c r="M52" s="40"/>
      <c r="N52" s="67"/>
      <c r="O52" s="40"/>
      <c r="P52" s="40"/>
      <c r="Q52" s="40" t="str">
        <f t="shared" si="0"/>
        <v/>
      </c>
      <c r="R52" s="67" t="str">
        <f>IF(D52="","",_xll.TR($D52,R$6,"Curn=#2 scale=6",,$F52,$H$5))</f>
        <v/>
      </c>
      <c r="S52" s="68"/>
      <c r="T52" s="68" t="str">
        <f>_xll.TR(D52,T$6,"Curn=#2 Scale=6 Transpose=Y Null=BLANK",,$Q52,$H$5)</f>
        <v>No universe defined.</v>
      </c>
      <c r="U52" s="68"/>
      <c r="V52" s="68"/>
      <c r="W52" s="68"/>
      <c r="X52" s="68" t="str">
        <f>_xll.TR($D52,X$6,"Curn=#2 Scale=6 Transpose=Y Null=BLANK",,$Q52,$H$5)</f>
        <v>No universe defined.</v>
      </c>
      <c r="Y52" s="68"/>
      <c r="Z52" s="68"/>
      <c r="AA52" s="68"/>
      <c r="AB52" s="68" t="str">
        <f>_xll.TR($D52,AB$6,"Curn=#2 Scale=6 Period=FY1:FY3 Transpose=Y Null=BLANK",,$Q52,$H$5)</f>
        <v>No universe defined.</v>
      </c>
      <c r="AC52" s="68"/>
      <c r="AD52" s="68"/>
      <c r="AE52" s="68"/>
      <c r="AF52" s="68" t="str">
        <f>_xll.TR($D52,AF$6,"Curn=#2 Scale=6 Transpose=Y Null=BLANK",,$Q52,$H$5)</f>
        <v>No universe defined.</v>
      </c>
      <c r="AG52" s="68"/>
      <c r="AH52" s="68"/>
      <c r="AI52" s="69"/>
      <c r="AJ52" s="69"/>
      <c r="AK52" s="69"/>
      <c r="AL52" s="69"/>
      <c r="AM52" s="69"/>
      <c r="AN52" s="70"/>
      <c r="AO52" s="70"/>
      <c r="AP52" s="70"/>
      <c r="AQ52" s="70"/>
      <c r="AR52" s="70"/>
      <c r="AS52" s="70"/>
      <c r="AT52" s="71" t="str">
        <f t="shared" si="1"/>
        <v/>
      </c>
      <c r="AU52" s="40"/>
      <c r="AV52" s="40"/>
      <c r="AW52" s="40"/>
      <c r="AX52" s="40"/>
      <c r="AY52" s="40"/>
      <c r="AZ52" s="40"/>
      <c r="BA52" s="40"/>
      <c r="BB52" s="40"/>
      <c r="BC52" s="80"/>
      <c r="BD52" s="80"/>
      <c r="BE52" s="80"/>
      <c r="BF52" s="40"/>
      <c r="BG52" s="40"/>
      <c r="BH52" s="40"/>
      <c r="BI52" s="80"/>
      <c r="BJ52" s="80"/>
      <c r="BK52" s="80"/>
      <c r="BL52" s="40"/>
      <c r="BM52" s="40"/>
      <c r="BN52" s="40"/>
      <c r="BO52" s="40"/>
      <c r="BP52" s="79"/>
      <c r="BQ52" s="79"/>
      <c r="BR52" s="79"/>
      <c r="BS52" s="79"/>
      <c r="BT52" s="40"/>
      <c r="BU52" s="40"/>
      <c r="BV52" s="40"/>
      <c r="BW52" s="40"/>
      <c r="BX52" s="40"/>
      <c r="BY52" s="40"/>
      <c r="BZ52" s="40"/>
      <c r="CA52" s="40"/>
      <c r="CD52" s="93"/>
      <c r="CM52" s="23"/>
      <c r="CN52" s="25"/>
      <c r="CO52" s="25"/>
      <c r="CP52" s="25"/>
      <c r="CQ52" s="23"/>
      <c r="CR52" s="23"/>
      <c r="CS52" s="23"/>
      <c r="CT52" s="23"/>
    </row>
    <row r="53" spans="2:98">
      <c r="B53" s="23"/>
      <c r="C53" s="112"/>
      <c r="D53" s="32" t="str">
        <f t="shared" si="2"/>
        <v/>
      </c>
      <c r="E53" s="32"/>
      <c r="F53" s="66"/>
      <c r="G53" s="32"/>
      <c r="H53" s="79"/>
      <c r="I53" s="40"/>
      <c r="J53" s="40"/>
      <c r="K53" s="40"/>
      <c r="L53" s="40"/>
      <c r="M53" s="40"/>
      <c r="N53" s="67"/>
      <c r="O53" s="40"/>
      <c r="P53" s="40"/>
      <c r="Q53" s="40" t="str">
        <f t="shared" si="0"/>
        <v/>
      </c>
      <c r="R53" s="67" t="str">
        <f>IF(D53="","",_xll.TR($D53,R$6,"Curn=#2 scale=6",,$F53,$H$5))</f>
        <v/>
      </c>
      <c r="S53" s="68"/>
      <c r="T53" s="68" t="str">
        <f>_xll.TR(D53,T$6,"Curn=#2 Scale=6 Transpose=Y Null=BLANK",,$Q53,$H$5)</f>
        <v>No universe defined.</v>
      </c>
      <c r="U53" s="68" t="str">
        <f>IF($D53="","",IFERROR(_xll.TR($D53,U$6,"Curn=#2 Scale=6 Null=BLANK",,$Q53,$H$5),"-"))</f>
        <v/>
      </c>
      <c r="V53" s="68" t="str">
        <f>IF($D53="","",IFERROR(_xll.TR($D53,V$6,"Curn=#2 Scale=6 Null=BLANK",,$Q53,$H$5),"-"))</f>
        <v/>
      </c>
      <c r="W53" s="68"/>
      <c r="X53" s="68" t="str">
        <f>_xll.TR($D53,X$6,"Curn=#2 Scale=6 Transpose=Y Null=BLANK",,$Q53,$H$5)</f>
        <v>No universe defined.</v>
      </c>
      <c r="Y53" s="68" t="str">
        <f>IF($D53="","",IFERROR($Q53/_xll.TR($D53,Y$6,"Curn=#1 Scale=6 Null=BLANK",,$H$5),"-"))</f>
        <v/>
      </c>
      <c r="Z53" s="68" t="str">
        <f>IF($D53="","",IFERROR($Q53/_xll.TR($D53,Z$6,"Curn=#1 Scale=6 Null=BLANK",,$H$5),"-"))</f>
        <v/>
      </c>
      <c r="AA53" s="68"/>
      <c r="AB53" s="68" t="str">
        <f>_xll.TR($D53,AB$6,"Curn=#2 Scale=6 Period=FY1:FY3 Transpose=Y Null=BLANK",,$Q53,$H$5)</f>
        <v>No universe defined.</v>
      </c>
      <c r="AC53" s="68"/>
      <c r="AD53" s="68"/>
      <c r="AE53" s="68"/>
      <c r="AF53" s="68" t="str">
        <f>_xll.TR($D53,AF$6,"Curn=#2 Scale=6 Transpose=Y Null=BLANK",,$Q53,$H$5)</f>
        <v>No universe defined.</v>
      </c>
      <c r="AG53" s="68"/>
      <c r="AH53" s="68"/>
      <c r="AI53" s="69"/>
      <c r="AJ53" s="69"/>
      <c r="AK53" s="69"/>
      <c r="AL53" s="69"/>
      <c r="AM53" s="69"/>
      <c r="AN53" s="70"/>
      <c r="AO53" s="70"/>
      <c r="AP53" s="70"/>
      <c r="AQ53" s="70"/>
      <c r="AR53" s="70"/>
      <c r="AS53" s="70"/>
      <c r="AT53" s="71" t="str">
        <f t="shared" si="1"/>
        <v/>
      </c>
      <c r="AU53" s="40"/>
      <c r="AV53" s="40"/>
      <c r="AW53" s="40"/>
      <c r="AX53" s="40"/>
      <c r="AY53" s="40"/>
      <c r="AZ53" s="40"/>
      <c r="BA53" s="40"/>
      <c r="BB53" s="40"/>
      <c r="BC53" s="80"/>
      <c r="BD53" s="80"/>
      <c r="BE53" s="80"/>
      <c r="BF53" s="40"/>
      <c r="BG53" s="40"/>
      <c r="BH53" s="40"/>
      <c r="BI53" s="80"/>
      <c r="BJ53" s="80"/>
      <c r="BK53" s="80"/>
      <c r="BL53" s="40"/>
      <c r="BM53" s="40"/>
      <c r="BN53" s="40"/>
      <c r="BO53" s="40"/>
      <c r="BP53" s="79"/>
      <c r="BQ53" s="79"/>
      <c r="BR53" s="79"/>
      <c r="BS53" s="79"/>
      <c r="BT53" s="40"/>
      <c r="BU53" s="40"/>
      <c r="BV53" s="40"/>
      <c r="BW53" s="40"/>
      <c r="BX53" s="40"/>
      <c r="BY53" s="40"/>
      <c r="BZ53" s="40"/>
      <c r="CA53" s="40"/>
      <c r="CD53" s="56"/>
      <c r="CM53" s="23"/>
      <c r="CN53" s="25"/>
      <c r="CO53" s="25"/>
      <c r="CP53" s="25"/>
      <c r="CQ53" s="23"/>
      <c r="CR53" s="23"/>
      <c r="CS53" s="23"/>
      <c r="CT53" s="23"/>
    </row>
    <row r="54" spans="2:98">
      <c r="B54" s="23"/>
      <c r="C54" s="112"/>
      <c r="D54" s="32" t="str">
        <f t="shared" si="2"/>
        <v/>
      </c>
      <c r="E54" s="32"/>
      <c r="F54" s="66"/>
      <c r="G54" s="32"/>
      <c r="H54" s="79"/>
      <c r="I54" s="40"/>
      <c r="J54" s="40"/>
      <c r="K54" s="40"/>
      <c r="L54" s="40"/>
      <c r="M54" s="40"/>
      <c r="N54" s="67"/>
      <c r="O54" s="40"/>
      <c r="P54" s="40"/>
      <c r="Q54" s="40" t="str">
        <f t="shared" si="0"/>
        <v/>
      </c>
      <c r="R54" s="67" t="str">
        <f>IF(D54="","",_xll.TR($D54,R$6,"Curn=#2 scale=6",,$F54,$H$5))</f>
        <v/>
      </c>
      <c r="S54" s="68"/>
      <c r="T54" s="68" t="str">
        <f>_xll.TR(D54,T$6,"Curn=#2 Scale=6 Transpose=Y Null=BLANK",,$Q54,$H$5)</f>
        <v>No universe defined.</v>
      </c>
      <c r="U54" s="68" t="str">
        <f>IF($D54="","",IFERROR(_xll.TR($D54,U$6,"Curn=#2 Scale=6 Null=BLANK",,$Q54,$H$5),"-"))</f>
        <v/>
      </c>
      <c r="V54" s="68" t="str">
        <f>IF($D54="","",IFERROR(_xll.TR($D54,V$6,"Curn=#2 Scale=6 Null=BLANK",,$Q54,$H$5),"-"))</f>
        <v/>
      </c>
      <c r="W54" s="68"/>
      <c r="X54" s="68" t="str">
        <f>_xll.TR($D54,X$6,"Curn=#2 Scale=6 Transpose=Y Null=BLANK",,$Q54,$H$5)</f>
        <v>No universe defined.</v>
      </c>
      <c r="Y54" s="68" t="str">
        <f>IF($D54="","",IFERROR($Q54/_xll.TR($D54,Y$6,"Curn=#1 Scale=6 Null=BLANK",,$H$5),"-"))</f>
        <v/>
      </c>
      <c r="Z54" s="68" t="str">
        <f>IF($D54="","",IFERROR($Q54/_xll.TR($D54,Z$6,"Curn=#1 Scale=6 Null=BLANK",,$H$5),"-"))</f>
        <v/>
      </c>
      <c r="AA54" s="68"/>
      <c r="AB54" s="68" t="str">
        <f>_xll.TR($D54,AB$6,"Curn=#2 Scale=6 Period=FY1:FY3 Transpose=Y Null=BLANK",,$Q54,$H$5)</f>
        <v>No universe defined.</v>
      </c>
      <c r="AC54" s="68"/>
      <c r="AD54" s="68"/>
      <c r="AE54" s="68"/>
      <c r="AF54" s="68" t="str">
        <f>_xll.TR($D54,AF$6,"Curn=#2 Scale=6 Transpose=Y Null=BLANK",,$Q54,$H$5)</f>
        <v>No universe defined.</v>
      </c>
      <c r="AG54" s="68"/>
      <c r="AH54" s="68"/>
      <c r="AI54" s="69"/>
      <c r="AJ54" s="69"/>
      <c r="AK54" s="69"/>
      <c r="AL54" s="69"/>
      <c r="AM54" s="69"/>
      <c r="AN54" s="70"/>
      <c r="AO54" s="70"/>
      <c r="AP54" s="70"/>
      <c r="AQ54" s="70"/>
      <c r="AR54" s="70"/>
      <c r="AS54" s="70"/>
      <c r="AT54" s="71" t="str">
        <f t="shared" si="1"/>
        <v/>
      </c>
      <c r="AU54" s="40"/>
      <c r="AV54" s="40"/>
      <c r="AW54" s="40"/>
      <c r="AX54" s="40"/>
      <c r="AY54" s="40"/>
      <c r="AZ54" s="40"/>
      <c r="BA54" s="40"/>
      <c r="BB54" s="40"/>
      <c r="BC54" s="80"/>
      <c r="BD54" s="80"/>
      <c r="BE54" s="80"/>
      <c r="BF54" s="40"/>
      <c r="BG54" s="40"/>
      <c r="BH54" s="40"/>
      <c r="BI54" s="80"/>
      <c r="BJ54" s="80"/>
      <c r="BK54" s="80"/>
      <c r="BL54" s="40"/>
      <c r="BM54" s="40"/>
      <c r="BN54" s="40"/>
      <c r="BO54" s="40"/>
      <c r="BP54" s="79"/>
      <c r="BQ54" s="79"/>
      <c r="BR54" s="79"/>
      <c r="BS54" s="79"/>
      <c r="BT54" s="40"/>
      <c r="BU54" s="40"/>
      <c r="BV54" s="40"/>
      <c r="BW54" s="40"/>
      <c r="BX54" s="40"/>
      <c r="BY54" s="40"/>
      <c r="BZ54" s="40"/>
      <c r="CA54" s="40"/>
      <c r="CD54" s="56"/>
      <c r="CM54" s="23"/>
      <c r="CN54" s="25"/>
      <c r="CO54" s="25"/>
      <c r="CP54" s="25"/>
      <c r="CQ54" s="23"/>
      <c r="CR54" s="23"/>
      <c r="CS54" s="23"/>
      <c r="CT54" s="23"/>
    </row>
    <row r="55" spans="2:98">
      <c r="B55" s="23"/>
      <c r="C55" s="112"/>
      <c r="D55" s="32" t="str">
        <f t="shared" si="2"/>
        <v/>
      </c>
      <c r="E55" s="32"/>
      <c r="F55" s="66"/>
      <c r="G55" s="32"/>
      <c r="H55" s="79"/>
      <c r="I55" s="40"/>
      <c r="J55" s="40"/>
      <c r="K55" s="40"/>
      <c r="L55" s="40"/>
      <c r="M55" s="40"/>
      <c r="N55" s="67"/>
      <c r="O55" s="40"/>
      <c r="P55" s="40"/>
      <c r="Q55" s="40" t="str">
        <f t="shared" si="0"/>
        <v/>
      </c>
      <c r="R55" s="67" t="str">
        <f>IF(D55="","",_xll.TR($D55,R$6,"Curn=#2 scale=6",,$F55,$H$5))</f>
        <v/>
      </c>
      <c r="S55" s="68"/>
      <c r="T55" s="68" t="str">
        <f>_xll.TR(D55,T$6,"Curn=#2 Scale=6 Transpose=Y Null=BLANK",,$Q55,$H$5)</f>
        <v>No universe defined.</v>
      </c>
      <c r="U55" s="68" t="str">
        <f>IF($D55="","",IFERROR(_xll.TR($D55,U$6,"Curn=#2 Scale=6 Null=BLANK",,$Q55,$H$5),"-"))</f>
        <v/>
      </c>
      <c r="V55" s="68" t="str">
        <f>IF($D55="","",IFERROR(_xll.TR($D55,V$6,"Curn=#2 Scale=6 Null=BLANK",,$Q55,$H$5),"-"))</f>
        <v/>
      </c>
      <c r="W55" s="68"/>
      <c r="X55" s="68" t="str">
        <f>_xll.TR($D55,X$6,"Curn=#2 Scale=6 Transpose=Y Null=BLANK",,$Q55,$H$5)</f>
        <v>No universe defined.</v>
      </c>
      <c r="Y55" s="68" t="str">
        <f>IF($D55="","",IFERROR($Q55/_xll.TR($D55,Y$6,"Curn=#1 Scale=6 Null=BLANK",,$H$5),"-"))</f>
        <v/>
      </c>
      <c r="Z55" s="68" t="str">
        <f>IF($D55="","",IFERROR($Q55/_xll.TR($D55,Z$6,"Curn=#1 Scale=6 Null=BLANK",,$H$5),"-"))</f>
        <v/>
      </c>
      <c r="AA55" s="68"/>
      <c r="AB55" s="68" t="str">
        <f>_xll.TR($D55,AB$6,"Curn=#2 Scale=6 Period=FY1:FY3 Transpose=Y Null=BLANK",,$Q55,$H$5)</f>
        <v>No universe defined.</v>
      </c>
      <c r="AC55" s="68"/>
      <c r="AD55" s="68"/>
      <c r="AE55" s="68"/>
      <c r="AF55" s="68" t="str">
        <f>_xll.TR($D55,AF$6,"Curn=#2 Scale=6 Transpose=Y Null=BLANK",,$Q55,$H$5)</f>
        <v>No universe defined.</v>
      </c>
      <c r="AG55" s="68"/>
      <c r="AH55" s="68"/>
      <c r="AI55" s="69"/>
      <c r="AJ55" s="69"/>
      <c r="AK55" s="69"/>
      <c r="AL55" s="69"/>
      <c r="AM55" s="69"/>
      <c r="AN55" s="70"/>
      <c r="AO55" s="70"/>
      <c r="AP55" s="70"/>
      <c r="AQ55" s="70"/>
      <c r="AR55" s="70"/>
      <c r="AS55" s="70"/>
      <c r="AT55" s="71" t="str">
        <f t="shared" si="1"/>
        <v/>
      </c>
      <c r="AU55" s="40"/>
      <c r="AV55" s="40"/>
      <c r="AW55" s="40"/>
      <c r="AX55" s="40"/>
      <c r="AY55" s="40"/>
      <c r="AZ55" s="40"/>
      <c r="BA55" s="40"/>
      <c r="BB55" s="40"/>
      <c r="BC55" s="80"/>
      <c r="BD55" s="80"/>
      <c r="BE55" s="80"/>
      <c r="BF55" s="40"/>
      <c r="BG55" s="40"/>
      <c r="BH55" s="40"/>
      <c r="BI55" s="80"/>
      <c r="BJ55" s="80"/>
      <c r="BK55" s="80"/>
      <c r="BL55" s="40"/>
      <c r="BM55" s="40"/>
      <c r="BN55" s="40"/>
      <c r="BO55" s="40"/>
      <c r="BP55" s="79"/>
      <c r="BQ55" s="79"/>
      <c r="BR55" s="79"/>
      <c r="BS55" s="79"/>
      <c r="BT55" s="40"/>
      <c r="BU55" s="40"/>
      <c r="BV55" s="40"/>
      <c r="BW55" s="40"/>
      <c r="BX55" s="40"/>
      <c r="BY55" s="40"/>
      <c r="BZ55" s="40"/>
      <c r="CA55" s="40"/>
      <c r="CD55" s="56"/>
      <c r="CM55" s="23"/>
      <c r="CN55" s="25"/>
      <c r="CO55" s="25"/>
      <c r="CP55" s="25"/>
      <c r="CQ55" s="23"/>
      <c r="CR55" s="23"/>
      <c r="CS55" s="23"/>
      <c r="CT55" s="23"/>
    </row>
    <row r="56" spans="2:98">
      <c r="B56" s="23"/>
      <c r="C56" s="112"/>
      <c r="D56" s="32" t="str">
        <f t="shared" si="2"/>
        <v/>
      </c>
      <c r="E56" s="32"/>
      <c r="F56" s="66"/>
      <c r="G56" s="32"/>
      <c r="H56" s="79"/>
      <c r="I56" s="40"/>
      <c r="J56" s="40"/>
      <c r="K56" s="40"/>
      <c r="L56" s="40"/>
      <c r="M56" s="40"/>
      <c r="N56" s="67"/>
      <c r="O56" s="40"/>
      <c r="P56" s="40"/>
      <c r="Q56" s="40" t="str">
        <f t="shared" si="0"/>
        <v/>
      </c>
      <c r="R56" s="67" t="str">
        <f>IF(D56="","",_xll.TR($D56,R$6,"Curn=#2 scale=6",,$F56,$H$5))</f>
        <v/>
      </c>
      <c r="S56" s="68"/>
      <c r="T56" s="68" t="str">
        <f>_xll.TR(D56,T$6,"Curn=#2 Scale=6 Transpose=Y Null=BLANK",,$Q56,$H$5)</f>
        <v>No universe defined.</v>
      </c>
      <c r="U56" s="68" t="str">
        <f>IF($D56="","",IFERROR(_xll.TR($D56,U$6,"Curn=#2 Scale=6 Null=BLANK",,$Q56,$H$5),"-"))</f>
        <v/>
      </c>
      <c r="V56" s="68" t="str">
        <f>IF($D56="","",IFERROR(_xll.TR($D56,V$6,"Curn=#2 Scale=6 Null=BLANK",,$Q56,$H$5),"-"))</f>
        <v/>
      </c>
      <c r="W56" s="68"/>
      <c r="X56" s="68" t="str">
        <f>_xll.TR($D56,X$6,"Curn=#2 Scale=6 Transpose=Y Null=BLANK",,$Q56,$H$5)</f>
        <v>No universe defined.</v>
      </c>
      <c r="Y56" s="68" t="str">
        <f>IF($D56="","",IFERROR($Q56/_xll.TR($D56,Y$6,"Curn=#1 Scale=6 Null=BLANK",,$H$5),"-"))</f>
        <v/>
      </c>
      <c r="Z56" s="68" t="str">
        <f>IF($D56="","",IFERROR($Q56/_xll.TR($D56,Z$6,"Curn=#1 Scale=6 Null=BLANK",,$H$5),"-"))</f>
        <v/>
      </c>
      <c r="AA56" s="68"/>
      <c r="AB56" s="68" t="str">
        <f>_xll.TR($D56,AB$6,"Curn=#2 Scale=6 Period=FY1:FY3 Transpose=Y Null=BLANK",,$Q56,$H$5)</f>
        <v>No universe defined.</v>
      </c>
      <c r="AC56" s="68"/>
      <c r="AD56" s="68"/>
      <c r="AE56" s="68"/>
      <c r="AF56" s="68" t="str">
        <f>_xll.TR($D56,AF$6,"Curn=#2 Scale=6 Transpose=Y Null=BLANK",,$Q56,$H$5)</f>
        <v>No universe defined.</v>
      </c>
      <c r="AG56" s="68"/>
      <c r="AH56" s="68"/>
      <c r="AI56" s="69"/>
      <c r="AJ56" s="69"/>
      <c r="AK56" s="69"/>
      <c r="AL56" s="69"/>
      <c r="AM56" s="69"/>
      <c r="AN56" s="70"/>
      <c r="AO56" s="70"/>
      <c r="AP56" s="70"/>
      <c r="AQ56" s="70"/>
      <c r="AR56" s="70"/>
      <c r="AS56" s="70"/>
      <c r="AT56" s="71" t="str">
        <f t="shared" si="1"/>
        <v/>
      </c>
      <c r="AU56" s="40"/>
      <c r="AV56" s="40"/>
      <c r="AW56" s="40"/>
      <c r="AX56" s="40"/>
      <c r="AY56" s="40"/>
      <c r="AZ56" s="40"/>
      <c r="BA56" s="40"/>
      <c r="BB56" s="40"/>
      <c r="BC56" s="80"/>
      <c r="BD56" s="80"/>
      <c r="BE56" s="80"/>
      <c r="BF56" s="40"/>
      <c r="BG56" s="40"/>
      <c r="BH56" s="40"/>
      <c r="BI56" s="80"/>
      <c r="BJ56" s="80"/>
      <c r="BK56" s="80"/>
      <c r="BL56" s="40"/>
      <c r="BM56" s="40"/>
      <c r="BN56" s="40"/>
      <c r="BO56" s="40"/>
      <c r="BP56" s="79"/>
      <c r="BQ56" s="79"/>
      <c r="BR56" s="79"/>
      <c r="BS56" s="79"/>
      <c r="BT56" s="40"/>
      <c r="BU56" s="40"/>
      <c r="BV56" s="40"/>
      <c r="BW56" s="40"/>
      <c r="BX56" s="40"/>
      <c r="BY56" s="40"/>
      <c r="BZ56" s="40"/>
      <c r="CA56" s="40"/>
      <c r="CD56" s="56"/>
      <c r="CM56" s="23"/>
      <c r="CN56" s="25"/>
      <c r="CO56" s="25"/>
      <c r="CP56" s="25"/>
      <c r="CQ56" s="23"/>
      <c r="CR56" s="23"/>
      <c r="CS56" s="23"/>
      <c r="CT56" s="23"/>
    </row>
    <row r="57" spans="2:98">
      <c r="B57" s="23"/>
      <c r="C57" s="112"/>
      <c r="D57" s="32" t="str">
        <f t="shared" si="2"/>
        <v/>
      </c>
      <c r="E57" s="32"/>
      <c r="F57" s="66"/>
      <c r="G57" s="32"/>
      <c r="H57" s="79"/>
      <c r="I57" s="40"/>
      <c r="J57" s="40"/>
      <c r="K57" s="40"/>
      <c r="L57" s="40"/>
      <c r="M57" s="40"/>
      <c r="N57" s="67"/>
      <c r="O57" s="40"/>
      <c r="P57" s="40"/>
      <c r="Q57" s="40" t="str">
        <f t="shared" si="0"/>
        <v/>
      </c>
      <c r="R57" s="67" t="str">
        <f>IF(D57="","",_xll.TR($D57,R$6,"Curn=#2 scale=6",,$F57,$H$5))</f>
        <v/>
      </c>
      <c r="S57" s="68"/>
      <c r="T57" s="68" t="str">
        <f>_xll.TR(D57,T$6,"Curn=#2 Scale=6 Transpose=Y Null=BLANK",,$Q57,$H$5)</f>
        <v>No universe defined.</v>
      </c>
      <c r="U57" s="68" t="str">
        <f>IF($D57="","",IFERROR(_xll.TR($D57,U$6,"Curn=#2 Scale=6 Null=BLANK",,$Q57,$H$5),"-"))</f>
        <v/>
      </c>
      <c r="V57" s="68" t="str">
        <f>IF($D57="","",IFERROR(_xll.TR($D57,V$6,"Curn=#2 Scale=6 Null=BLANK",,$Q57,$H$5),"-"))</f>
        <v/>
      </c>
      <c r="W57" s="68"/>
      <c r="X57" s="68" t="str">
        <f>_xll.TR($D57,X$6,"Curn=#2 Scale=6 Transpose=Y Null=BLANK",,$Q57,$H$5)</f>
        <v>No universe defined.</v>
      </c>
      <c r="Y57" s="68" t="str">
        <f>IF($D57="","",IFERROR($Q57/_xll.TR($D57,Y$6,"Curn=#1 Scale=6 Null=BLANK",,$H$5),"-"))</f>
        <v/>
      </c>
      <c r="Z57" s="68" t="str">
        <f>IF($D57="","",IFERROR($Q57/_xll.TR($D57,Z$6,"Curn=#1 Scale=6 Null=BLANK",,$H$5),"-"))</f>
        <v/>
      </c>
      <c r="AA57" s="68"/>
      <c r="AB57" s="68" t="str">
        <f>_xll.TR($D57,AB$6,"Curn=#2 Scale=6 Period=FY1:FY3 Transpose=Y Null=BLANK",,$Q57,$H$5)</f>
        <v>No universe defined.</v>
      </c>
      <c r="AC57" s="68"/>
      <c r="AD57" s="68"/>
      <c r="AE57" s="68"/>
      <c r="AF57" s="68" t="str">
        <f>_xll.TR($D57,AF$6,"Curn=#2 Scale=6 Transpose=Y Null=BLANK",,$Q57,$H$5)</f>
        <v>No universe defined.</v>
      </c>
      <c r="AG57" s="68"/>
      <c r="AH57" s="68"/>
      <c r="AI57" s="69"/>
      <c r="AJ57" s="69"/>
      <c r="AK57" s="69"/>
      <c r="AL57" s="69"/>
      <c r="AM57" s="69"/>
      <c r="AN57" s="70"/>
      <c r="AO57" s="70"/>
      <c r="AP57" s="70"/>
      <c r="AQ57" s="70"/>
      <c r="AR57" s="70"/>
      <c r="AS57" s="70"/>
      <c r="AT57" s="71" t="str">
        <f t="shared" si="1"/>
        <v/>
      </c>
      <c r="AU57" s="40"/>
      <c r="AV57" s="40"/>
      <c r="AW57" s="40"/>
      <c r="AX57" s="40"/>
      <c r="AY57" s="40"/>
      <c r="AZ57" s="40"/>
      <c r="BA57" s="40"/>
      <c r="BB57" s="40"/>
      <c r="BC57" s="80"/>
      <c r="BD57" s="80"/>
      <c r="BE57" s="80"/>
      <c r="BF57" s="40"/>
      <c r="BG57" s="40"/>
      <c r="BH57" s="40"/>
      <c r="BI57" s="80"/>
      <c r="BJ57" s="80"/>
      <c r="BK57" s="80"/>
      <c r="BL57" s="40"/>
      <c r="BM57" s="40"/>
      <c r="BN57" s="40"/>
      <c r="BO57" s="40"/>
      <c r="BP57" s="79"/>
      <c r="BQ57" s="79"/>
      <c r="BR57" s="79"/>
      <c r="BS57" s="79"/>
      <c r="BT57" s="40"/>
      <c r="BU57" s="40"/>
      <c r="BV57" s="40"/>
      <c r="BW57" s="40"/>
      <c r="BX57" s="40"/>
      <c r="BY57" s="40"/>
      <c r="BZ57" s="40"/>
      <c r="CA57" s="40"/>
      <c r="CD57" s="56"/>
      <c r="CM57" s="23"/>
      <c r="CN57" s="25"/>
      <c r="CO57" s="25"/>
      <c r="CP57" s="25"/>
      <c r="CQ57" s="23"/>
      <c r="CR57" s="23"/>
      <c r="CS57" s="23"/>
      <c r="CT57" s="23"/>
    </row>
    <row r="58" spans="2:98">
      <c r="B58" s="23"/>
      <c r="C58" s="112"/>
      <c r="D58" s="32" t="str">
        <f t="shared" si="2"/>
        <v/>
      </c>
      <c r="E58" s="32"/>
      <c r="F58" s="66"/>
      <c r="G58" s="32"/>
      <c r="H58" s="79"/>
      <c r="I58" s="40"/>
      <c r="J58" s="40"/>
      <c r="K58" s="40"/>
      <c r="L58" s="40"/>
      <c r="M58" s="40"/>
      <c r="N58" s="67"/>
      <c r="O58" s="40"/>
      <c r="P58" s="40"/>
      <c r="Q58" s="40" t="str">
        <f t="shared" si="0"/>
        <v/>
      </c>
      <c r="R58" s="67" t="str">
        <f>IF(D58="","",_xll.TR($D58,R$6,"Curn=#2 scale=6",,$F58,$H$5))</f>
        <v/>
      </c>
      <c r="S58" s="68"/>
      <c r="T58" s="68" t="str">
        <f>_xll.TR(D58,T$6,"Curn=#2 Scale=6 Transpose=Y Null=BLANK",,$Q58,$H$5)</f>
        <v>No universe defined.</v>
      </c>
      <c r="U58" s="68" t="str">
        <f>IF($D58="","",IFERROR(_xll.TR($D58,U$6,"Curn=#2 Scale=6 Null=BLANK",,$Q58,$H$5),"-"))</f>
        <v/>
      </c>
      <c r="V58" s="68" t="str">
        <f>IF($D58="","",IFERROR(_xll.TR($D58,V$6,"Curn=#2 Scale=6 Null=BLANK",,$Q58,$H$5),"-"))</f>
        <v/>
      </c>
      <c r="W58" s="68"/>
      <c r="X58" s="68" t="str">
        <f>_xll.TR($D58,X$6,"Curn=#2 Scale=6 Transpose=Y Null=BLANK",,$Q58,$H$5)</f>
        <v>No universe defined.</v>
      </c>
      <c r="Y58" s="68" t="str">
        <f>IF($D58="","",IFERROR($Q58/_xll.TR($D58,Y$6,"Curn=#1 Scale=6 Null=BLANK",,$H$5),"-"))</f>
        <v/>
      </c>
      <c r="Z58" s="68" t="str">
        <f>IF($D58="","",IFERROR($Q58/_xll.TR($D58,Z$6,"Curn=#1 Scale=6 Null=BLANK",,$H$5),"-"))</f>
        <v/>
      </c>
      <c r="AA58" s="68"/>
      <c r="AB58" s="68" t="str">
        <f>_xll.TR($D58,AB$6,"Curn=#2 Scale=6 Period=FY1:FY3 Transpose=Y Null=BLANK",,$Q58,$H$5)</f>
        <v>No universe defined.</v>
      </c>
      <c r="AC58" s="68"/>
      <c r="AD58" s="68"/>
      <c r="AE58" s="68"/>
      <c r="AF58" s="68" t="str">
        <f>_xll.TR($D58,AF$6,"Curn=#2 Scale=6 Transpose=Y Null=BLANK",,$Q58,$H$5)</f>
        <v>No universe defined.</v>
      </c>
      <c r="AG58" s="68"/>
      <c r="AH58" s="68"/>
      <c r="AI58" s="69"/>
      <c r="AJ58" s="69"/>
      <c r="AK58" s="69"/>
      <c r="AL58" s="69"/>
      <c r="AM58" s="69"/>
      <c r="AN58" s="70"/>
      <c r="AO58" s="70"/>
      <c r="AP58" s="70"/>
      <c r="AQ58" s="70"/>
      <c r="AR58" s="70"/>
      <c r="AS58" s="70"/>
      <c r="AT58" s="71" t="str">
        <f t="shared" si="1"/>
        <v/>
      </c>
      <c r="AU58" s="40"/>
      <c r="AV58" s="40"/>
      <c r="AW58" s="40"/>
      <c r="AX58" s="40"/>
      <c r="AY58" s="40"/>
      <c r="AZ58" s="40"/>
      <c r="BA58" s="40"/>
      <c r="BB58" s="40"/>
      <c r="BC58" s="80"/>
      <c r="BD58" s="80"/>
      <c r="BE58" s="80"/>
      <c r="BF58" s="40"/>
      <c r="BG58" s="40"/>
      <c r="BH58" s="40"/>
      <c r="BI58" s="80"/>
      <c r="BJ58" s="80"/>
      <c r="BK58" s="80"/>
      <c r="BL58" s="40"/>
      <c r="BM58" s="40"/>
      <c r="BN58" s="40"/>
      <c r="BO58" s="40"/>
      <c r="BP58" s="79"/>
      <c r="BQ58" s="79"/>
      <c r="BR58" s="79"/>
      <c r="BS58" s="79"/>
      <c r="BT58" s="40"/>
      <c r="BU58" s="40"/>
      <c r="BV58" s="40"/>
      <c r="BW58" s="40"/>
      <c r="BX58" s="40"/>
      <c r="BY58" s="40"/>
      <c r="BZ58" s="40"/>
      <c r="CA58" s="40"/>
      <c r="CD58" s="56"/>
      <c r="CM58" s="23"/>
      <c r="CN58" s="25"/>
      <c r="CO58" s="25"/>
      <c r="CP58" s="25"/>
      <c r="CQ58" s="23"/>
      <c r="CR58" s="23"/>
      <c r="CS58" s="23"/>
      <c r="CT58" s="23"/>
    </row>
    <row r="59" spans="2:98">
      <c r="B59" s="23"/>
      <c r="C59" s="104"/>
      <c r="D59" s="32" t="str">
        <f t="shared" si="2"/>
        <v/>
      </c>
      <c r="E59" s="32"/>
      <c r="F59" s="66"/>
      <c r="G59" s="32"/>
      <c r="H59" s="79"/>
      <c r="I59" s="40"/>
      <c r="J59" s="40"/>
      <c r="K59" s="40"/>
      <c r="L59" s="40"/>
      <c r="M59" s="40"/>
      <c r="N59" s="67"/>
      <c r="O59" s="40"/>
      <c r="P59" s="40"/>
      <c r="Q59" s="40" t="str">
        <f t="shared" si="0"/>
        <v/>
      </c>
      <c r="R59" s="67" t="str">
        <f>IF(D59="","",_xll.TR($D59,R$6,"Curn=#2 scale=6",,$F59,$H$5))</f>
        <v/>
      </c>
      <c r="S59" s="68"/>
      <c r="T59" s="68" t="str">
        <f>_xll.TR(D59,T$6,"Curn=#2 Scale=6 Transpose=Y Null=BLANK",,$Q59,$H$5)</f>
        <v>No universe defined.</v>
      </c>
      <c r="U59" s="68" t="str">
        <f>IF($D59="","",IFERROR(_xll.TR($D59,U$6,"Curn=#2 Scale=6 Null=BLANK",,$Q59,$H$5),"-"))</f>
        <v/>
      </c>
      <c r="V59" s="68" t="str">
        <f>IF($D59="","",IFERROR(_xll.TR($D59,V$6,"Curn=#2 Scale=6 Null=BLANK",,$Q59,$H$5),"-"))</f>
        <v/>
      </c>
      <c r="W59" s="68"/>
      <c r="X59" s="68" t="str">
        <f>_xll.TR($D59,X$6,"Curn=#2 Scale=6 Transpose=Y Null=BLANK",,$Q59,$H$5)</f>
        <v>No universe defined.</v>
      </c>
      <c r="Y59" s="68" t="str">
        <f>IF($D59="","",IFERROR($Q59/_xll.TR($D59,Y$6,"Curn=#1 Scale=6 Null=BLANK",,$H$5),"-"))</f>
        <v/>
      </c>
      <c r="Z59" s="68" t="str">
        <f>IF($D59="","",IFERROR($Q59/_xll.TR($D59,Z$6,"Curn=#1 Scale=6 Null=BLANK",,$H$5),"-"))</f>
        <v/>
      </c>
      <c r="AA59" s="68"/>
      <c r="AB59" s="68" t="str">
        <f>_xll.TR($D59,AB$6,"Curn=#2 Scale=6 Period=FY1:FY3 Transpose=Y Null=BLANK",,$Q59,$H$5)</f>
        <v>No universe defined.</v>
      </c>
      <c r="AC59" s="68"/>
      <c r="AD59" s="68"/>
      <c r="AE59" s="68"/>
      <c r="AF59" s="68" t="str">
        <f>_xll.TR($D59,AF$6,"Curn=#2 Scale=6 Transpose=Y Null=BLANK",,$Q59,$H$5)</f>
        <v>No universe defined.</v>
      </c>
      <c r="AG59" s="68"/>
      <c r="AH59" s="68"/>
      <c r="AI59" s="69"/>
      <c r="AJ59" s="69"/>
      <c r="AK59" s="69"/>
      <c r="AL59" s="69"/>
      <c r="AM59" s="69"/>
      <c r="AN59" s="70"/>
      <c r="AO59" s="70"/>
      <c r="AP59" s="70"/>
      <c r="AQ59" s="70"/>
      <c r="AR59" s="70"/>
      <c r="AS59" s="70"/>
      <c r="AT59" s="71" t="str">
        <f t="shared" si="1"/>
        <v/>
      </c>
      <c r="AU59" s="40"/>
      <c r="AV59" s="40"/>
      <c r="AW59" s="40"/>
      <c r="AX59" s="40"/>
      <c r="AY59" s="40"/>
      <c r="AZ59" s="40"/>
      <c r="BA59" s="40"/>
      <c r="BB59" s="40"/>
      <c r="BC59" s="80"/>
      <c r="BD59" s="80"/>
      <c r="BE59" s="80"/>
      <c r="BF59" s="40"/>
      <c r="BG59" s="40"/>
      <c r="BH59" s="40"/>
      <c r="BI59" s="80"/>
      <c r="BJ59" s="80"/>
      <c r="BK59" s="80"/>
      <c r="BL59" s="40"/>
      <c r="BM59" s="40"/>
      <c r="BN59" s="40"/>
      <c r="BO59" s="40"/>
      <c r="BP59" s="79"/>
      <c r="BQ59" s="79"/>
      <c r="BR59" s="79"/>
      <c r="BS59" s="79"/>
      <c r="BT59" s="40"/>
      <c r="BU59" s="40"/>
      <c r="BV59" s="40"/>
      <c r="BW59" s="40"/>
      <c r="BX59" s="40"/>
      <c r="BY59" s="40"/>
      <c r="BZ59" s="40"/>
      <c r="CA59" s="40"/>
      <c r="CD59" s="56"/>
      <c r="CM59" s="23"/>
      <c r="CN59" s="25"/>
      <c r="CO59" s="25"/>
      <c r="CP59" s="25"/>
      <c r="CQ59" s="23"/>
      <c r="CR59" s="23"/>
      <c r="CS59" s="23"/>
      <c r="CT59" s="23"/>
    </row>
    <row r="60" spans="2:98">
      <c r="CD60" s="56"/>
      <c r="CS60" s="23"/>
      <c r="CT60" s="23"/>
    </row>
    <row r="61" spans="2:98">
      <c r="CS61" s="23"/>
      <c r="CT61" s="23"/>
    </row>
    <row r="62" spans="2:98">
      <c r="CS62" s="23"/>
      <c r="CT62" s="23"/>
    </row>
    <row r="63" spans="2:98">
      <c r="CS63" s="23"/>
      <c r="CT63" s="23"/>
    </row>
    <row r="64" spans="2:98">
      <c r="CS64" s="23"/>
      <c r="CT64" s="23"/>
    </row>
    <row r="65" spans="97:98">
      <c r="CS65" s="23"/>
      <c r="CT65" s="23"/>
    </row>
    <row r="66" spans="97:98">
      <c r="CS66" s="23"/>
      <c r="CT66" s="23"/>
    </row>
    <row r="67" spans="97:98">
      <c r="CS67" s="23"/>
      <c r="CT67" s="23"/>
    </row>
    <row r="68" spans="97:98">
      <c r="CS68" s="23"/>
      <c r="CT68" s="23"/>
    </row>
    <row r="69" spans="97:98">
      <c r="CS69" s="23"/>
      <c r="CT69" s="23"/>
    </row>
    <row r="70" spans="97:98">
      <c r="CS70" s="23"/>
      <c r="CT70" s="23"/>
    </row>
    <row r="71" spans="97:98">
      <c r="CS71" s="23"/>
      <c r="CT71" s="23"/>
    </row>
    <row r="72" spans="97:98">
      <c r="CS72" s="23"/>
      <c r="CT72" s="23"/>
    </row>
    <row r="73" spans="97:98">
      <c r="CS73" s="23"/>
      <c r="CT73" s="23"/>
    </row>
    <row r="74" spans="97:98">
      <c r="CS74" s="23"/>
      <c r="CT74" s="23"/>
    </row>
    <row r="75" spans="97:98">
      <c r="CS75" s="23"/>
      <c r="CT75" s="23"/>
    </row>
    <row r="76" spans="97:98">
      <c r="CS76" s="23"/>
      <c r="CT76" s="23"/>
    </row>
    <row r="77" spans="97:98">
      <c r="CS77" s="23"/>
      <c r="CT77" s="23"/>
    </row>
    <row r="78" spans="97:98">
      <c r="CS78" s="23"/>
      <c r="CT78" s="23"/>
    </row>
    <row r="79" spans="97:98">
      <c r="CS79" s="23"/>
      <c r="CT79" s="23"/>
    </row>
    <row r="80" spans="97:98">
      <c r="CS80" s="23"/>
      <c r="CT80" s="23"/>
    </row>
    <row r="81" spans="97:98">
      <c r="CS81" s="23"/>
      <c r="CT81" s="23"/>
    </row>
    <row r="82" spans="97:98">
      <c r="CS82" s="23"/>
      <c r="CT82" s="23"/>
    </row>
    <row r="83" spans="97:98">
      <c r="CS83" s="23"/>
      <c r="CT83" s="23"/>
    </row>
    <row r="84" spans="97:98">
      <c r="CS84" s="23"/>
      <c r="CT84" s="23"/>
    </row>
    <row r="85" spans="97:98">
      <c r="CS85" s="23"/>
      <c r="CT85" s="23"/>
    </row>
    <row r="86" spans="97:98">
      <c r="CS86" s="23"/>
      <c r="CT86" s="23"/>
    </row>
    <row r="87" spans="97:98">
      <c r="CS87" s="23"/>
      <c r="CT87" s="23"/>
    </row>
    <row r="88" spans="97:98">
      <c r="CS88" s="23"/>
      <c r="CT88" s="23"/>
    </row>
    <row r="89" spans="97:98">
      <c r="CS89" s="23"/>
      <c r="CT89" s="23"/>
    </row>
    <row r="90" spans="97:98">
      <c r="CS90" s="23"/>
      <c r="CT90" s="23"/>
    </row>
    <row r="91" spans="97:98">
      <c r="CS91" s="23"/>
      <c r="CT91" s="23"/>
    </row>
    <row r="92" spans="97:98">
      <c r="CS92" s="23"/>
      <c r="CT92" s="23"/>
    </row>
    <row r="93" spans="97:98">
      <c r="CS93" s="23"/>
      <c r="CT93" s="23"/>
    </row>
    <row r="94" spans="97:98">
      <c r="CS94" s="23"/>
      <c r="CT94" s="23"/>
    </row>
    <row r="95" spans="97:98">
      <c r="CS95" s="23"/>
      <c r="CT95" s="23"/>
    </row>
    <row r="96" spans="97:98">
      <c r="CS96" s="23"/>
      <c r="CT96" s="23"/>
    </row>
    <row r="97" spans="97:98">
      <c r="CS97" s="23"/>
      <c r="CT97" s="23"/>
    </row>
    <row r="98" spans="97:98">
      <c r="CS98" s="23"/>
      <c r="CT98" s="23"/>
    </row>
    <row r="99" spans="97:98">
      <c r="CS99" s="23"/>
      <c r="CT99" s="23"/>
    </row>
    <row r="100" spans="97:98">
      <c r="CS100" s="23"/>
      <c r="CT100" s="23"/>
    </row>
    <row r="101" spans="97:98">
      <c r="CS101" s="23"/>
      <c r="CT101" s="23"/>
    </row>
    <row r="102" spans="97:98">
      <c r="CS102" s="23"/>
      <c r="CT102" s="23"/>
    </row>
    <row r="103" spans="97:98">
      <c r="CS103" s="23"/>
      <c r="CT103" s="23"/>
    </row>
    <row r="104" spans="97:98">
      <c r="CS104" s="23"/>
      <c r="CT104" s="23"/>
    </row>
    <row r="105" spans="97:98">
      <c r="CS105" s="23"/>
      <c r="CT105" s="23"/>
    </row>
    <row r="106" spans="97:98">
      <c r="CS106" s="23"/>
      <c r="CT106" s="23"/>
    </row>
    <row r="107" spans="97:98">
      <c r="CS107" s="23"/>
      <c r="CT107" s="23"/>
    </row>
    <row r="108" spans="97:98">
      <c r="CS108" s="23"/>
      <c r="CT108" s="23"/>
    </row>
    <row r="109" spans="97:98">
      <c r="CS109" s="23"/>
      <c r="CT109" s="23"/>
    </row>
    <row r="110" spans="97:98">
      <c r="CS110" s="23"/>
      <c r="CT110" s="23"/>
    </row>
    <row r="111" spans="97:98">
      <c r="CS111" s="23"/>
      <c r="CT111" s="23"/>
    </row>
    <row r="112" spans="97:98">
      <c r="CS112" s="23"/>
      <c r="CT112" s="23"/>
    </row>
    <row r="113" spans="97:98">
      <c r="CS113" s="23"/>
      <c r="CT113" s="23"/>
    </row>
    <row r="114" spans="97:98">
      <c r="CS114" s="23"/>
      <c r="CT114" s="23"/>
    </row>
    <row r="115" spans="97:98">
      <c r="CS115" s="23"/>
      <c r="CT115" s="23"/>
    </row>
    <row r="116" spans="97:98">
      <c r="CS116" s="23"/>
      <c r="CT116" s="23"/>
    </row>
    <row r="117" spans="97:98">
      <c r="CS117" s="23"/>
      <c r="CT117" s="23"/>
    </row>
    <row r="118" spans="97:98">
      <c r="CS118" s="23"/>
      <c r="CT118" s="23"/>
    </row>
    <row r="119" spans="97:98">
      <c r="CS119" s="23"/>
      <c r="CT119" s="23"/>
    </row>
    <row r="120" spans="97:98">
      <c r="CS120" s="23"/>
      <c r="CT120" s="23"/>
    </row>
    <row r="121" spans="97:98">
      <c r="CS121" s="23"/>
      <c r="CT121" s="23"/>
    </row>
    <row r="122" spans="97:98">
      <c r="CS122" s="23"/>
      <c r="CT122" s="23"/>
    </row>
    <row r="123" spans="97:98">
      <c r="CS123" s="23"/>
      <c r="CT123" s="23"/>
    </row>
    <row r="124" spans="97:98">
      <c r="CS124" s="23"/>
      <c r="CT124" s="23"/>
    </row>
    <row r="125" spans="97:98">
      <c r="CS125" s="23"/>
      <c r="CT125" s="23"/>
    </row>
    <row r="126" spans="97:98">
      <c r="CS126" s="23"/>
      <c r="CT126" s="23"/>
    </row>
    <row r="127" spans="97:98">
      <c r="CS127" s="23"/>
      <c r="CT127" s="23"/>
    </row>
    <row r="128" spans="97:98">
      <c r="CS128" s="23"/>
      <c r="CT128" s="23"/>
    </row>
    <row r="129" spans="97:98">
      <c r="CS129" s="23"/>
      <c r="CT129" s="23"/>
    </row>
    <row r="130" spans="97:98">
      <c r="CS130" s="23"/>
      <c r="CT130" s="23"/>
    </row>
    <row r="131" spans="97:98">
      <c r="CS131" s="23"/>
      <c r="CT131" s="23"/>
    </row>
    <row r="132" spans="97:98">
      <c r="CS132" s="23"/>
      <c r="CT132" s="23"/>
    </row>
    <row r="133" spans="97:98">
      <c r="CS133" s="23"/>
      <c r="CT133" s="23"/>
    </row>
    <row r="134" spans="97:98">
      <c r="CS134" s="23"/>
      <c r="CT134" s="23"/>
    </row>
    <row r="135" spans="97:98">
      <c r="CS135" s="23"/>
      <c r="CT135" s="23"/>
    </row>
    <row r="136" spans="97:98">
      <c r="CS136" s="23"/>
      <c r="CT136" s="23"/>
    </row>
    <row r="137" spans="97:98">
      <c r="CS137" s="23"/>
      <c r="CT137" s="23"/>
    </row>
    <row r="138" spans="97:98">
      <c r="CS138" s="23"/>
      <c r="CT138" s="23"/>
    </row>
    <row r="139" spans="97:98">
      <c r="CS139" s="23"/>
      <c r="CT139" s="23"/>
    </row>
    <row r="140" spans="97:98">
      <c r="CS140" s="23"/>
      <c r="CT140" s="23"/>
    </row>
    <row r="141" spans="97:98">
      <c r="CS141" s="23"/>
      <c r="CT141" s="23"/>
    </row>
    <row r="142" spans="97:98">
      <c r="CS142" s="23"/>
      <c r="CT142" s="23"/>
    </row>
    <row r="143" spans="97:98">
      <c r="CS143" s="23"/>
      <c r="CT143" s="23"/>
    </row>
    <row r="144" spans="97:98">
      <c r="CS144" s="23"/>
      <c r="CT144" s="23"/>
    </row>
    <row r="145" spans="97:98">
      <c r="CS145" s="23"/>
      <c r="CT145" s="23"/>
    </row>
    <row r="146" spans="97:98">
      <c r="CS146" s="23"/>
      <c r="CT146" s="23"/>
    </row>
    <row r="147" spans="97:98">
      <c r="CS147" s="23"/>
      <c r="CT147" s="23"/>
    </row>
    <row r="148" spans="97:98">
      <c r="CS148" s="23"/>
      <c r="CT148" s="23"/>
    </row>
    <row r="149" spans="97:98">
      <c r="CS149" s="23"/>
      <c r="CT149" s="23"/>
    </row>
    <row r="150" spans="97:98">
      <c r="CS150" s="23"/>
      <c r="CT150" s="23"/>
    </row>
    <row r="151" spans="97:98">
      <c r="CS151" s="23"/>
      <c r="CT151" s="23"/>
    </row>
    <row r="152" spans="97:98">
      <c r="CS152" s="23"/>
      <c r="CT152" s="23"/>
    </row>
    <row r="153" spans="97:98">
      <c r="CS153" s="23"/>
      <c r="CT153" s="23"/>
    </row>
    <row r="154" spans="97:98">
      <c r="CS154" s="23"/>
      <c r="CT154" s="23"/>
    </row>
    <row r="155" spans="97:98">
      <c r="CS155" s="23"/>
      <c r="CT155" s="23"/>
    </row>
  </sheetData>
  <phoneticPr fontId="141" type="noConversion"/>
  <conditionalFormatting sqref="T10:CA59">
    <cfRule type="expression" dxfId="0" priority="2">
      <formula>ISTEXT(T10)</formula>
    </cfRule>
  </conditionalFormatting>
  <dataValidations count="2">
    <dataValidation type="whole" allowBlank="1" showInputMessage="1" showErrorMessage="1" sqref="E5" xr:uid="{00000000-0002-0000-0200-000000000000}">
      <formula1>1</formula1>
      <formula2>50</formula2>
    </dataValidation>
    <dataValidation type="list" allowBlank="1" showInputMessage="1" showErrorMessage="1" sqref="C8" xr:uid="{00000000-0002-0000-0200-000001000000}">
      <formula1>"User Input, Automatic"</formula1>
    </dataValidation>
  </dataValidations>
  <pageMargins left="0.7" right="0.7" top="0.75" bottom="0.75" header="0.3" footer="0.3"/>
  <pageSetup orientation="portrait" r:id="rId1"/>
  <headerFooter>
    <oddFooter>&amp;L&amp;1#&amp;"Calibri"&amp;8&amp;K000000Sensitivity: Confidential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8681-7F99-48E3-8C43-9D8EA74984C4}">
  <dimension ref="A1"/>
  <sheetViews>
    <sheetView workbookViewId="0">
      <selection activeCell="H33" sqref="H33"/>
    </sheetView>
  </sheetViews>
  <sheetFormatPr defaultRowHeight="16.5"/>
  <sheetData/>
  <phoneticPr fontId="14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EAF373E6EC0C47AECC05DDE6E9A99F" ma:contentTypeVersion="2" ma:contentTypeDescription="Create a new document." ma:contentTypeScope="" ma:versionID="a1e7c1ceb862c8fdbc1a5cc3d62cd2c4">
  <xsd:schema xmlns:xsd="http://www.w3.org/2001/XMLSchema" xmlns:xs="http://www.w3.org/2001/XMLSchema" xmlns:p="http://schemas.microsoft.com/office/2006/metadata/properties" xmlns:ns2="759bca23-16e0-495f-b3b9-e1e39bd2c142" targetNamespace="http://schemas.microsoft.com/office/2006/metadata/properties" ma:root="true" ma:fieldsID="09bb805da4883aba3c9e0a9f6849ee05" ns2:_="">
    <xsd:import namespace="759bca23-16e0-495f-b3b9-e1e39bd2c1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bca23-16e0-495f-b3b9-e1e39bd2c1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0CFDA1-B7EC-47A7-A691-0510DD9A61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9A1829-FF7C-4E35-8C39-7D03A9359B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9bca23-16e0-495f-b3b9-e1e39bd2c1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AE0D61-27E1-44F8-B87E-BC3B374AAC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Instructions</vt:lpstr>
      <vt:lpstr>Valuation</vt:lpstr>
      <vt:lpstr>Peers</vt:lpstr>
      <vt:lpstr>Sheet1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Jung, Sang-Jee (KR/Deal Adv1)</cp:lastModifiedBy>
  <dcterms:created xsi:type="dcterms:W3CDTF">2014-11-25T02:58:14Z</dcterms:created>
  <dcterms:modified xsi:type="dcterms:W3CDTF">2023-10-09T05:52:48Z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0cf5d0-3195-495b-8e47-6fd80127629b_Enabled">
    <vt:lpwstr>True</vt:lpwstr>
  </property>
  <property fmtid="{D5CDD505-2E9C-101B-9397-08002B2CF9AE}" pid="3" name="MSIP_Label_160cf5d0-3195-495b-8e47-6fd80127629b_SiteId">
    <vt:lpwstr>62ccb864-6a1a-4b5d-8e1c-397dec1a8258</vt:lpwstr>
  </property>
  <property fmtid="{D5CDD505-2E9C-101B-9397-08002B2CF9AE}" pid="4" name="MSIP_Label_160cf5d0-3195-495b-8e47-6fd80127629b_Owner">
    <vt:lpwstr>eric.havrilla@thomsonreuters.com</vt:lpwstr>
  </property>
  <property fmtid="{D5CDD505-2E9C-101B-9397-08002B2CF9AE}" pid="5" name="MSIP_Label_160cf5d0-3195-495b-8e47-6fd80127629b_SetDate">
    <vt:lpwstr>2019-08-22T17:51:51.8077476Z</vt:lpwstr>
  </property>
  <property fmtid="{D5CDD505-2E9C-101B-9397-08002B2CF9AE}" pid="6" name="MSIP_Label_160cf5d0-3195-495b-8e47-6fd80127629b_Name">
    <vt:lpwstr>Confidential</vt:lpwstr>
  </property>
  <property fmtid="{D5CDD505-2E9C-101B-9397-08002B2CF9AE}" pid="7" name="MSIP_Label_160cf5d0-3195-495b-8e47-6fd80127629b_Application">
    <vt:lpwstr>Microsoft Azure Information Protection</vt:lpwstr>
  </property>
  <property fmtid="{D5CDD505-2E9C-101B-9397-08002B2CF9AE}" pid="8" name="MSIP_Label_160cf5d0-3195-495b-8e47-6fd80127629b_Extended_MSFT_Method">
    <vt:lpwstr>Automatic</vt:lpwstr>
  </property>
  <property fmtid="{D5CDD505-2E9C-101B-9397-08002B2CF9AE}" pid="9" name="Sensitivity">
    <vt:lpwstr>Confidential</vt:lpwstr>
  </property>
  <property fmtid="{D5CDD505-2E9C-101B-9397-08002B2CF9AE}" pid="10" name="ContentTypeId">
    <vt:lpwstr>0x0101005CEAF373E6EC0C47AECC05DDE6E9A99F</vt:lpwstr>
  </property>
</Properties>
</file>