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volatileDependencies.xml" ContentType="application/vnd.openxmlformats-officedocument.spreadsheetml.volatileDependenc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defaultThemeVersion="124226"/>
  <mc:AlternateContent xmlns:mc="http://schemas.openxmlformats.org/markup-compatibility/2006">
    <mc:Choice Requires="x15">
      <x15ac:absPath xmlns:x15ac="http://schemas.microsoft.com/office/spreadsheetml/2010/11/ac" url="https://onedrive-global.kpmg.com/personal/sjung15_kr_kpmg_com/Documents/바탕 화면/업무/Refinitiv/"/>
    </mc:Choice>
  </mc:AlternateContent>
  <xr:revisionPtr revIDLastSave="34663" documentId="8_{22BCEBC9-5F05-4D30-8D07-46568B0DCAFD}" xr6:coauthVersionLast="47" xr6:coauthVersionMax="47" xr10:uidLastSave="{B72C9464-CD51-41B6-9A33-F6CB5B3597ED}"/>
  <bookViews>
    <workbookView xWindow="-120" yWindow="-120" windowWidth="28110" windowHeight="16440" activeTab="3" xr2:uid="{00000000-000D-0000-FFFF-FFFF00000000}"/>
  </bookViews>
  <sheets>
    <sheet name="Instructions" sheetId="4" r:id="rId1"/>
    <sheet name="Valuation" sheetId="1" r:id="rId2"/>
    <sheet name="Peers" sheetId="5" r:id="rId3"/>
    <sheet name="Peers_customized" sheetId="13" r:id="rId4"/>
    <sheet name="Index" sheetId="12" r:id="rId5"/>
    <sheet name="Sheet3" sheetId="7" r:id="rId6"/>
  </sheets>
  <definedNames>
    <definedName name="Americas">#REF!</definedName>
    <definedName name="Asia">#REF!</definedName>
    <definedName name="Asia_code">#REF!</definedName>
    <definedName name="Geograph_code">표6[Geography_code]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5" i="12" l="1"/>
  <c r="F5" i="13" s="1"/>
  <c r="J5" i="13" s="1"/>
  <c r="J4" i="13"/>
  <c r="D60" i="13"/>
  <c r="AT60" i="13" s="1"/>
  <c r="D59" i="13"/>
  <c r="V59" i="13" s="1"/>
  <c r="D58" i="13"/>
  <c r="AT58" i="13" s="1"/>
  <c r="D57" i="13"/>
  <c r="V57" i="13" s="1"/>
  <c r="D56" i="13"/>
  <c r="AT56" i="13" s="1"/>
  <c r="D55" i="13"/>
  <c r="V55" i="13" s="1"/>
  <c r="D54" i="13"/>
  <c r="AT54" i="13" s="1"/>
  <c r="D53" i="13"/>
  <c r="R53" i="13" s="1"/>
  <c r="D52" i="13"/>
  <c r="R52" i="13" s="1"/>
  <c r="D51" i="13"/>
  <c r="R51" i="13" s="1"/>
  <c r="D50" i="13"/>
  <c r="R50" i="13" s="1"/>
  <c r="D49" i="13"/>
  <c r="R49" i="13" s="1"/>
  <c r="D48" i="13"/>
  <c r="R48" i="13" s="1"/>
  <c r="D47" i="13"/>
  <c r="R47" i="13" s="1"/>
  <c r="D46" i="13"/>
  <c r="R46" i="13" s="1"/>
  <c r="D45" i="13"/>
  <c r="R45" i="13" s="1"/>
  <c r="D44" i="13"/>
  <c r="Y44" i="13" s="1"/>
  <c r="D43" i="13"/>
  <c r="Q43" i="13" s="1"/>
  <c r="D42" i="13"/>
  <c r="Q42" i="13" s="1"/>
  <c r="D41" i="13"/>
  <c r="Q41" i="13" s="1"/>
  <c r="D40" i="13"/>
  <c r="Q40" i="13" s="1"/>
  <c r="D39" i="13"/>
  <c r="Q39" i="13" s="1"/>
  <c r="D38" i="13"/>
  <c r="Q38" i="13" s="1"/>
  <c r="D37" i="13"/>
  <c r="Q37" i="13" s="1"/>
  <c r="D36" i="13"/>
  <c r="Q36" i="13" s="1"/>
  <c r="D35" i="13"/>
  <c r="Q35" i="13" s="1"/>
  <c r="D34" i="13"/>
  <c r="Q34" i="13" s="1"/>
  <c r="D33" i="13"/>
  <c r="Q33" i="13" s="1"/>
  <c r="D32" i="13"/>
  <c r="Q32" i="13" s="1"/>
  <c r="D31" i="13"/>
  <c r="Q31" i="13" s="1"/>
  <c r="D30" i="13"/>
  <c r="Q30" i="13" s="1"/>
  <c r="D29" i="13"/>
  <c r="Q29" i="13" s="1"/>
  <c r="D28" i="13"/>
  <c r="Q28" i="13" s="1"/>
  <c r="D27" i="13"/>
  <c r="Q27" i="13" s="1"/>
  <c r="D26" i="13"/>
  <c r="Q26" i="13" s="1"/>
  <c r="D25" i="13"/>
  <c r="Q25" i="13" s="1"/>
  <c r="D24" i="13"/>
  <c r="Q24" i="13" s="1"/>
  <c r="D23" i="13"/>
  <c r="Q23" i="13" s="1"/>
  <c r="D22" i="13"/>
  <c r="Q22" i="13" s="1"/>
  <c r="D21" i="13"/>
  <c r="Q21" i="13" s="1"/>
  <c r="D20" i="13"/>
  <c r="Q20" i="13" s="1"/>
  <c r="D19" i="13"/>
  <c r="Q19" i="13" s="1"/>
  <c r="D18" i="13"/>
  <c r="Q18" i="13" s="1"/>
  <c r="D17" i="13"/>
  <c r="Q17" i="13" s="1"/>
  <c r="D16" i="13"/>
  <c r="Q16" i="13" s="1"/>
  <c r="D15" i="13"/>
  <c r="Q15" i="13" s="1"/>
  <c r="D14" i="13"/>
  <c r="Q14" i="13" s="1"/>
  <c r="D13" i="13"/>
  <c r="Q13" i="13" s="1"/>
  <c r="D12" i="13"/>
  <c r="Q12" i="13" s="1"/>
  <c r="AH10" i="13" a="1"/>
  <c r="AH10" i="13" s="1"/>
  <c r="AG10" i="13" a="1"/>
  <c r="AG10" i="13" s="1"/>
  <c r="AD10" i="13" a="1"/>
  <c r="AD10" i="13" s="1"/>
  <c r="AC10" i="13" a="1"/>
  <c r="AC10" i="13" s="1"/>
  <c r="D9" i="13"/>
  <c r="D9" i="12"/>
  <c r="D8" i="12"/>
  <c r="D7" i="12"/>
  <c r="D6" i="12"/>
  <c r="D5" i="12"/>
  <c r="D59" i="5"/>
  <c r="AT59" i="5" s="1"/>
  <c r="D58" i="5"/>
  <c r="AT58" i="5" s="1"/>
  <c r="D57" i="5"/>
  <c r="AT57" i="5" s="1"/>
  <c r="D56" i="5"/>
  <c r="AT56" i="5" s="1"/>
  <c r="D55" i="5"/>
  <c r="AT55" i="5" s="1"/>
  <c r="D54" i="5"/>
  <c r="AT54" i="5" s="1"/>
  <c r="D53" i="5"/>
  <c r="AT53" i="5" s="1"/>
  <c r="D52" i="5"/>
  <c r="R52" i="5" s="1"/>
  <c r="D51" i="5"/>
  <c r="R51" i="5" s="1"/>
  <c r="D50" i="5"/>
  <c r="R50" i="5" s="1"/>
  <c r="D49" i="5"/>
  <c r="R49" i="5" s="1"/>
  <c r="D48" i="5"/>
  <c r="R48" i="5" s="1"/>
  <c r="D47" i="5"/>
  <c r="R47" i="5" s="1"/>
  <c r="D46" i="5"/>
  <c r="R46" i="5" s="1"/>
  <c r="D45" i="5"/>
  <c r="R45" i="5" s="1"/>
  <c r="D44" i="5"/>
  <c r="R44" i="5" s="1"/>
  <c r="D43" i="5"/>
  <c r="AT43" i="5" s="1"/>
  <c r="D42" i="5"/>
  <c r="Q42" i="5" s="1"/>
  <c r="D41" i="5"/>
  <c r="Q41" i="5" s="1"/>
  <c r="D40" i="5"/>
  <c r="Q40" i="5" s="1"/>
  <c r="D39" i="5"/>
  <c r="Q39" i="5" s="1"/>
  <c r="D38" i="5"/>
  <c r="Q38" i="5" s="1"/>
  <c r="D37" i="5"/>
  <c r="Q37" i="5" s="1"/>
  <c r="D36" i="5"/>
  <c r="Q36" i="5" s="1"/>
  <c r="D35" i="5"/>
  <c r="Q35" i="5" s="1"/>
  <c r="D34" i="5"/>
  <c r="Q34" i="5" s="1"/>
  <c r="D33" i="5"/>
  <c r="Q33" i="5" s="1"/>
  <c r="D32" i="5"/>
  <c r="Q32" i="5" s="1"/>
  <c r="D31" i="5"/>
  <c r="Q31" i="5" s="1"/>
  <c r="D30" i="5"/>
  <c r="Q30" i="5" s="1"/>
  <c r="D29" i="5"/>
  <c r="Q29" i="5" s="1"/>
  <c r="D28" i="5"/>
  <c r="Q28" i="5" s="1"/>
  <c r="D27" i="5"/>
  <c r="Q27" i="5" s="1"/>
  <c r="D26" i="5"/>
  <c r="Q26" i="5" s="1"/>
  <c r="D25" i="5"/>
  <c r="Q25" i="5" s="1"/>
  <c r="D24" i="5"/>
  <c r="Q24" i="5" s="1"/>
  <c r="D23" i="5"/>
  <c r="Q23" i="5" s="1"/>
  <c r="D22" i="5"/>
  <c r="Q22" i="5" s="1"/>
  <c r="D21" i="5"/>
  <c r="Q21" i="5" s="1"/>
  <c r="D20" i="5"/>
  <c r="Q20" i="5" s="1"/>
  <c r="D19" i="5"/>
  <c r="Q19" i="5" s="1"/>
  <c r="D18" i="5"/>
  <c r="Q18" i="5" s="1"/>
  <c r="D17" i="5"/>
  <c r="Q17" i="5" s="1"/>
  <c r="D16" i="5"/>
  <c r="Q16" i="5" s="1"/>
  <c r="D15" i="5"/>
  <c r="Q15" i="5" s="1"/>
  <c r="D14" i="5"/>
  <c r="Q14" i="5" s="1"/>
  <c r="D13" i="5"/>
  <c r="Q13" i="5" s="1"/>
  <c r="D12" i="5"/>
  <c r="Q12" i="5" s="1"/>
  <c r="D11" i="5"/>
  <c r="Q11" i="5" s="1"/>
  <c r="AH9" i="5" a="1"/>
  <c r="AH9" i="5" s="1"/>
  <c r="AG9" i="5" a="1"/>
  <c r="AG9" i="5" s="1"/>
  <c r="AD9" i="5" a="1"/>
  <c r="AD9" i="5" s="1"/>
  <c r="AC9" i="5" a="1"/>
  <c r="AC9" i="5" s="1"/>
  <c r="D8" i="5"/>
  <c r="G8" i="5"/>
  <c r="BE9" i="13"/>
  <c r="BD9" i="13"/>
  <c r="E9" i="13"/>
  <c r="AO8" i="5"/>
  <c r="F8" i="5"/>
  <c r="AQ8" i="5"/>
  <c r="AM9" i="13"/>
  <c r="AO9" i="13"/>
  <c r="BC8" i="5"/>
  <c r="AQ9" i="13"/>
  <c r="CD5" i="5"/>
  <c r="G9" i="13"/>
  <c r="AP8" i="5"/>
  <c r="AN9" i="13"/>
  <c r="AJ8" i="5"/>
  <c r="F9" i="13"/>
  <c r="E8" i="5"/>
  <c r="AM8" i="5"/>
  <c r="AP9" i="13"/>
  <c r="AJ9" i="13"/>
  <c r="AN8" i="5"/>
  <c r="BC9" i="13"/>
  <c r="BE8" i="5"/>
  <c r="BD8" i="5"/>
  <c r="CD6" i="5" l="1"/>
  <c r="AT27" i="13"/>
  <c r="R34" i="13"/>
  <c r="AT20" i="13"/>
  <c r="R40" i="13"/>
  <c r="AT28" i="13"/>
  <c r="R42" i="13"/>
  <c r="J3" i="13"/>
  <c r="V56" i="13"/>
  <c r="R31" i="13"/>
  <c r="U57" i="13"/>
  <c r="AT39" i="13"/>
  <c r="AT22" i="13"/>
  <c r="AT35" i="13"/>
  <c r="R39" i="13"/>
  <c r="AT43" i="13"/>
  <c r="AT31" i="13"/>
  <c r="AT36" i="13"/>
  <c r="AT23" i="13"/>
  <c r="R38" i="13"/>
  <c r="R55" i="13"/>
  <c r="V58" i="13"/>
  <c r="AT38" i="13"/>
  <c r="U55" i="13"/>
  <c r="AT30" i="13"/>
  <c r="Y55" i="13"/>
  <c r="AT12" i="13"/>
  <c r="AT16" i="13"/>
  <c r="AT13" i="13"/>
  <c r="AT17" i="13"/>
  <c r="AT26" i="13"/>
  <c r="AT34" i="13"/>
  <c r="R37" i="13"/>
  <c r="AT42" i="13"/>
  <c r="V54" i="13"/>
  <c r="Q59" i="13"/>
  <c r="AT21" i="13"/>
  <c r="AT29" i="13"/>
  <c r="R32" i="13"/>
  <c r="AT37" i="13"/>
  <c r="Q57" i="13"/>
  <c r="R59" i="13"/>
  <c r="AT14" i="13"/>
  <c r="AT18" i="13"/>
  <c r="AT24" i="13"/>
  <c r="AT32" i="13"/>
  <c r="R35" i="13"/>
  <c r="AT40" i="13"/>
  <c r="R43" i="13"/>
  <c r="Q55" i="13"/>
  <c r="R57" i="13"/>
  <c r="U59" i="13"/>
  <c r="Y59" i="13"/>
  <c r="AT15" i="13"/>
  <c r="AT19" i="13"/>
  <c r="R33" i="13"/>
  <c r="R41" i="13"/>
  <c r="Y57" i="13"/>
  <c r="K3" i="13"/>
  <c r="AT25" i="13"/>
  <c r="AT33" i="13"/>
  <c r="R36" i="13"/>
  <c r="AT41" i="13"/>
  <c r="R44" i="13"/>
  <c r="V60" i="13"/>
  <c r="Z44" i="13"/>
  <c r="U54" i="13"/>
  <c r="Z55" i="13"/>
  <c r="U56" i="13"/>
  <c r="Z57" i="13"/>
  <c r="U58" i="13"/>
  <c r="Z59" i="13"/>
  <c r="U60" i="13"/>
  <c r="Q44" i="13"/>
  <c r="AT44" i="13"/>
  <c r="AT45" i="13"/>
  <c r="AT46" i="13"/>
  <c r="AT47" i="13"/>
  <c r="AT48" i="13"/>
  <c r="AT49" i="13"/>
  <c r="AT50" i="13"/>
  <c r="AT51" i="13"/>
  <c r="AT52" i="13"/>
  <c r="AT53" i="13"/>
  <c r="Y54" i="13"/>
  <c r="AT55" i="13"/>
  <c r="Y56" i="13"/>
  <c r="AT57" i="13"/>
  <c r="Y58" i="13"/>
  <c r="AT59" i="13"/>
  <c r="Y60" i="13"/>
  <c r="Z54" i="13"/>
  <c r="Z56" i="13"/>
  <c r="Z58" i="13"/>
  <c r="Z60" i="13"/>
  <c r="Q45" i="13"/>
  <c r="Q46" i="13"/>
  <c r="Q47" i="13"/>
  <c r="Q48" i="13"/>
  <c r="Q49" i="13"/>
  <c r="Q50" i="13"/>
  <c r="Q51" i="13"/>
  <c r="Q52" i="13"/>
  <c r="Q53" i="13"/>
  <c r="Q54" i="13"/>
  <c r="Q56" i="13"/>
  <c r="Q58" i="13"/>
  <c r="Q60" i="13"/>
  <c r="R54" i="13"/>
  <c r="R56" i="13"/>
  <c r="R58" i="13"/>
  <c r="R60" i="13"/>
  <c r="Q54" i="5"/>
  <c r="Y54" i="5"/>
  <c r="AT41" i="5"/>
  <c r="R41" i="5"/>
  <c r="R37" i="5"/>
  <c r="V57" i="5"/>
  <c r="R33" i="5"/>
  <c r="AT33" i="5"/>
  <c r="Q58" i="5"/>
  <c r="AT38" i="5"/>
  <c r="V55" i="5"/>
  <c r="Y58" i="5"/>
  <c r="AT30" i="5"/>
  <c r="AT22" i="5"/>
  <c r="AT35" i="5"/>
  <c r="R39" i="5"/>
  <c r="Q56" i="5"/>
  <c r="V59" i="5"/>
  <c r="AT27" i="5"/>
  <c r="R31" i="5"/>
  <c r="V53" i="5"/>
  <c r="Y56" i="5"/>
  <c r="R38" i="5"/>
  <c r="AT25" i="5"/>
  <c r="R30" i="5"/>
  <c r="AT13" i="5"/>
  <c r="AT17" i="5"/>
  <c r="AT23" i="5"/>
  <c r="AT31" i="5"/>
  <c r="R34" i="5"/>
  <c r="AT39" i="5"/>
  <c r="R42" i="5"/>
  <c r="AT14" i="5"/>
  <c r="AT18" i="5"/>
  <c r="AT21" i="5"/>
  <c r="AT29" i="5"/>
  <c r="R32" i="5"/>
  <c r="AT37" i="5"/>
  <c r="R40" i="5"/>
  <c r="R54" i="5"/>
  <c r="R56" i="5"/>
  <c r="R58" i="5"/>
  <c r="AT26" i="5"/>
  <c r="AT34" i="5"/>
  <c r="AT42" i="5"/>
  <c r="AT24" i="5"/>
  <c r="AT32" i="5"/>
  <c r="R35" i="5"/>
  <c r="AT40" i="5"/>
  <c r="R43" i="5"/>
  <c r="U54" i="5"/>
  <c r="U56" i="5"/>
  <c r="U58" i="5"/>
  <c r="AT20" i="5"/>
  <c r="AT28" i="5"/>
  <c r="AT36" i="5"/>
  <c r="AT11" i="5"/>
  <c r="AT15" i="5"/>
  <c r="AT19" i="5"/>
  <c r="Y43" i="5"/>
  <c r="V54" i="5"/>
  <c r="V56" i="5"/>
  <c r="V58" i="5"/>
  <c r="AT12" i="5"/>
  <c r="AT16" i="5"/>
  <c r="R36" i="5"/>
  <c r="Z43" i="5"/>
  <c r="U53" i="5"/>
  <c r="Z54" i="5"/>
  <c r="U55" i="5"/>
  <c r="Z56" i="5"/>
  <c r="U57" i="5"/>
  <c r="Z58" i="5"/>
  <c r="U59" i="5"/>
  <c r="Q43" i="5"/>
  <c r="AT44" i="5"/>
  <c r="AT45" i="5"/>
  <c r="AT46" i="5"/>
  <c r="AT47" i="5"/>
  <c r="AT48" i="5"/>
  <c r="AT49" i="5"/>
  <c r="AT50" i="5"/>
  <c r="AT51" i="5"/>
  <c r="AT52" i="5"/>
  <c r="Y53" i="5"/>
  <c r="Y55" i="5"/>
  <c r="Y57" i="5"/>
  <c r="Y59" i="5"/>
  <c r="Z53" i="5"/>
  <c r="Z55" i="5"/>
  <c r="Z57" i="5"/>
  <c r="Z59" i="5"/>
  <c r="Q44" i="5"/>
  <c r="Q45" i="5"/>
  <c r="Q46" i="5"/>
  <c r="Q47" i="5"/>
  <c r="Q48" i="5"/>
  <c r="Q49" i="5"/>
  <c r="Q50" i="5"/>
  <c r="Q51" i="5"/>
  <c r="Q52" i="5"/>
  <c r="Q53" i="5"/>
  <c r="Q55" i="5"/>
  <c r="Q57" i="5"/>
  <c r="Q59" i="5"/>
  <c r="R53" i="5"/>
  <c r="R55" i="5"/>
  <c r="R57" i="5"/>
  <c r="R59" i="5"/>
  <c r="AD5" i="1"/>
  <c r="K50" i="1"/>
  <c r="F43" i="1"/>
  <c r="J50" i="1"/>
  <c r="H36" i="1"/>
  <c r="CD10" i="5"/>
  <c r="E7" i="1"/>
  <c r="I50" i="1"/>
  <c r="I54" i="1"/>
  <c r="F54" i="1"/>
  <c r="I62" i="1"/>
  <c r="G50" i="1"/>
  <c r="E11" i="1"/>
  <c r="F3" i="13"/>
  <c r="I56" i="1"/>
  <c r="G54" i="1"/>
  <c r="I58" i="1"/>
  <c r="I60" i="1"/>
  <c r="H54" i="1"/>
  <c r="E36" i="1"/>
  <c r="E10" i="1"/>
  <c r="G36" i="1"/>
  <c r="G3" i="13"/>
  <c r="E54" i="1"/>
  <c r="D14" i="1"/>
  <c r="H50" i="1"/>
  <c r="D50" i="1"/>
  <c r="F42" i="1"/>
  <c r="E9" i="1"/>
  <c r="E22" i="1"/>
  <c r="I36" i="1"/>
  <c r="F22" i="1"/>
  <c r="E43" i="1"/>
  <c r="V10" i="13" l="1" a="1"/>
  <c r="V10" i="13" s="1"/>
  <c r="Y10" i="13" a="1"/>
  <c r="Y10" i="13" s="1"/>
  <c r="U10" i="13" a="1"/>
  <c r="U10" i="13" s="1"/>
  <c r="Z10" i="13" a="1"/>
  <c r="Z10" i="13" s="1"/>
  <c r="V9" i="5" a="1"/>
  <c r="V9" i="5" s="1"/>
  <c r="D10" i="5"/>
  <c r="Y9" i="5" a="1"/>
  <c r="Y9" i="5" s="1"/>
  <c r="U9" i="5" a="1"/>
  <c r="U9" i="5" s="1"/>
  <c r="Z9" i="5" a="1"/>
  <c r="Z9" i="5" s="1"/>
  <c r="E50" i="1"/>
  <c r="F50" i="1"/>
  <c r="F36" i="1"/>
  <c r="F20" i="1"/>
  <c r="F8" i="1"/>
  <c r="E20" i="1"/>
  <c r="BK10" i="5"/>
  <c r="F62" i="1"/>
  <c r="BJ9" i="13"/>
  <c r="BD10" i="5"/>
  <c r="AR10" i="5"/>
  <c r="E23" i="1"/>
  <c r="E10" i="5"/>
  <c r="F26" i="1"/>
  <c r="F41" i="1"/>
  <c r="F27" i="1"/>
  <c r="K52" i="1"/>
  <c r="F21" i="1"/>
  <c r="AQ10" i="5"/>
  <c r="AJ10" i="5"/>
  <c r="BC10" i="5"/>
  <c r="E21" i="1"/>
  <c r="AL10" i="5"/>
  <c r="BI10" i="5"/>
  <c r="G62" i="1"/>
  <c r="BK9" i="13"/>
  <c r="E28" i="1"/>
  <c r="BJ8" i="5"/>
  <c r="E41" i="1"/>
  <c r="AN10" i="5"/>
  <c r="BE10" i="5"/>
  <c r="E45" i="1"/>
  <c r="F23" i="1"/>
  <c r="E42" i="1"/>
  <c r="F28" i="1"/>
  <c r="AS10" i="5"/>
  <c r="E27" i="1"/>
  <c r="BI9" i="13"/>
  <c r="BK8" i="5"/>
  <c r="G10" i="5"/>
  <c r="E40" i="1"/>
  <c r="AM10" i="5"/>
  <c r="AO10" i="5"/>
  <c r="E26" i="1"/>
  <c r="AK10" i="5"/>
  <c r="H62" i="1"/>
  <c r="BJ10" i="5"/>
  <c r="E62" i="1"/>
  <c r="F40" i="1"/>
  <c r="BI8" i="5"/>
  <c r="F10" i="5"/>
  <c r="H6" i="13" l="1"/>
  <c r="J2" i="13" s="1"/>
  <c r="H5" i="5"/>
  <c r="BJ9" i="5" a="1"/>
  <c r="BJ9" i="5" s="1"/>
  <c r="AL9" i="5" a="1"/>
  <c r="AL9" i="5" s="1"/>
  <c r="BI9" i="5" a="1"/>
  <c r="BI9" i="5" s="1"/>
  <c r="AS9" i="5" a="1"/>
  <c r="AS9" i="5" s="1"/>
  <c r="AK9" i="5" a="1"/>
  <c r="AK9" i="5" s="1"/>
  <c r="AR9" i="5" a="1"/>
  <c r="AR9" i="5" s="1"/>
  <c r="AJ9" i="5" a="1"/>
  <c r="AJ9" i="5" s="1"/>
  <c r="AQ9" i="5" a="1"/>
  <c r="AQ9" i="5" s="1"/>
  <c r="BE9" i="5" a="1"/>
  <c r="BE9" i="5" s="1"/>
  <c r="AO9" i="5" a="1"/>
  <c r="AO9" i="5" s="1"/>
  <c r="BD9" i="5" a="1"/>
  <c r="BD9" i="5" s="1"/>
  <c r="AN9" i="5" a="1"/>
  <c r="AN9" i="5" s="1"/>
  <c r="BK9" i="5" a="1"/>
  <c r="BK9" i="5" s="1"/>
  <c r="BC9" i="5" a="1"/>
  <c r="BC9" i="5" s="1"/>
  <c r="AM9" i="5" a="1"/>
  <c r="AM9" i="5" s="1"/>
  <c r="R30" i="13"/>
  <c r="R25" i="13"/>
  <c r="R28" i="13"/>
  <c r="R27" i="13"/>
  <c r="R29" i="13"/>
  <c r="R24" i="13"/>
  <c r="R26" i="13"/>
  <c r="R21" i="13"/>
  <c r="R22" i="13"/>
  <c r="R23" i="13"/>
  <c r="AF53" i="13"/>
  <c r="AF59" i="13"/>
  <c r="BS9" i="13"/>
  <c r="AB39" i="13"/>
  <c r="AB30" i="5"/>
  <c r="T39" i="5"/>
  <c r="AF38" i="5"/>
  <c r="AB50" i="5"/>
  <c r="AB21" i="13"/>
  <c r="CD11" i="13"/>
  <c r="AV9" i="13"/>
  <c r="R15" i="13"/>
  <c r="X28" i="13"/>
  <c r="BB10" i="5"/>
  <c r="AB13" i="5"/>
  <c r="T22" i="5"/>
  <c r="AF21" i="5"/>
  <c r="AF51" i="5"/>
  <c r="X58" i="13"/>
  <c r="AF32" i="13"/>
  <c r="T28" i="13"/>
  <c r="AB17" i="13"/>
  <c r="H10" i="5"/>
  <c r="X29" i="5"/>
  <c r="R11" i="5"/>
  <c r="BP8" i="5"/>
  <c r="AF54" i="5"/>
  <c r="T46" i="13"/>
  <c r="AY9" i="13"/>
  <c r="BB9" i="13"/>
  <c r="AB34" i="13"/>
  <c r="AB35" i="5"/>
  <c r="X12" i="5"/>
  <c r="H8" i="5"/>
  <c r="AB43" i="5"/>
  <c r="BT10" i="5"/>
  <c r="X19" i="5"/>
  <c r="AB53" i="5"/>
  <c r="T17" i="5"/>
  <c r="AF49" i="13"/>
  <c r="AF26" i="13"/>
  <c r="T22" i="13"/>
  <c r="I9" i="13"/>
  <c r="X35" i="5"/>
  <c r="T59" i="13"/>
  <c r="AB49" i="13"/>
  <c r="AF27" i="13"/>
  <c r="T23" i="13"/>
  <c r="BL9" i="13"/>
  <c r="AX10" i="5"/>
  <c r="X34" i="5"/>
  <c r="R16" i="5"/>
  <c r="R8" i="5"/>
  <c r="H9" i="13"/>
  <c r="BV8" i="5"/>
  <c r="T53" i="13"/>
  <c r="AF57" i="13"/>
  <c r="AU9" i="13"/>
  <c r="AB38" i="13"/>
  <c r="AB31" i="5"/>
  <c r="T40" i="5"/>
  <c r="AF39" i="5"/>
  <c r="X50" i="5"/>
  <c r="W8" i="5"/>
  <c r="X45" i="13"/>
  <c r="AP10" i="5"/>
  <c r="X43" i="5"/>
  <c r="N8" i="5"/>
  <c r="T14" i="5"/>
  <c r="AF13" i="5"/>
  <c r="AF46" i="5"/>
  <c r="X56" i="13"/>
  <c r="AF40" i="13"/>
  <c r="T36" i="13"/>
  <c r="AB25" i="13"/>
  <c r="AU10" i="5"/>
  <c r="X21" i="5"/>
  <c r="AF58" i="5"/>
  <c r="T48" i="5"/>
  <c r="AF18" i="5"/>
  <c r="T45" i="13"/>
  <c r="BP9" i="13"/>
  <c r="X14" i="13"/>
  <c r="AB42" i="13"/>
  <c r="AB27" i="5"/>
  <c r="T36" i="5"/>
  <c r="AF35" i="5"/>
  <c r="X44" i="5"/>
  <c r="AB42" i="5"/>
  <c r="X11" i="5"/>
  <c r="AB56" i="5"/>
  <c r="AF48" i="13"/>
  <c r="AF34" i="13"/>
  <c r="T30" i="13"/>
  <c r="AB19" i="13"/>
  <c r="T35" i="5"/>
  <c r="T32" i="13"/>
  <c r="AB48" i="13"/>
  <c r="AF54" i="13"/>
  <c r="BX9" i="13"/>
  <c r="X19" i="13"/>
  <c r="R22" i="5"/>
  <c r="AB22" i="5"/>
  <c r="T31" i="5"/>
  <c r="AF30" i="5"/>
  <c r="AB52" i="5"/>
  <c r="X48" i="13"/>
  <c r="L10" i="5"/>
  <c r="AB51" i="13"/>
  <c r="AF15" i="13"/>
  <c r="BV9" i="13"/>
  <c r="X36" i="13"/>
  <c r="BH10" i="5"/>
  <c r="R9" i="13"/>
  <c r="R14" i="13"/>
  <c r="X27" i="13"/>
  <c r="BR10" i="5"/>
  <c r="AB14" i="5"/>
  <c r="T23" i="5"/>
  <c r="AF22" i="5"/>
  <c r="AB51" i="5"/>
  <c r="X46" i="13"/>
  <c r="AB40" i="5"/>
  <c r="AB60" i="13"/>
  <c r="AF23" i="13"/>
  <c r="T19" i="13"/>
  <c r="X55" i="13"/>
  <c r="J10" i="5"/>
  <c r="X38" i="5"/>
  <c r="L8" i="5"/>
  <c r="BZ8" i="5"/>
  <c r="AF47" i="5"/>
  <c r="AB44" i="13"/>
  <c r="AI9" i="13"/>
  <c r="O9" i="13"/>
  <c r="AB33" i="13"/>
  <c r="AB36" i="5"/>
  <c r="X13" i="5"/>
  <c r="AU8" i="5"/>
  <c r="T49" i="5"/>
  <c r="AF43" i="5"/>
  <c r="T52" i="13"/>
  <c r="AS9" i="13"/>
  <c r="X22" i="13"/>
  <c r="R20" i="5"/>
  <c r="AB19" i="5"/>
  <c r="T28" i="5"/>
  <c r="AF27" i="5"/>
  <c r="X53" i="5"/>
  <c r="AB34" i="5"/>
  <c r="T27" i="5"/>
  <c r="AF45" i="5"/>
  <c r="AF24" i="5"/>
  <c r="AF47" i="13"/>
  <c r="AF42" i="13"/>
  <c r="T38" i="13"/>
  <c r="AB27" i="13"/>
  <c r="T11" i="5"/>
  <c r="X33" i="13"/>
  <c r="AB47" i="13"/>
  <c r="AF43" i="13"/>
  <c r="T39" i="13"/>
  <c r="AB28" i="13"/>
  <c r="AB41" i="5"/>
  <c r="X18" i="5"/>
  <c r="AB58" i="5"/>
  <c r="AF55" i="5"/>
  <c r="R29" i="5"/>
  <c r="AE9" i="13"/>
  <c r="K9" i="13"/>
  <c r="R13" i="13"/>
  <c r="X26" i="13"/>
  <c r="BZ10" i="5"/>
  <c r="AB15" i="5"/>
  <c r="T24" i="5"/>
  <c r="AF23" i="5"/>
  <c r="X51" i="5"/>
  <c r="T56" i="5"/>
  <c r="AF55" i="13"/>
  <c r="X41" i="5"/>
  <c r="X50" i="13"/>
  <c r="AF13" i="13"/>
  <c r="BX10" i="5"/>
  <c r="T16" i="5"/>
  <c r="X46" i="5"/>
  <c r="T16" i="13"/>
  <c r="T60" i="13"/>
  <c r="X42" i="13"/>
  <c r="AY8" i="5"/>
  <c r="AB59" i="5"/>
  <c r="T44" i="13"/>
  <c r="T42" i="13"/>
  <c r="AB31" i="13"/>
  <c r="X15" i="5"/>
  <c r="AB49" i="5"/>
  <c r="T59" i="5"/>
  <c r="N9" i="13"/>
  <c r="R28" i="5"/>
  <c r="AF29" i="5"/>
  <c r="X60" i="13"/>
  <c r="BV10" i="5"/>
  <c r="T47" i="5"/>
  <c r="T37" i="13"/>
  <c r="X59" i="5"/>
  <c r="AF50" i="13"/>
  <c r="BF10" i="5"/>
  <c r="AF51" i="13"/>
  <c r="AF14" i="13"/>
  <c r="BN9" i="13"/>
  <c r="X35" i="13"/>
  <c r="BP10" i="5"/>
  <c r="AK8" i="5"/>
  <c r="T15" i="5"/>
  <c r="AF14" i="5"/>
  <c r="AB46" i="5"/>
  <c r="X52" i="13"/>
  <c r="BA8" i="5"/>
  <c r="AB58" i="13"/>
  <c r="AF31" i="13"/>
  <c r="T27" i="13"/>
  <c r="AB16" i="13"/>
  <c r="AW10" i="5"/>
  <c r="X30" i="5"/>
  <c r="R12" i="5"/>
  <c r="O8" i="5"/>
  <c r="BG8" i="5"/>
  <c r="X53" i="13"/>
  <c r="AZ9" i="13"/>
  <c r="X13" i="13"/>
  <c r="AB41" i="13"/>
  <c r="AB28" i="5"/>
  <c r="T37" i="5"/>
  <c r="AF36" i="5"/>
  <c r="T50" i="5"/>
  <c r="AF53" i="5"/>
  <c r="J9" i="13"/>
  <c r="R17" i="13"/>
  <c r="X30" i="13"/>
  <c r="BY10" i="5"/>
  <c r="AB11" i="5"/>
  <c r="T20" i="5"/>
  <c r="AF19" i="5"/>
  <c r="X45" i="5"/>
  <c r="AB26" i="5"/>
  <c r="T19" i="5"/>
  <c r="BG9" i="13"/>
  <c r="BR8" i="5"/>
  <c r="AF46" i="13"/>
  <c r="BO9" i="13"/>
  <c r="BR9" i="13"/>
  <c r="AB35" i="13"/>
  <c r="AF42" i="5"/>
  <c r="AB29" i="13"/>
  <c r="AB46" i="13"/>
  <c r="BW9" i="13"/>
  <c r="BZ9" i="13"/>
  <c r="AB36" i="13"/>
  <c r="AB33" i="5"/>
  <c r="T42" i="5"/>
  <c r="AF41" i="5"/>
  <c r="AV10" i="5"/>
  <c r="T51" i="13"/>
  <c r="AX9" i="13"/>
  <c r="X34" i="13"/>
  <c r="AS8" i="5"/>
  <c r="AF15" i="5"/>
  <c r="BN8" i="5"/>
  <c r="X25" i="5"/>
  <c r="AB16" i="5"/>
  <c r="T17" i="13"/>
  <c r="X40" i="5"/>
  <c r="X47" i="5"/>
  <c r="T40" i="13"/>
  <c r="T43" i="5"/>
  <c r="X20" i="13"/>
  <c r="T30" i="5"/>
  <c r="T20" i="13"/>
  <c r="BT8" i="5"/>
  <c r="AF41" i="13"/>
  <c r="AF56" i="5"/>
  <c r="T33" i="5"/>
  <c r="AF20" i="13"/>
  <c r="X42" i="5"/>
  <c r="AF40" i="5"/>
  <c r="X16" i="5"/>
  <c r="AB37" i="13"/>
  <c r="T54" i="5"/>
  <c r="AR9" i="13"/>
  <c r="X52" i="5"/>
  <c r="AF60" i="13"/>
  <c r="AF22" i="13"/>
  <c r="T18" i="13"/>
  <c r="X43" i="13"/>
  <c r="AI10" i="5"/>
  <c r="X39" i="5"/>
  <c r="AI8" i="5"/>
  <c r="I8" i="5"/>
  <c r="AB47" i="5"/>
  <c r="AF36" i="13"/>
  <c r="X17" i="5"/>
  <c r="AB56" i="13"/>
  <c r="AF39" i="13"/>
  <c r="T35" i="13"/>
  <c r="AB24" i="13"/>
  <c r="BS10" i="5"/>
  <c r="X22" i="5"/>
  <c r="J8" i="5"/>
  <c r="AF48" i="5"/>
  <c r="AB44" i="5"/>
  <c r="X54" i="13"/>
  <c r="AK9" i="13"/>
  <c r="X21" i="13"/>
  <c r="R25" i="5"/>
  <c r="AB20" i="5"/>
  <c r="T29" i="5"/>
  <c r="AF28" i="5"/>
  <c r="T52" i="5"/>
  <c r="T50" i="13"/>
  <c r="AF17" i="13"/>
  <c r="T13" i="13"/>
  <c r="X38" i="13"/>
  <c r="K10" i="5"/>
  <c r="X56" i="5"/>
  <c r="T12" i="5"/>
  <c r="AF11" i="5"/>
  <c r="X55" i="5"/>
  <c r="AB18" i="5"/>
  <c r="R17" i="5"/>
  <c r="R21" i="5"/>
  <c r="T44" i="5"/>
  <c r="AF45" i="13"/>
  <c r="T55" i="13"/>
  <c r="X15" i="13"/>
  <c r="AB43" i="13"/>
  <c r="AR8" i="5"/>
  <c r="BG10" i="5"/>
  <c r="AB45" i="13"/>
  <c r="T57" i="13"/>
  <c r="X16" i="13"/>
  <c r="R23" i="5"/>
  <c r="AB25" i="5"/>
  <c r="T34" i="5"/>
  <c r="AF33" i="5"/>
  <c r="X47" i="13"/>
  <c r="AF21" i="13"/>
  <c r="AY10" i="5"/>
  <c r="BL8" i="5"/>
  <c r="T25" i="5"/>
  <c r="AB59" i="13"/>
  <c r="AB38" i="5"/>
  <c r="CA8" i="5"/>
  <c r="X17" i="13"/>
  <c r="AB54" i="13"/>
  <c r="AB21" i="5"/>
  <c r="AF52" i="5"/>
  <c r="AF24" i="13"/>
  <c r="X37" i="5"/>
  <c r="T47" i="13"/>
  <c r="AB26" i="13"/>
  <c r="BW10" i="5"/>
  <c r="T14" i="13"/>
  <c r="T15" i="13"/>
  <c r="BW8" i="5"/>
  <c r="AB57" i="13"/>
  <c r="AB54" i="5"/>
  <c r="K8" i="5"/>
  <c r="AB20" i="13"/>
  <c r="X41" i="13"/>
  <c r="X18" i="13"/>
  <c r="T32" i="5"/>
  <c r="AF28" i="13"/>
  <c r="AF58" i="13"/>
  <c r="AF30" i="13"/>
  <c r="T26" i="13"/>
  <c r="AB15" i="13"/>
  <c r="BU10" i="5"/>
  <c r="X31" i="5"/>
  <c r="R13" i="5"/>
  <c r="AL8" i="5"/>
  <c r="BF8" i="5"/>
  <c r="BY9" i="13"/>
  <c r="R15" i="5"/>
  <c r="AF44" i="13"/>
  <c r="L9" i="13"/>
  <c r="T43" i="13"/>
  <c r="AB32" i="13"/>
  <c r="AB37" i="5"/>
  <c r="X14" i="5"/>
  <c r="BS8" i="5"/>
  <c r="AF49" i="5"/>
  <c r="AF44" i="5"/>
  <c r="BT9" i="13"/>
  <c r="R16" i="13"/>
  <c r="X29" i="13"/>
  <c r="M10" i="5"/>
  <c r="AB12" i="5"/>
  <c r="T21" i="5"/>
  <c r="AF20" i="5"/>
  <c r="T51" i="5"/>
  <c r="T49" i="13"/>
  <c r="AF25" i="13"/>
  <c r="T21" i="13"/>
  <c r="X59" i="13"/>
  <c r="BN10" i="5"/>
  <c r="X36" i="5"/>
  <c r="R18" i="5"/>
  <c r="BX8" i="5"/>
  <c r="X57" i="5"/>
  <c r="BY8" i="5"/>
  <c r="AF34" i="5"/>
  <c r="AB24" i="5"/>
  <c r="T57" i="5"/>
  <c r="AF52" i="13"/>
  <c r="BA9" i="13"/>
  <c r="X23" i="13"/>
  <c r="R24" i="5"/>
  <c r="AB55" i="5"/>
  <c r="T45" i="5"/>
  <c r="AB52" i="13"/>
  <c r="BQ9" i="13"/>
  <c r="X24" i="13"/>
  <c r="R26" i="5"/>
  <c r="AB17" i="5"/>
  <c r="T26" i="5"/>
  <c r="AF25" i="5"/>
  <c r="BU9" i="13"/>
  <c r="T41" i="5"/>
  <c r="T58" i="13"/>
  <c r="AF29" i="13"/>
  <c r="T25" i="13"/>
  <c r="AB14" i="13"/>
  <c r="I10" i="5"/>
  <c r="X32" i="5"/>
  <c r="R14" i="5"/>
  <c r="BB8" i="5"/>
  <c r="BH8" i="5"/>
  <c r="AB57" i="5"/>
  <c r="X25" i="13"/>
  <c r="BU8" i="5"/>
  <c r="R19" i="5"/>
  <c r="X20" i="5"/>
  <c r="M8" i="5"/>
  <c r="X39" i="13"/>
  <c r="AF19" i="13"/>
  <c r="BO10" i="5"/>
  <c r="R20" i="13"/>
  <c r="T41" i="13"/>
  <c r="AB39" i="5"/>
  <c r="S8" i="5"/>
  <c r="AF35" i="13"/>
  <c r="X26" i="5"/>
  <c r="T53" i="5"/>
  <c r="R27" i="5"/>
  <c r="AF31" i="5"/>
  <c r="AB32" i="5"/>
  <c r="AF56" i="13"/>
  <c r="AF38" i="13"/>
  <c r="T34" i="13"/>
  <c r="AB23" i="13"/>
  <c r="CA10" i="5"/>
  <c r="X23" i="5"/>
  <c r="AW8" i="5"/>
  <c r="AB48" i="5"/>
  <c r="AB45" i="5"/>
  <c r="T24" i="13"/>
  <c r="AF16" i="5"/>
  <c r="AB53" i="13"/>
  <c r="M9" i="13"/>
  <c r="CA9" i="13"/>
  <c r="AB40" i="13"/>
  <c r="AB29" i="5"/>
  <c r="T38" i="5"/>
  <c r="AF37" i="5"/>
  <c r="AF50" i="5"/>
  <c r="X51" i="13"/>
  <c r="AF16" i="13"/>
  <c r="AL9" i="13"/>
  <c r="X37" i="13"/>
  <c r="AZ10" i="5"/>
  <c r="X58" i="5"/>
  <c r="T13" i="5"/>
  <c r="AF12" i="5"/>
  <c r="T46" i="5"/>
  <c r="T48" i="13"/>
  <c r="AF33" i="13"/>
  <c r="T29" i="13"/>
  <c r="AB18" i="13"/>
  <c r="BM10" i="5"/>
  <c r="X28" i="5"/>
  <c r="T58" i="5"/>
  <c r="AZ8" i="5"/>
  <c r="S9" i="13"/>
  <c r="X54" i="5"/>
  <c r="AF26" i="5"/>
  <c r="X33" i="5"/>
  <c r="BH9" i="13"/>
  <c r="AW9" i="13"/>
  <c r="R18" i="13"/>
  <c r="X31" i="13"/>
  <c r="BQ10" i="5"/>
  <c r="X49" i="13"/>
  <c r="BF9" i="13"/>
  <c r="BM9" i="13"/>
  <c r="R19" i="13"/>
  <c r="X32" i="13"/>
  <c r="BA10" i="5"/>
  <c r="BQ8" i="5"/>
  <c r="T18" i="5"/>
  <c r="AF17" i="5"/>
  <c r="AB55" i="13"/>
  <c r="BO8" i="5"/>
  <c r="T56" i="13"/>
  <c r="AF37" i="13"/>
  <c r="T33" i="13"/>
  <c r="AB22" i="13"/>
  <c r="O10" i="5"/>
  <c r="X24" i="5"/>
  <c r="BM8" i="5"/>
  <c r="X48" i="5"/>
  <c r="AE8" i="5"/>
  <c r="AF59" i="5"/>
  <c r="AB13" i="13"/>
  <c r="AF32" i="5"/>
  <c r="X57" i="13"/>
  <c r="N10" i="5"/>
  <c r="X27" i="5"/>
  <c r="AF18" i="13"/>
  <c r="AB50" i="13"/>
  <c r="X40" i="13"/>
  <c r="AX8" i="5"/>
  <c r="X44" i="13"/>
  <c r="AB30" i="13"/>
  <c r="X49" i="5"/>
  <c r="AF57" i="5"/>
  <c r="T31" i="13"/>
  <c r="BL10" i="5"/>
  <c r="AV8" i="5"/>
  <c r="T54" i="13"/>
  <c r="AB23" i="5"/>
  <c r="R10" i="5"/>
  <c r="T55" i="5"/>
  <c r="W9" i="13"/>
  <c r="AA9" i="13"/>
  <c r="AA10" i="5"/>
  <c r="S10" i="5"/>
  <c r="W10" i="5"/>
  <c r="AE10" i="5"/>
  <c r="D11" i="13" l="1"/>
  <c r="Q9" i="13"/>
  <c r="AT9" i="13"/>
  <c r="Q8" i="5"/>
  <c r="AT8" i="5"/>
  <c r="N9" i="5" a="1"/>
  <c r="N9" i="5" s="1"/>
  <c r="AU9" i="5" a="1"/>
  <c r="AU9" i="5" s="1"/>
  <c r="CA9" i="5" a="1"/>
  <c r="CA9" i="5" s="1"/>
  <c r="O9" i="5" a="1"/>
  <c r="O9" i="5" s="1"/>
  <c r="AV9" i="5" a="1"/>
  <c r="AV9" i="5" s="1"/>
  <c r="BL9" i="5" a="1"/>
  <c r="BL9" i="5" s="1"/>
  <c r="BT9" i="5" a="1"/>
  <c r="BT9" i="5" s="1"/>
  <c r="BM9" i="5" a="1"/>
  <c r="BM9" i="5" s="1"/>
  <c r="AW9" i="5" a="1"/>
  <c r="AW9" i="5" s="1"/>
  <c r="BU9" i="5" a="1"/>
  <c r="BU9" i="5" s="1"/>
  <c r="I9" i="5" a="1"/>
  <c r="I9" i="5" s="1"/>
  <c r="Q10" i="5"/>
  <c r="Q9" i="5" s="1" a="1"/>
  <c r="Q9" i="5" s="1"/>
  <c r="AP9" i="5" a="1"/>
  <c r="AP9" i="5" s="1"/>
  <c r="AX9" i="5" a="1"/>
  <c r="AX9" i="5" s="1"/>
  <c r="AT10" i="5"/>
  <c r="AT9" i="5" s="1" a="1"/>
  <c r="AT9" i="5" s="1"/>
  <c r="BF9" i="5" a="1"/>
  <c r="BF9" i="5" s="1"/>
  <c r="BN9" i="5" a="1"/>
  <c r="BN9" i="5" s="1"/>
  <c r="BV9" i="5" a="1"/>
  <c r="BV9" i="5" s="1"/>
  <c r="J9" i="5" a="1"/>
  <c r="J9" i="5" s="1"/>
  <c r="AI9" i="5" a="1"/>
  <c r="AI9" i="5" s="1"/>
  <c r="AY9" i="5" a="1"/>
  <c r="AY9" i="5" s="1"/>
  <c r="BG9" i="5" a="1"/>
  <c r="BG9" i="5" s="1"/>
  <c r="BO9" i="5" a="1"/>
  <c r="BO9" i="5" s="1"/>
  <c r="BW9" i="5" a="1"/>
  <c r="BW9" i="5" s="1"/>
  <c r="K9" i="5" a="1"/>
  <c r="K9" i="5" s="1"/>
  <c r="AZ9" i="5" a="1"/>
  <c r="AZ9" i="5" s="1"/>
  <c r="BH9" i="5" a="1"/>
  <c r="BH9" i="5" s="1"/>
  <c r="BX9" i="5" a="1"/>
  <c r="BX9" i="5" s="1"/>
  <c r="L9" i="5" a="1"/>
  <c r="L9" i="5" s="1"/>
  <c r="BA9" i="5" a="1"/>
  <c r="BA9" i="5" s="1"/>
  <c r="BY9" i="5" a="1"/>
  <c r="BY9" i="5" s="1"/>
  <c r="M9" i="5" a="1"/>
  <c r="M9" i="5" s="1"/>
  <c r="BB9" i="5" a="1"/>
  <c r="BB9" i="5" s="1"/>
  <c r="BZ9" i="5" a="1"/>
  <c r="BZ9" i="5" s="1"/>
  <c r="AA9" i="5" a="1"/>
  <c r="AA9" i="5" s="1"/>
  <c r="AE9" i="5" a="1"/>
  <c r="AE9" i="5" s="1"/>
  <c r="S9" i="5" a="1"/>
  <c r="S9" i="5" s="1"/>
  <c r="W9" i="5" a="1"/>
  <c r="W9" i="5" s="1"/>
  <c r="R9" i="5" a="1"/>
  <c r="R9" i="5" s="1"/>
  <c r="AA8" i="5"/>
  <c r="AY11" i="13"/>
  <c r="G61" i="1"/>
  <c r="E53" i="1"/>
  <c r="G59" i="1"/>
  <c r="L11" i="13"/>
  <c r="T8" i="5"/>
  <c r="BA11" i="13"/>
  <c r="H53" i="1"/>
  <c r="BW11" i="13"/>
  <c r="T10" i="5"/>
  <c r="I53" i="1"/>
  <c r="H11" i="13"/>
  <c r="AW11" i="13"/>
  <c r="G42" i="1"/>
  <c r="K11" i="13"/>
  <c r="AS11" i="13"/>
  <c r="AM11" i="13"/>
  <c r="F11" i="13"/>
  <c r="G55" i="1"/>
  <c r="N11" i="13"/>
  <c r="G51" i="1"/>
  <c r="H59" i="1"/>
  <c r="J11" i="13"/>
  <c r="AU11" i="13"/>
  <c r="I40" i="1"/>
  <c r="BU11" i="13"/>
  <c r="E60" i="1"/>
  <c r="G56" i="1"/>
  <c r="AZ11" i="13"/>
  <c r="G52" i="1"/>
  <c r="M11" i="13"/>
  <c r="BZ11" i="13"/>
  <c r="BI11" i="13"/>
  <c r="O11" i="13"/>
  <c r="AQ11" i="13"/>
  <c r="I52" i="1"/>
  <c r="F56" i="1"/>
  <c r="F52" i="1"/>
  <c r="H40" i="1"/>
  <c r="E56" i="1"/>
  <c r="AJ11" i="13"/>
  <c r="E59" i="1"/>
  <c r="BY11" i="13"/>
  <c r="X9" i="13"/>
  <c r="AR11" i="13"/>
  <c r="E57" i="1"/>
  <c r="G58" i="1"/>
  <c r="BO11" i="13"/>
  <c r="CA11" i="13"/>
  <c r="AV11" i="13"/>
  <c r="G57" i="1"/>
  <c r="BH11" i="13"/>
  <c r="I55" i="1"/>
  <c r="G41" i="1"/>
  <c r="BN11" i="13"/>
  <c r="BX11" i="13"/>
  <c r="F51" i="1"/>
  <c r="BT11" i="13"/>
  <c r="I11" i="13"/>
  <c r="BV11" i="13"/>
  <c r="F55" i="1"/>
  <c r="G60" i="1"/>
  <c r="BC11" i="13"/>
  <c r="H52" i="1"/>
  <c r="X10" i="5"/>
  <c r="E58" i="1"/>
  <c r="G11" i="13"/>
  <c r="AN11" i="13"/>
  <c r="E51" i="1"/>
  <c r="BQ11" i="13"/>
  <c r="X8" i="5"/>
  <c r="AL11" i="13"/>
  <c r="AP11" i="13"/>
  <c r="E11" i="13"/>
  <c r="G40" i="1"/>
  <c r="I51" i="1"/>
  <c r="BK11" i="13"/>
  <c r="BB11" i="13"/>
  <c r="BP11" i="13"/>
  <c r="H61" i="1"/>
  <c r="F57" i="1"/>
  <c r="T9" i="13"/>
  <c r="F44" i="1"/>
  <c r="E44" i="1"/>
  <c r="J52" i="1"/>
  <c r="AB9" i="13"/>
  <c r="E61" i="1"/>
  <c r="F61" i="1"/>
  <c r="BS11" i="13"/>
  <c r="F58" i="1"/>
  <c r="BE11" i="13"/>
  <c r="BD11" i="13"/>
  <c r="AB8" i="5"/>
  <c r="AG8" i="5"/>
  <c r="AF10" i="5"/>
  <c r="G53" i="1"/>
  <c r="AO11" i="13"/>
  <c r="BM11" i="13"/>
  <c r="H55" i="1"/>
  <c r="I57" i="1"/>
  <c r="F53" i="1"/>
  <c r="F60" i="1"/>
  <c r="I59" i="1"/>
  <c r="E52" i="1"/>
  <c r="AK11" i="13"/>
  <c r="AX11" i="13"/>
  <c r="BJ11" i="13"/>
  <c r="BR11" i="13"/>
  <c r="H60" i="1"/>
  <c r="BG11" i="13"/>
  <c r="AB10" i="5"/>
  <c r="I61" i="1"/>
  <c r="F59" i="1"/>
  <c r="BF11" i="13"/>
  <c r="E55" i="1"/>
  <c r="H58" i="1"/>
  <c r="BL11" i="13"/>
  <c r="AI11" i="13"/>
  <c r="H57" i="1"/>
  <c r="H51" i="1"/>
  <c r="F45" i="1"/>
  <c r="H56" i="1"/>
  <c r="BI10" i="13" l="1" a="1"/>
  <c r="BI10" i="13" s="1"/>
  <c r="BE10" i="13" a="1"/>
  <c r="BE10" i="13" s="1"/>
  <c r="AO10" i="13" a="1"/>
  <c r="AO10" i="13" s="1"/>
  <c r="BD10" i="13" a="1"/>
  <c r="BD10" i="13" s="1"/>
  <c r="AN10" i="13" a="1"/>
  <c r="AN10" i="13" s="1"/>
  <c r="BC10" i="13" a="1"/>
  <c r="BC10" i="13" s="1"/>
  <c r="AM10" i="13" a="1"/>
  <c r="AM10" i="13" s="1"/>
  <c r="AL10" i="13" a="1"/>
  <c r="AL10" i="13" s="1"/>
  <c r="AS10" i="13" a="1"/>
  <c r="AS10" i="13" s="1"/>
  <c r="AK10" i="13" a="1"/>
  <c r="AK10" i="13" s="1"/>
  <c r="AR10" i="13" a="1"/>
  <c r="AR10" i="13" s="1"/>
  <c r="AJ10" i="13" a="1"/>
  <c r="AJ10" i="13" s="1"/>
  <c r="AQ10" i="13" a="1"/>
  <c r="AQ10" i="13" s="1"/>
  <c r="BJ10" i="13" a="1"/>
  <c r="BJ10" i="13" s="1"/>
  <c r="BK10" i="13" a="1"/>
  <c r="BK10" i="13" s="1"/>
  <c r="BH10" i="13" a="1"/>
  <c r="BH10" i="13" s="1"/>
  <c r="BU10" i="13" a="1"/>
  <c r="BU10" i="13" s="1"/>
  <c r="BM10" i="13" a="1"/>
  <c r="BM10" i="13" s="1"/>
  <c r="AW10" i="13" a="1"/>
  <c r="AW10" i="13" s="1"/>
  <c r="BT10" i="13" a="1"/>
  <c r="BT10" i="13" s="1"/>
  <c r="BL10" i="13" a="1"/>
  <c r="BL10" i="13" s="1"/>
  <c r="AV10" i="13" a="1"/>
  <c r="AV10" i="13" s="1"/>
  <c r="O10" i="13" a="1"/>
  <c r="O10" i="13" s="1"/>
  <c r="CA10" i="13" a="1"/>
  <c r="CA10" i="13" s="1"/>
  <c r="AU10" i="13" a="1"/>
  <c r="AU10" i="13" s="1"/>
  <c r="N10" i="13" a="1"/>
  <c r="N10" i="13" s="1"/>
  <c r="BZ10" i="13" a="1"/>
  <c r="BZ10" i="13" s="1"/>
  <c r="BB10" i="13" a="1"/>
  <c r="BB10" i="13" s="1"/>
  <c r="M10" i="13" a="1"/>
  <c r="M10" i="13" s="1"/>
  <c r="BY10" i="13" a="1"/>
  <c r="BY10" i="13" s="1"/>
  <c r="BA10" i="13" a="1"/>
  <c r="BA10" i="13" s="1"/>
  <c r="L10" i="13" a="1"/>
  <c r="L10" i="13" s="1"/>
  <c r="BX10" i="13" a="1"/>
  <c r="BX10" i="13" s="1"/>
  <c r="AZ10" i="13" a="1"/>
  <c r="AZ10" i="13" s="1"/>
  <c r="K10" i="13" a="1"/>
  <c r="K10" i="13" s="1"/>
  <c r="BW10" i="13" a="1"/>
  <c r="BW10" i="13" s="1"/>
  <c r="BO10" i="13" a="1"/>
  <c r="BO10" i="13" s="1"/>
  <c r="AY10" i="13" a="1"/>
  <c r="AY10" i="13" s="1"/>
  <c r="AI10" i="13" a="1"/>
  <c r="AI10" i="13" s="1"/>
  <c r="J10" i="13" a="1"/>
  <c r="J10" i="13" s="1"/>
  <c r="BV10" i="13" a="1"/>
  <c r="BV10" i="13" s="1"/>
  <c r="BN10" i="13" a="1"/>
  <c r="BN10" i="13" s="1"/>
  <c r="AX10" i="13" a="1"/>
  <c r="AX10" i="13" s="1"/>
  <c r="AT11" i="13"/>
  <c r="AT10" i="13" s="1" a="1"/>
  <c r="AT10" i="13" s="1"/>
  <c r="AP10" i="13" a="1"/>
  <c r="AP10" i="13" s="1"/>
  <c r="I10" i="13" a="1"/>
  <c r="I10" i="13" s="1"/>
  <c r="Q11" i="13"/>
  <c r="Q10" i="13" s="1" a="1"/>
  <c r="Q10" i="13" s="1"/>
  <c r="BF10" i="13" a="1"/>
  <c r="BF10" i="13" s="1"/>
  <c r="BG10" i="13" a="1"/>
  <c r="BG10" i="13" s="1"/>
  <c r="X9" i="5" a="1"/>
  <c r="X9" i="5" s="1"/>
  <c r="T9" i="5" a="1"/>
  <c r="T9" i="5" s="1"/>
  <c r="AF9" i="5" a="1"/>
  <c r="AF9" i="5" s="1"/>
  <c r="AB9" i="5" a="1"/>
  <c r="AB9" i="5" s="1"/>
  <c r="L55" i="1"/>
  <c r="L57" i="1"/>
  <c r="L59" i="1"/>
  <c r="L51" i="1"/>
  <c r="L53" i="1"/>
  <c r="L61" i="1"/>
  <c r="AF9" i="13"/>
  <c r="X11" i="13"/>
  <c r="AH9" i="13"/>
  <c r="E29" i="1"/>
  <c r="R11" i="13"/>
  <c r="W11" i="13" s="1"/>
  <c r="AG9" i="13"/>
  <c r="AB11" i="13"/>
  <c r="I45" i="1"/>
  <c r="H45" i="1"/>
  <c r="F25" i="1"/>
  <c r="E24" i="1"/>
  <c r="AA11" i="13"/>
  <c r="AF11" i="13"/>
  <c r="G45" i="1"/>
  <c r="AH8" i="5"/>
  <c r="S11" i="13"/>
  <c r="T11" i="13"/>
  <c r="AF8" i="5"/>
  <c r="F24" i="1"/>
  <c r="E25" i="1"/>
  <c r="F29" i="1"/>
  <c r="AE11" i="13"/>
  <c r="W10" i="13" l="1" a="1"/>
  <c r="W10" i="13" s="1"/>
  <c r="AE10" i="13" a="1"/>
  <c r="AE10" i="13" s="1"/>
  <c r="AA10" i="13" a="1"/>
  <c r="AA10" i="13" s="1"/>
  <c r="S10" i="13" a="1"/>
  <c r="S10" i="13" s="1"/>
  <c r="R10" i="13" a="1"/>
  <c r="R10" i="13" s="1"/>
  <c r="AB10" i="13" a="1"/>
  <c r="AB10" i="13" s="1"/>
  <c r="X10" i="13" a="1"/>
  <c r="X10" i="13" s="1"/>
  <c r="T10" i="13" a="1"/>
  <c r="T10" i="13" s="1"/>
  <c r="AF10" i="13" a="1"/>
  <c r="AF10" i="13" s="1"/>
  <c r="E31" i="1"/>
  <c r="F31" i="1"/>
  <c r="D21" i="1"/>
  <c r="E38" i="1" l="1"/>
  <c r="E39" i="1"/>
  <c r="E37" i="1"/>
  <c r="F38" i="1"/>
  <c r="F39" i="1"/>
  <c r="F37" i="1"/>
  <c r="H37" i="1"/>
  <c r="G37" i="1"/>
  <c r="H38" i="1"/>
  <c r="I38" i="1"/>
  <c r="I37" i="1"/>
  <c r="H39" i="1"/>
  <c r="G39" i="1"/>
  <c r="G38" i="1"/>
  <c r="I39"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Thomson Reuters</author>
  </authors>
  <commentList>
    <comment ref="D29" authorId="0" shapeId="0" xr:uid="{00000000-0006-0000-0100-000001000000}">
      <text>
        <r>
          <rPr>
            <b/>
            <sz val="9"/>
            <color indexed="81"/>
            <rFont val="Tahoma"/>
            <family val="2"/>
          </rPr>
          <t>Thomson Reuters:</t>
        </r>
        <r>
          <rPr>
            <sz val="9"/>
            <color indexed="81"/>
            <rFont val="Tahoma"/>
            <family val="2"/>
          </rPr>
          <t xml:space="preserve">
provided on annual, not on interim basis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Thomson Reuters</author>
  </authors>
  <commentList>
    <comment ref="C9" authorId="0" shapeId="0" xr:uid="{74DF9E15-419A-44C1-AAF9-9B536697294F}">
      <text>
        <r>
          <rPr>
            <b/>
            <sz val="9"/>
            <color indexed="81"/>
            <rFont val="Tahoma"/>
            <family val="2"/>
          </rPr>
          <t>Thomson Reuters:</t>
        </r>
        <r>
          <rPr>
            <sz val="9"/>
            <color indexed="81"/>
            <rFont val="Tahoma"/>
            <family val="2"/>
          </rPr>
          <t xml:space="preserve">
FEEL FREE TO MANUALLY TYPE YOUR OWN CHOICE OF RICs
Automatic peers from the same sector derived using screener and ranked by market cap.
</t>
        </r>
      </text>
    </comment>
    <comment ref="D9" authorId="0" shapeId="0" xr:uid="{89276639-7452-4508-B520-DCE20F4ADB5E}">
      <text>
        <r>
          <rPr>
            <b/>
            <sz val="9"/>
            <color indexed="81"/>
            <rFont val="Tahoma"/>
            <family val="2"/>
          </rPr>
          <t>Thomson Reuters:</t>
        </r>
        <r>
          <rPr>
            <sz val="9"/>
            <color indexed="81"/>
            <rFont val="Tahoma"/>
            <family val="2"/>
          </rPr>
          <t xml:space="preserve">
FEEL FREE TO MANUALLY TYPE YOUR OWN CHOICE OF RICs
Automatic peers from the same sector derived using screener and ranked by market cap.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Thomson Reuters</author>
  </authors>
  <commentList>
    <comment ref="C10" authorId="0" shapeId="0" xr:uid="{ED0C76AE-3B74-4364-B6AC-2B1856D2E69E}">
      <text>
        <r>
          <rPr>
            <b/>
            <sz val="9"/>
            <color indexed="81"/>
            <rFont val="Tahoma"/>
            <family val="2"/>
          </rPr>
          <t>Thomson Reuters:</t>
        </r>
        <r>
          <rPr>
            <sz val="9"/>
            <color indexed="81"/>
            <rFont val="Tahoma"/>
            <family val="2"/>
          </rPr>
          <t xml:space="preserve">
FEEL FREE TO MANUALLY TYPE YOUR OWN CHOICE OF RICs
Automatic peers from the same sector derived using screener and ranked by market cap.
</t>
        </r>
      </text>
    </comment>
    <comment ref="D10" authorId="0" shapeId="0" xr:uid="{3C9E9593-8A19-491B-BE33-C6A3BB4DAD4C}">
      <text>
        <r>
          <rPr>
            <b/>
            <sz val="9"/>
            <color indexed="81"/>
            <rFont val="Tahoma"/>
            <family val="2"/>
          </rPr>
          <t>Thomson Reuters:</t>
        </r>
        <r>
          <rPr>
            <sz val="9"/>
            <color indexed="81"/>
            <rFont val="Tahoma"/>
            <family val="2"/>
          </rPr>
          <t xml:space="preserve">
FEEL FREE TO MANUALLY TYPE YOUR OWN CHOICE OF RICs
Automatic peers from the same sector derived using screener and ranked by market cap.
</t>
        </r>
      </text>
    </comment>
  </commentList>
</comments>
</file>

<file path=xl/sharedStrings.xml><?xml version="1.0" encoding="utf-8"?>
<sst xmlns="http://schemas.openxmlformats.org/spreadsheetml/2006/main" count="897" uniqueCount="642">
  <si>
    <t>Thomson RIC:</t>
  </si>
  <si>
    <t>Company Name:</t>
  </si>
  <si>
    <t>Price Date:</t>
  </si>
  <si>
    <t>x Shares Outstanding:</t>
  </si>
  <si>
    <t>Equity Value:</t>
  </si>
  <si>
    <t>- Cash and ST Investments</t>
  </si>
  <si>
    <t>+ Total Debt</t>
  </si>
  <si>
    <t>+ Preferred Equity</t>
  </si>
  <si>
    <t>+ Minority Interest</t>
  </si>
  <si>
    <t>= Total Enterprise Value (TEV)</t>
  </si>
  <si>
    <t>Fiscal Year End:</t>
  </si>
  <si>
    <t>Native</t>
  </si>
  <si>
    <t>Algeria dinar</t>
  </si>
  <si>
    <t>DZD</t>
  </si>
  <si>
    <t>Angola kwanza readjustado</t>
  </si>
  <si>
    <t>AOA</t>
  </si>
  <si>
    <t>Argentina peso</t>
  </si>
  <si>
    <t>ARS</t>
  </si>
  <si>
    <t>Aruba guilder</t>
  </si>
  <si>
    <t>AWG</t>
  </si>
  <si>
    <t>Australia dollar</t>
  </si>
  <si>
    <t>AUD</t>
  </si>
  <si>
    <t>Austria schilling</t>
  </si>
  <si>
    <t>ATS</t>
  </si>
  <si>
    <t>Bahamas dollar</t>
  </si>
  <si>
    <t>BSD</t>
  </si>
  <si>
    <t>Bahrain dinar</t>
  </si>
  <si>
    <t>BHD</t>
  </si>
  <si>
    <t>Bangladesh taka</t>
  </si>
  <si>
    <t>BDT</t>
  </si>
  <si>
    <t>Barbados dollar</t>
  </si>
  <si>
    <t>BBD</t>
  </si>
  <si>
    <t>Belarus ruble</t>
  </si>
  <si>
    <t>BYR</t>
  </si>
  <si>
    <t>Belgium franc</t>
  </si>
  <si>
    <t>BEF</t>
  </si>
  <si>
    <t>Belize dollar</t>
  </si>
  <si>
    <t>BZD</t>
  </si>
  <si>
    <t>Bermuda dollar</t>
  </si>
  <si>
    <t>BMD</t>
  </si>
  <si>
    <t>Bhutan ngultrum</t>
  </si>
  <si>
    <t>BTN</t>
  </si>
  <si>
    <t>Bolivia boliviano</t>
  </si>
  <si>
    <t>BOB</t>
  </si>
  <si>
    <t>Bosnia / Herzegovina convertible mark</t>
  </si>
  <si>
    <t>BAM</t>
  </si>
  <si>
    <t>Botswana pula</t>
  </si>
  <si>
    <t>BWP</t>
  </si>
  <si>
    <t>Brazil real</t>
  </si>
  <si>
    <t>BRL</t>
  </si>
  <si>
    <t>British Pence</t>
  </si>
  <si>
    <t>BPN</t>
  </si>
  <si>
    <t>Brunei Darussalam dollar</t>
  </si>
  <si>
    <t>BND</t>
  </si>
  <si>
    <t>Bulgaria lev</t>
  </si>
  <si>
    <t>BGN</t>
  </si>
  <si>
    <t>Burundi franc</t>
  </si>
  <si>
    <t>BIF</t>
  </si>
  <si>
    <t>C.F.P. franc</t>
  </si>
  <si>
    <t>XPF</t>
  </si>
  <si>
    <t>Canada dollar</t>
  </si>
  <si>
    <t>CAD</t>
  </si>
  <si>
    <t>Cayman Islands dollar</t>
  </si>
  <si>
    <t>KYD</t>
  </si>
  <si>
    <t>CFA franc (BCEAO)</t>
  </si>
  <si>
    <t>XOF</t>
  </si>
  <si>
    <t>Chile peso</t>
  </si>
  <si>
    <t>CLP</t>
  </si>
  <si>
    <t>China renminbi (yuan)</t>
  </si>
  <si>
    <t>CNY</t>
  </si>
  <si>
    <t>Colombia peso</t>
  </si>
  <si>
    <t>COP</t>
  </si>
  <si>
    <t>Comoros franc</t>
  </si>
  <si>
    <t>KMF</t>
  </si>
  <si>
    <t>Congo (Dem. Republic) franc</t>
  </si>
  <si>
    <t>CDF</t>
  </si>
  <si>
    <t>Costa Rica colon</t>
  </si>
  <si>
    <t>CRC</t>
  </si>
  <si>
    <t>Croatia kuna</t>
  </si>
  <si>
    <t>HRK</t>
  </si>
  <si>
    <t>Cuba peso</t>
  </si>
  <si>
    <t>CUP</t>
  </si>
  <si>
    <t>Cyprus pound</t>
  </si>
  <si>
    <t>CYP</t>
  </si>
  <si>
    <t>Czech Republic koruna</t>
  </si>
  <si>
    <t>CZK</t>
  </si>
  <si>
    <t>Denmark krone</t>
  </si>
  <si>
    <t>DKK</t>
  </si>
  <si>
    <t>Dominican Republic peso</t>
  </si>
  <si>
    <t>DOP</t>
  </si>
  <si>
    <t>East Caribbean dollar</t>
  </si>
  <si>
    <t>XCD</t>
  </si>
  <si>
    <t>Ecuador sucre</t>
  </si>
  <si>
    <t>ECS</t>
  </si>
  <si>
    <t>Egypt pound</t>
  </si>
  <si>
    <t>EGP</t>
  </si>
  <si>
    <t>El Salvador colon</t>
  </si>
  <si>
    <t>SVC</t>
  </si>
  <si>
    <t>Estonia kroon</t>
  </si>
  <si>
    <t>EEK</t>
  </si>
  <si>
    <t>Ethiopia birr</t>
  </si>
  <si>
    <t>ETB</t>
  </si>
  <si>
    <t>European Currency Unit (ECU)</t>
  </si>
  <si>
    <t>XEU</t>
  </si>
  <si>
    <t>European Union euro</t>
  </si>
  <si>
    <t>EUR</t>
  </si>
  <si>
    <t>Fiji dollar</t>
  </si>
  <si>
    <t>FJD</t>
  </si>
  <si>
    <t>Finland markka</t>
  </si>
  <si>
    <t>FIM</t>
  </si>
  <si>
    <t>France franc</t>
  </si>
  <si>
    <t>FRF</t>
  </si>
  <si>
    <t>Gambia dalasi</t>
  </si>
  <si>
    <t>GMD</t>
  </si>
  <si>
    <t>Georgia lari</t>
  </si>
  <si>
    <t>GEL</t>
  </si>
  <si>
    <t>Germany mark</t>
  </si>
  <si>
    <t>DEM</t>
  </si>
  <si>
    <t>Ghana cedi</t>
  </si>
  <si>
    <t>GHC</t>
  </si>
  <si>
    <t>Greece drachma</t>
  </si>
  <si>
    <t>GRD</t>
  </si>
  <si>
    <t>Guatemala quetzal</t>
  </si>
  <si>
    <t>GTQ</t>
  </si>
  <si>
    <t>Guinea franc</t>
  </si>
  <si>
    <t>GNF</t>
  </si>
  <si>
    <t>Haiti gourde</t>
  </si>
  <si>
    <t>HTG</t>
  </si>
  <si>
    <t>Honduras lempira</t>
  </si>
  <si>
    <t>HNL</t>
  </si>
  <si>
    <t>Hong Kong dollar</t>
  </si>
  <si>
    <t>HKD</t>
  </si>
  <si>
    <t>Hungary forint</t>
  </si>
  <si>
    <t>HUF</t>
  </si>
  <si>
    <t>Iceland krona</t>
  </si>
  <si>
    <t>ISK</t>
  </si>
  <si>
    <t>India rupee</t>
  </si>
  <si>
    <t>INR</t>
  </si>
  <si>
    <t>Indonesia rupiah</t>
  </si>
  <si>
    <t>IDR</t>
  </si>
  <si>
    <t>Ireland punt</t>
  </si>
  <si>
    <t>IEP</t>
  </si>
  <si>
    <t>Israel shekel</t>
  </si>
  <si>
    <t>ILS</t>
  </si>
  <si>
    <t>Italy lira</t>
  </si>
  <si>
    <t>ITL</t>
  </si>
  <si>
    <t>Jamaica dollar</t>
  </si>
  <si>
    <t>JMD</t>
  </si>
  <si>
    <t>Japan yen</t>
  </si>
  <si>
    <t>JPY</t>
  </si>
  <si>
    <t>Jordan dinar</t>
  </si>
  <si>
    <t>JOD</t>
  </si>
  <si>
    <t>Kazakhstan tenge</t>
  </si>
  <si>
    <t>KZT</t>
  </si>
  <si>
    <t>Kenya shilling</t>
  </si>
  <si>
    <t>KES</t>
  </si>
  <si>
    <t>Kuwait dinar</t>
  </si>
  <si>
    <t>KWD</t>
  </si>
  <si>
    <t>Kyrgyzstan som</t>
  </si>
  <si>
    <t>KGS</t>
  </si>
  <si>
    <t>Latvia lats</t>
  </si>
  <si>
    <t>LVL</t>
  </si>
  <si>
    <t>Lebanon pound</t>
  </si>
  <si>
    <t>LBP</t>
  </si>
  <si>
    <t>Lesotho loti</t>
  </si>
  <si>
    <t>LSL</t>
  </si>
  <si>
    <t>Lithuania litas</t>
  </si>
  <si>
    <t>LTL</t>
  </si>
  <si>
    <t>Luxembourg franc</t>
  </si>
  <si>
    <t>LUF</t>
  </si>
  <si>
    <t>Macau pataca</t>
  </si>
  <si>
    <t>MOP</t>
  </si>
  <si>
    <t>Macedonia denar</t>
  </si>
  <si>
    <t>MKD</t>
  </si>
  <si>
    <t>Malawi kwacha</t>
  </si>
  <si>
    <t>MWK</t>
  </si>
  <si>
    <t>Malaysia ringgit</t>
  </si>
  <si>
    <t>MYR</t>
  </si>
  <si>
    <t>Maldive Islands rufiya</t>
  </si>
  <si>
    <t>MVR</t>
  </si>
  <si>
    <t>Malta lira</t>
  </si>
  <si>
    <t>MTL</t>
  </si>
  <si>
    <t>Mauritania ouguiya</t>
  </si>
  <si>
    <t>MRO</t>
  </si>
  <si>
    <t>Mauritius rupee</t>
  </si>
  <si>
    <t>MUR</t>
  </si>
  <si>
    <t>Mexico peso</t>
  </si>
  <si>
    <t>MXN</t>
  </si>
  <si>
    <t>Moldova leu</t>
  </si>
  <si>
    <t>MDL</t>
  </si>
  <si>
    <t>Mongolia tugrik</t>
  </si>
  <si>
    <t>MNT</t>
  </si>
  <si>
    <t>Morocco dirham</t>
  </si>
  <si>
    <t>MAD</t>
  </si>
  <si>
    <t>Namibia dollar</t>
  </si>
  <si>
    <t>NAD</t>
  </si>
  <si>
    <t>Nepal rupee</t>
  </si>
  <si>
    <t>NPR</t>
  </si>
  <si>
    <t>Netherlands Antilles guilder</t>
  </si>
  <si>
    <t>ANG</t>
  </si>
  <si>
    <t>Netherlands guilder</t>
  </si>
  <si>
    <t>NLG</t>
  </si>
  <si>
    <t>New Turkish Lira</t>
  </si>
  <si>
    <t>TRY</t>
  </si>
  <si>
    <t>New Zealand dollar</t>
  </si>
  <si>
    <t>NZD</t>
  </si>
  <si>
    <t>Nicaragua cordoba oro</t>
  </si>
  <si>
    <t>NIO</t>
  </si>
  <si>
    <t>Nigeria naira</t>
  </si>
  <si>
    <t>NGN</t>
  </si>
  <si>
    <t>Norway krone</t>
  </si>
  <si>
    <t>NOK</t>
  </si>
  <si>
    <t>Oman rial</t>
  </si>
  <si>
    <t>OMR</t>
  </si>
  <si>
    <t>Pakistan rupee</t>
  </si>
  <si>
    <t>PKR</t>
  </si>
  <si>
    <t>Panama balboa</t>
  </si>
  <si>
    <t>PAB</t>
  </si>
  <si>
    <t>Papua New Guinea kina</t>
  </si>
  <si>
    <t>PGK</t>
  </si>
  <si>
    <t>Paraguay guarani</t>
  </si>
  <si>
    <t>PYG</t>
  </si>
  <si>
    <t>Peru neuvo sol</t>
  </si>
  <si>
    <t>PEN</t>
  </si>
  <si>
    <t>Philippines peso</t>
  </si>
  <si>
    <t>PHP</t>
  </si>
  <si>
    <t>Poland zloty</t>
  </si>
  <si>
    <t>PLN</t>
  </si>
  <si>
    <t>Portugal escudo</t>
  </si>
  <si>
    <t>PTE</t>
  </si>
  <si>
    <t>Qatar rial</t>
  </si>
  <si>
    <t>QAR</t>
  </si>
  <si>
    <t>Romania leu (new)</t>
  </si>
  <si>
    <t>RON</t>
  </si>
  <si>
    <t>Russia ruble</t>
  </si>
  <si>
    <t>RUB</t>
  </si>
  <si>
    <t>Rwanda franc</t>
  </si>
  <si>
    <t>RWF</t>
  </si>
  <si>
    <t>Samoa tala</t>
  </si>
  <si>
    <t>WST</t>
  </si>
  <si>
    <t>Saudi Arabia riyal</t>
  </si>
  <si>
    <t>SAR</t>
  </si>
  <si>
    <t>Seychelles rupee</t>
  </si>
  <si>
    <t>SCR</t>
  </si>
  <si>
    <t>Sierra Leone leone</t>
  </si>
  <si>
    <t>SLL</t>
  </si>
  <si>
    <t>Singapore dollar</t>
  </si>
  <si>
    <t>SGD</t>
  </si>
  <si>
    <t>Slovak Republic koruna</t>
  </si>
  <si>
    <t>SKK</t>
  </si>
  <si>
    <t>Slovenia tolar</t>
  </si>
  <si>
    <t>SIT</t>
  </si>
  <si>
    <t>Solomon Island dollar</t>
  </si>
  <si>
    <t>SBD</t>
  </si>
  <si>
    <t>South Africa rand</t>
  </si>
  <si>
    <t>ZAR</t>
  </si>
  <si>
    <t>South Korea won</t>
  </si>
  <si>
    <t>KRW</t>
  </si>
  <si>
    <t>Spain peseta</t>
  </si>
  <si>
    <t>ESP</t>
  </si>
  <si>
    <t>Special Drawing Rights (SDR)</t>
  </si>
  <si>
    <t>XDR</t>
  </si>
  <si>
    <t>Sri Lanka rupee</t>
  </si>
  <si>
    <t>LKR</t>
  </si>
  <si>
    <t>Surinam guilder</t>
  </si>
  <si>
    <t>SRD</t>
  </si>
  <si>
    <t>Swaziland lilangeni</t>
  </si>
  <si>
    <t>SZL</t>
  </si>
  <si>
    <t>Sweden krona</t>
  </si>
  <si>
    <t>SEK</t>
  </si>
  <si>
    <t>Switzerland franc</t>
  </si>
  <si>
    <t>CHF</t>
  </si>
  <si>
    <t>Taiwan dollar</t>
  </si>
  <si>
    <t>TWD</t>
  </si>
  <si>
    <t>Tanzania shilling</t>
  </si>
  <si>
    <t>TZS</t>
  </si>
  <si>
    <t>Thailand baht</t>
  </si>
  <si>
    <t>THB</t>
  </si>
  <si>
    <t>Tonga pa'anga</t>
  </si>
  <si>
    <t>TOP</t>
  </si>
  <si>
    <t>Trinidad &amp; Tobago dollar</t>
  </si>
  <si>
    <t>TTD</t>
  </si>
  <si>
    <t>Tunisia dinar</t>
  </si>
  <si>
    <t>TND</t>
  </si>
  <si>
    <t>Uganda shilling</t>
  </si>
  <si>
    <t>UGX</t>
  </si>
  <si>
    <t>Ukraine hryvna</t>
  </si>
  <si>
    <t>UAH</t>
  </si>
  <si>
    <t>United Arab Emirates dirham</t>
  </si>
  <si>
    <t>AED</t>
  </si>
  <si>
    <t>United Kingdom pound</t>
  </si>
  <si>
    <t>GBP</t>
  </si>
  <si>
    <t>United States dollar</t>
  </si>
  <si>
    <t>USD</t>
  </si>
  <si>
    <t>Uruguay peso uruguayo</t>
  </si>
  <si>
    <t>UYU</t>
  </si>
  <si>
    <t>Uzbekistan sum</t>
  </si>
  <si>
    <t>UZS</t>
  </si>
  <si>
    <t>Vanuatu vatu</t>
  </si>
  <si>
    <t>VUV</t>
  </si>
  <si>
    <t>Vietnam dong</t>
  </si>
  <si>
    <t>VND</t>
  </si>
  <si>
    <t>Yemen rial</t>
  </si>
  <si>
    <t>YER</t>
  </si>
  <si>
    <t>Currency:</t>
  </si>
  <si>
    <t>Interim End:</t>
  </si>
  <si>
    <t>Financial Valuation Ratios</t>
  </si>
  <si>
    <t>TEV/Sales</t>
  </si>
  <si>
    <t>TEV/EBITDA</t>
  </si>
  <si>
    <t>TEV/EBIT</t>
  </si>
  <si>
    <t>EBITDA/Interest Expense</t>
  </si>
  <si>
    <t>EBIT/Interest Expense</t>
  </si>
  <si>
    <t>EBITDA-Capex/Interest Expense</t>
  </si>
  <si>
    <t>Total Debt/EBITDA</t>
  </si>
  <si>
    <t>Total Debt/EV</t>
  </si>
  <si>
    <t>PE</t>
  </si>
  <si>
    <t>Financial Summary</t>
  </si>
  <si>
    <t>Revenue</t>
  </si>
  <si>
    <t>Gross Income</t>
  </si>
  <si>
    <t>EBITDA</t>
  </si>
  <si>
    <t>EBIT</t>
  </si>
  <si>
    <t>Net Income</t>
  </si>
  <si>
    <t>Company Name</t>
  </si>
  <si>
    <t>TRBC Industry</t>
  </si>
  <si>
    <t>Price</t>
  </si>
  <si>
    <t>TR.PriceClose</t>
  </si>
  <si>
    <t>Market Cap</t>
  </si>
  <si>
    <t>EV</t>
  </si>
  <si>
    <t xml:space="preserve"> </t>
  </si>
  <si>
    <t>TR.EBITDAMean(Period=FY1)/TR.RevenueMeanEstimate(Period=FY1)*100</t>
  </si>
  <si>
    <t>TR.EBITDAMean(Period=FY2)/TR.RevenueMeanEstimate(Period=FY2)*100</t>
  </si>
  <si>
    <t>TR.TotalRevenue(Period=FY0,Scale=6)</t>
  </si>
  <si>
    <t>TR.RevenueMeanEstimate(Period=FY1,Scale=6)</t>
  </si>
  <si>
    <t>TR.RevenueMeanEstimate(Period=FY2,Scale=6)</t>
  </si>
  <si>
    <t>TR.EBITDA(Period=FY0,Scale=6)</t>
  </si>
  <si>
    <t>TR.EBITDAMean(Period=FY1,Scale=6)</t>
  </si>
  <si>
    <t>TR.EBITDAMean(Period=FY2,Scale=6)</t>
  </si>
  <si>
    <t>AVAIL(TR.EBITDAMean(Period=#2,Scale=6,methodology=InterimSum),TR.EBITDAMean(Period=#2,Scale=6,methodology=WeightedAnnual))</t>
  </si>
  <si>
    <t>Fiscal Year End Date</t>
  </si>
  <si>
    <t>EV/EBITDA (FY0)</t>
  </si>
  <si>
    <t>EV/EBITDA (FY1)</t>
  </si>
  <si>
    <t>Revenue (FY0)</t>
  </si>
  <si>
    <t>Revenue (FY1)</t>
  </si>
  <si>
    <t>EBITDA (FY0)</t>
  </si>
  <si>
    <t>EBITDA (FY1)</t>
  </si>
  <si>
    <t>Revenue (FY2)</t>
  </si>
  <si>
    <t>EV/EBITDA (FY2)</t>
  </si>
  <si>
    <t>EBITDA (FY2)</t>
  </si>
  <si>
    <t>EBITDA Margin (FY0)</t>
  </si>
  <si>
    <t>EBITDA Margin (FY1)</t>
  </si>
  <si>
    <t>EBITDA Margin (FY2)</t>
  </si>
  <si>
    <t>EBITDA-Calendarised (FY0)</t>
  </si>
  <si>
    <t>EBITDA-Calendarised (FY1)</t>
  </si>
  <si>
    <t>EBITDA-Calendarised (FY2)</t>
  </si>
  <si>
    <t>EBITDA Margin-Calendarised (FY0)</t>
  </si>
  <si>
    <t>EBITDA Margin-Calendarised (FY1)</t>
  </si>
  <si>
    <t>EBITDA Margin-Calendarised (FY2)</t>
  </si>
  <si>
    <t xml:space="preserve">     Growth(%)</t>
  </si>
  <si>
    <t xml:space="preserve">     Margin(%)</t>
  </si>
  <si>
    <t>-</t>
  </si>
  <si>
    <t>TR.TRBCIndustry</t>
  </si>
  <si>
    <t>Albania lek</t>
  </si>
  <si>
    <t>ALL</t>
  </si>
  <si>
    <t>Dividend Yield</t>
  </si>
  <si>
    <t>Cash</t>
  </si>
  <si>
    <t>Minorities</t>
  </si>
  <si>
    <t>Business description</t>
  </si>
  <si>
    <t>PEG</t>
  </si>
  <si>
    <t>Peer Median</t>
  </si>
  <si>
    <t>Total Debt</t>
  </si>
  <si>
    <t>Preferred Stock</t>
  </si>
  <si>
    <t>Top # peers</t>
  </si>
  <si>
    <t>TR.CompanyMarketCap</t>
  </si>
  <si>
    <t>EV/Sales (FY0)</t>
  </si>
  <si>
    <t>EV/Sales (FY1)</t>
  </si>
  <si>
    <t>EV/Sales (FY2)</t>
  </si>
  <si>
    <t>EV/EBIT (FY0)</t>
  </si>
  <si>
    <t>EV/EBIT (FY1)</t>
  </si>
  <si>
    <t>EV/EBIT (FY2)</t>
  </si>
  <si>
    <t>P/E (FY0)</t>
  </si>
  <si>
    <t>P/E (FY1)</t>
  </si>
  <si>
    <t>P/E (FY2)</t>
  </si>
  <si>
    <t>TR.PEG</t>
  </si>
  <si>
    <t>TR.DividendYield</t>
  </si>
  <si>
    <t>TR.EBIT(Period=FY0,Scale=6)</t>
  </si>
  <si>
    <t>TR.EBITMean(Period=FY1,Scale=6)</t>
  </si>
  <si>
    <t>TR.EBITMean(Period=FY2,Scale=6)</t>
  </si>
  <si>
    <t>EBIT (FY0)</t>
  </si>
  <si>
    <t>EBIT (FY1)</t>
  </si>
  <si>
    <t>EBIT (FY2)</t>
  </si>
  <si>
    <t>EPS (FY0)</t>
  </si>
  <si>
    <t>EPS (FY1)</t>
  </si>
  <si>
    <t>EPS (FY2)</t>
  </si>
  <si>
    <t>TR.EPSMeanEstimate(Period=FY1)</t>
  </si>
  <si>
    <t>TR.EPSMeanEstimate(Period=FY2)</t>
  </si>
  <si>
    <t>EV/(EBITDA - Capex) (FY0)</t>
  </si>
  <si>
    <t>EV/(EBITDA - Capex) (FY1)</t>
  </si>
  <si>
    <t>EV/(EBITDA - Capex) (FY2)</t>
  </si>
  <si>
    <t>EV/Sales (FY3)</t>
  </si>
  <si>
    <t>EV/EBITDA (FY3)</t>
  </si>
  <si>
    <t>EV/(EBITDA - Capex) (FY3)</t>
  </si>
  <si>
    <t>EV/EBIT (FY3)</t>
  </si>
  <si>
    <t>P/E (FY3)</t>
  </si>
  <si>
    <t>Net Debt / EBITDA (FY0)</t>
  </si>
  <si>
    <t>Net Debt / EBITDA (LTM)</t>
  </si>
  <si>
    <t>TR.NetDebtToEBITDA</t>
  </si>
  <si>
    <t>Net Debt / EBITDA (FY1)</t>
  </si>
  <si>
    <t>Net Debt / EBITDA (FY2)</t>
  </si>
  <si>
    <t>Net Debt / EBITDA (FY3)</t>
  </si>
  <si>
    <t>TR.RevenueMeanEstimate(Period=FY3,Scale=6)</t>
  </si>
  <si>
    <t>Revenue (FY3)</t>
  </si>
  <si>
    <t>TR.EBITDAMean(Period=FY3,Scale=6)</t>
  </si>
  <si>
    <t>EBITDA (FY3)</t>
  </si>
  <si>
    <t>TR.EBITMean(Period=FY3,Scale=6)</t>
  </si>
  <si>
    <t>EBIT (FY3)</t>
  </si>
  <si>
    <t>TR.EPSMeanEstimate(Period=FY3)</t>
  </si>
  <si>
    <t>EPS (FY3)</t>
  </si>
  <si>
    <t>TR.CapitalExpenditures(Period=FY0,Scale=6)*(-1)</t>
  </si>
  <si>
    <t>TR.CapexMean(Period=FY1,Scale=6)</t>
  </si>
  <si>
    <t>TR.CapexMean(Period=FY2,Scale=6)</t>
  </si>
  <si>
    <t>TR.CapexMean(Period=FY3,Scale=6)</t>
  </si>
  <si>
    <t>Capex (FY0)</t>
  </si>
  <si>
    <t>Capex (FY1)</t>
  </si>
  <si>
    <t>Capex (FY2)</t>
  </si>
  <si>
    <t>Capex (FY3)</t>
  </si>
  <si>
    <t>TR.NetDebtMeanEstimate(Period=FY1,Scale=6)</t>
  </si>
  <si>
    <t>TR.NetDebtMeanEstimate(Period=FY2,Scale=6)</t>
  </si>
  <si>
    <t>TR.NetDebtMeanEstimate(Period=FY3,Scale=6)</t>
  </si>
  <si>
    <t>Net Debt (FY0)</t>
  </si>
  <si>
    <t>Net Debt (FY1)</t>
  </si>
  <si>
    <t>Net Debt (FY2)</t>
  </si>
  <si>
    <t>Net Debt (FY3)</t>
  </si>
  <si>
    <t>EV/Sales</t>
  </si>
  <si>
    <t>EV/EBITDA</t>
  </si>
  <si>
    <t>EV/(EBITDA - Capex)</t>
  </si>
  <si>
    <t>EV/EBIT</t>
  </si>
  <si>
    <t>P/E</t>
  </si>
  <si>
    <t>Net Debt / EBITDA</t>
  </si>
  <si>
    <t>EPS</t>
  </si>
  <si>
    <t>Capex</t>
  </si>
  <si>
    <t>Net Debt</t>
  </si>
  <si>
    <t>- Equity Investments</t>
  </si>
  <si>
    <t>+ Pension Obligations</t>
  </si>
  <si>
    <t>+ Other Adjustments</t>
  </si>
  <si>
    <t>3-yr CAGR</t>
  </si>
  <si>
    <t xml:space="preserve">    % of Sales</t>
  </si>
  <si>
    <t>Enterprise Value</t>
  </si>
  <si>
    <t>Pensions</t>
  </si>
  <si>
    <t>Other</t>
  </si>
  <si>
    <t>EV (current)</t>
  </si>
  <si>
    <t>EV (FY0)</t>
  </si>
  <si>
    <t>TR.EBITDAMean(Period=FY2)</t>
  </si>
  <si>
    <t>TR.EBITDAMean(Period=FY3)</t>
  </si>
  <si>
    <t>TR.EBITMean(Period=FY2)</t>
  </si>
  <si>
    <t>TR.EBITMean(Period=FY3)</t>
  </si>
  <si>
    <t>TR.EBITDAMean(Period=FY2)-TR.CapexMean(Period=FY2)</t>
  </si>
  <si>
    <t>TR.EBITDAMean(Period=FY3)-TR.CapexMean(Period=FY3)</t>
  </si>
  <si>
    <t>Sales CAGR</t>
  </si>
  <si>
    <t>FY0 to FY3</t>
  </si>
  <si>
    <t>Last fiscal year</t>
  </si>
  <si>
    <t>Current</t>
  </si>
  <si>
    <t>Equity invest</t>
  </si>
  <si>
    <t>RICs</t>
  </si>
  <si>
    <t>AVAIL(TR.TotalDebtOutstanding(Period=FI0),TR.TotalDebtOutstanding(Period=FY0))</t>
  </si>
  <si>
    <t>TR.NetIncome(Period=FY0).PED</t>
  </si>
  <si>
    <t>AVAIL(TR.CashandSTInvestments(Period=FI0),TR.CashandSTInvestments(Period=FY0))</t>
  </si>
  <si>
    <t>AVAIL(TR.LTInvestmentAffiliateCompanies(Period=FI0),TR.LTInvestmentAffiliateCompanies(Period=FY0))</t>
  </si>
  <si>
    <t>AVAIL(TR.MinorityInterestBSStmt(Period=FI0),TR.MinorityInterestBSStmt(Period=FY0))</t>
  </si>
  <si>
    <t>AVAIL(TR.RedeemablePreferredTtl(Period=FI0)+TR.PreferredStockNonRedeemableNet(Period=FI0),TR.RedeemablePreferredTtl(Period=FY0)+TR.PreferredStockNonRedeemableNet(Period=FY0))</t>
  </si>
  <si>
    <t>AVAIL(TR.PensionBenefitsUnderfunded(Period=FI0),TR.PensionBenefitsUnderfunded(Period=FY0))</t>
  </si>
  <si>
    <t>TR.NetDebtMeanEstimate(Period=FY1)//TR.EBITDAMean(Period=FY1)</t>
  </si>
  <si>
    <t>TR.NetDebtMeanEstimate(Period=FY2)//TR.EBITDAMean(Period=FY2)</t>
  </si>
  <si>
    <t>TR.NetDebtMeanEstimate(Period=FY3)//TR.EBITDAMean(Period=FY3)</t>
  </si>
  <si>
    <t>Inputs Needed / Instructions</t>
  </si>
  <si>
    <t>#1/TR.RevenueMeanEstimate(Period=FY2)</t>
  </si>
  <si>
    <t>#1/TR.RevenueMeanEstimate(Period=FY3)</t>
  </si>
  <si>
    <t>TR.HistEnterpriseValue(Period=FY0)+ZAV(TR.PensionBenefitsUnderfunded(Period=FY0))-ZAV(TR.LTInvestmentAffiliateCompanies(Period=FY0))</t>
  </si>
  <si>
    <t>(TR.HistEnterpriseValue(Period=FY0)+ZAV(TR.PensionBenefitsUnderfunded(Period=FY0))-ZAV(TR.LTInvestmentAffiliateCompanies(Period=FY0)))/TR.Revenue(Period=FY0)</t>
  </si>
  <si>
    <t>(TR.HistEnterpriseValue(Period=FY0)+ZAV(TR.PensionBenefitsUnderfunded(Period=FY0))-ZAV(TR.LTInvestmentAffiliateCompanies(Period=FY0)))/TR.EBITDA(Period=FY0)</t>
  </si>
  <si>
    <t>#1/TR.RevenueMeanEstimate(Period=FY1:FY3)</t>
  </si>
  <si>
    <t>#1/TR.EBITDAMean(Period=FY1:FY3)</t>
  </si>
  <si>
    <t>(TR.HistEnterpriseValue(Period=FY0)+ZAV(TR.PensionBenefitsUnderfunded(Period=FY0))-ZAV(TR.LTInvestmentAffiliateCompanies(Period=FY0)))/(TR.EBITDA(Period=FY0)+TR.CapitalExpenditures(Period=FY0))</t>
  </si>
  <si>
    <t>#1/(TR.EBITDAMean-TR.CapexMean)</t>
  </si>
  <si>
    <t>(TR.HistEnterpriseValue(Period=FY0)+ZAV(TR.PensionBenefitsUnderfunded(Period=FY0))-ZAV(TR.LTInvestmentAffiliateCompanies(Period=FY0)))/TR.EBIT(Period=FY0)</t>
  </si>
  <si>
    <t>#1/TR.EBITMean(Period=FY1:FY3)</t>
  </si>
  <si>
    <t>TR.HistPE(Period=FY0)</t>
  </si>
  <si>
    <t>TR.PtoEPSMeanEst(Period=FY1)</t>
  </si>
  <si>
    <t>TR.PtoEPSMeanEst(Period=FY2)</t>
  </si>
  <si>
    <t>TR.PtoEPSMeanEst(Period=FY3)</t>
  </si>
  <si>
    <t>TR.NetDebtTot(Period=FY0)//TR.EBITDA(FY0)</t>
  </si>
  <si>
    <t>TR.EBITDAMarginPercent(Period=FY0)</t>
  </si>
  <si>
    <t>AVAIL(TR.EBITDAMean(Period=#1,methodology=InterimSum)/TR.RevenueMeanEstimate(Period=#1,methodology=InterimSum),TR.EBITDAMean(Period=#1,methodology=WeightedAnnual)/TR.RevenueMeanEstimate(Period=#1,methodology=WeightedAnnual))*100</t>
  </si>
  <si>
    <t>TR.DilutedEpsExclExtra(Period=FY0)</t>
  </si>
  <si>
    <t>TR.NetDebtTot(Period=FY0,scale=6)</t>
  </si>
  <si>
    <t>Automatic</t>
  </si>
  <si>
    <t>All data in:</t>
  </si>
  <si>
    <t xml:space="preserve">        Peers &amp; Valuation</t>
  </si>
  <si>
    <t>Source: Refinitiv; GBP as of 31 Mar' 19 , millions</t>
  </si>
  <si>
    <t>TEV and Price as of Latest Available in GBP ; Source: Refinitiv, IBES</t>
  </si>
  <si>
    <t>Source: Refinitiv, IBES; GBP , millions</t>
  </si>
  <si>
    <t xml:space="preserve">        Valuation</t>
  </si>
  <si>
    <t xml:space="preserve">        Peer Comparison</t>
  </si>
  <si>
    <t>005930.KS</t>
  </si>
  <si>
    <t>2330.TW</t>
  </si>
  <si>
    <t>AVGO.OQ</t>
  </si>
  <si>
    <t>ASML.AS</t>
  </si>
  <si>
    <t>AMD.OQ</t>
  </si>
  <si>
    <t>INTC.OQ</t>
  </si>
  <si>
    <t>QCOM.OQ</t>
  </si>
  <si>
    <t>AMAT.OQ</t>
  </si>
  <si>
    <t>Broadcom Inc</t>
  </si>
  <si>
    <t>ASML Holding NV</t>
  </si>
  <si>
    <t>Advanced Micro Devices Inc</t>
  </si>
  <si>
    <t>Intel Corp</t>
  </si>
  <si>
    <t>Qualcomm Inc</t>
  </si>
  <si>
    <t>Applied Materials Inc</t>
  </si>
  <si>
    <t>NULL</t>
  </si>
  <si>
    <t>Semiconductors</t>
  </si>
  <si>
    <t>Semiconductor Equipment &amp; Testing</t>
  </si>
  <si>
    <t>Phones &amp; Handheld Devices</t>
  </si>
  <si>
    <t>Samsung Electronics Co Ltd</t>
  </si>
  <si>
    <t>@TR("SCREEN(U(IN(Equity(active,public,primary))/*UNV:Public*/), Contains(TR.TRBCIndustryCode,""57401020""), CURN=USD)","TR.CommonName;TR.TRBCIndustryCode","curn=USD RH=In CH=Fd")</t>
  </si>
  <si>
    <t>,"TR.CommonName;TR.TRBCIndustryCode"</t>
    <phoneticPr fontId="141" type="noConversion"/>
  </si>
  <si>
    <t>, CURN=USD</t>
  </si>
  <si>
    <t>, CURN=USD</t>
    <phoneticPr fontId="141" type="noConversion"/>
  </si>
  <si>
    <t>, Contains(TR.TRBCIndustryCode,""57401020"")</t>
    <phoneticPr fontId="141" type="noConversion"/>
  </si>
  <si>
    <t>U(IN(Equity(active,public,primary))/*UNV:Public*/)</t>
    <phoneticPr fontId="141" type="noConversion"/>
  </si>
  <si>
    <r>
      <t>"SCREEN(</t>
    </r>
    <r>
      <rPr>
        <b/>
        <sz val="11"/>
        <color rgb="FF0070C0"/>
        <rFont val="맑은 고딕"/>
        <family val="3"/>
        <charset val="129"/>
        <scheme val="minor"/>
      </rPr>
      <t>U(IN(Equity(active,public,primary))/*UNV:Public*/)</t>
    </r>
    <r>
      <rPr>
        <sz val="11"/>
        <color theme="1"/>
        <rFont val="맑은 고딕"/>
        <family val="2"/>
        <scheme val="minor"/>
      </rPr>
      <t>,</t>
    </r>
    <r>
      <rPr>
        <b/>
        <sz val="11"/>
        <color rgb="FF00B050"/>
        <rFont val="맑은 고딕"/>
        <family val="3"/>
        <charset val="129"/>
        <scheme val="minor"/>
      </rPr>
      <t xml:space="preserve"> Contains(TR.TRBCIndustryCode,""57401020"")</t>
    </r>
    <r>
      <rPr>
        <sz val="11"/>
        <color theme="1"/>
        <rFont val="맑은 고딕"/>
        <family val="2"/>
        <scheme val="minor"/>
      </rPr>
      <t>,</t>
    </r>
    <r>
      <rPr>
        <b/>
        <sz val="11"/>
        <color theme="9"/>
        <rFont val="맑은 고딕"/>
        <family val="3"/>
        <charset val="129"/>
        <scheme val="minor"/>
      </rPr>
      <t xml:space="preserve"> CURN=USD</t>
    </r>
    <r>
      <rPr>
        <sz val="11"/>
        <color theme="1"/>
        <rFont val="맑은 고딕"/>
        <family val="2"/>
        <scheme val="minor"/>
      </rPr>
      <t>)"</t>
    </r>
    <phoneticPr fontId="141" type="noConversion"/>
  </si>
  <si>
    <t>[스크리너]</t>
    <phoneticPr fontId="141" type="noConversion"/>
  </si>
  <si>
    <t>[Peer]</t>
    <phoneticPr fontId="141" type="noConversion"/>
  </si>
  <si>
    <t>가져올 열</t>
    <phoneticPr fontId="141" type="noConversion"/>
  </si>
  <si>
    <t>CD10:CD59</t>
    <phoneticPr fontId="141" type="noConversion"/>
  </si>
  <si>
    <t>,"CURN=USD RH=In SORTD=TR.CompanyMarketCap"</t>
    <phoneticPr fontId="141" type="noConversion"/>
  </si>
  <si>
    <t>,"TR.CompanyMarketCap(Scale=6)"</t>
    <phoneticPr fontId="141" type="noConversion"/>
  </si>
  <si>
    <t>,CURN=USD</t>
    <phoneticPr fontId="141" type="noConversion"/>
  </si>
  <si>
    <t>,TOP(TR.CompanyMarketCap,"&amp;$E$5&amp;",nnumber)</t>
    <phoneticPr fontId="141" type="noConversion"/>
  </si>
  <si>
    <t>,IN(TR.TRBCEconSectorCode,"&amp;CD5&amp;")</t>
    <phoneticPr fontId="141" type="noConversion"/>
  </si>
  <si>
    <t>U(IN(Peers("&amp;$D$8&amp;")))</t>
    <phoneticPr fontId="141" type="noConversion"/>
  </si>
  <si>
    <t>TRBC Industry Code</t>
    <phoneticPr fontId="141" type="noConversion"/>
  </si>
  <si>
    <t>Industry</t>
    <phoneticPr fontId="141" type="noConversion"/>
  </si>
  <si>
    <t>Market Cap</t>
    <phoneticPr fontId="141" type="noConversion"/>
  </si>
  <si>
    <t>Geography</t>
    <phoneticPr fontId="141" type="noConversion"/>
  </si>
  <si>
    <t>TR.TRBCEconSectorCode</t>
    <phoneticPr fontId="141" type="noConversion"/>
  </si>
  <si>
    <t>TRBC Economic Sector Code</t>
    <phoneticPr fontId="141" type="noConversion"/>
  </si>
  <si>
    <t>Code</t>
    <phoneticPr fontId="141" type="noConversion"/>
  </si>
  <si>
    <t>2자리</t>
    <phoneticPr fontId="141" type="noConversion"/>
  </si>
  <si>
    <t>6자리</t>
    <phoneticPr fontId="141" type="noConversion"/>
  </si>
  <si>
    <t>TRBC Industry Group Code</t>
    <phoneticPr fontId="141" type="noConversion"/>
  </si>
  <si>
    <t>8자리</t>
    <phoneticPr fontId="141" type="noConversion"/>
  </si>
  <si>
    <t>TRBC Industry Name</t>
    <phoneticPr fontId="141" type="noConversion"/>
  </si>
  <si>
    <t>TRBC Industry Group</t>
    <phoneticPr fontId="141" type="noConversion"/>
  </si>
  <si>
    <t>TRBC Industry Group Name</t>
    <phoneticPr fontId="141" type="noConversion"/>
  </si>
  <si>
    <t>TRBC Economic Sector Name</t>
    <phoneticPr fontId="141" type="noConversion"/>
  </si>
  <si>
    <t>Lv1</t>
    <phoneticPr fontId="141" type="noConversion"/>
  </si>
  <si>
    <t>Lv2</t>
    <phoneticPr fontId="141" type="noConversion"/>
  </si>
  <si>
    <t>Lv3</t>
    <phoneticPr fontId="141" type="noConversion"/>
  </si>
  <si>
    <t>Lv4</t>
    <phoneticPr fontId="141" type="noConversion"/>
  </si>
  <si>
    <t>Lv5</t>
    <phoneticPr fontId="141" type="noConversion"/>
  </si>
  <si>
    <t>구분</t>
    <phoneticPr fontId="141" type="noConversion"/>
  </si>
  <si>
    <t>Name</t>
    <phoneticPr fontId="141" type="noConversion"/>
  </si>
  <si>
    <t>4자리</t>
    <phoneticPr fontId="141" type="noConversion"/>
  </si>
  <si>
    <t>TRBC Business Sector Code</t>
    <phoneticPr fontId="141" type="noConversion"/>
  </si>
  <si>
    <t>TRBC Business Sector Name</t>
    <phoneticPr fontId="141" type="noConversion"/>
  </si>
  <si>
    <t>10자리</t>
    <phoneticPr fontId="141" type="noConversion"/>
  </si>
  <si>
    <t>TRBC Activity Name</t>
    <phoneticPr fontId="141" type="noConversion"/>
  </si>
  <si>
    <t>TRBC Activity Code</t>
    <phoneticPr fontId="141" type="noConversion"/>
  </si>
  <si>
    <t>Lv</t>
    <phoneticPr fontId="141" type="noConversion"/>
  </si>
  <si>
    <t>Index</t>
    <phoneticPr fontId="141" type="noConversion"/>
  </si>
  <si>
    <t>TRBC Economic Sector</t>
    <phoneticPr fontId="141" type="noConversion"/>
  </si>
  <si>
    <t>TRBC Business Sector</t>
    <phoneticPr fontId="141" type="noConversion"/>
  </si>
  <si>
    <t>TRBC Industry</t>
    <phoneticPr fontId="141" type="noConversion"/>
  </si>
  <si>
    <t>TRBC Activity</t>
    <phoneticPr fontId="141" type="noConversion"/>
  </si>
  <si>
    <t>TR.TRBCBusinessSectorCode</t>
    <phoneticPr fontId="141" type="noConversion"/>
  </si>
  <si>
    <t>TR.TRBCIndustryGroupCode</t>
    <phoneticPr fontId="141" type="noConversion"/>
  </si>
  <si>
    <t>TR.TRBCIndustryCode</t>
    <phoneticPr fontId="141" type="noConversion"/>
  </si>
  <si>
    <t>TR.TRBCActivityCode</t>
    <phoneticPr fontId="141" type="noConversion"/>
  </si>
  <si>
    <t>TR.TRBCEconomicSector</t>
    <phoneticPr fontId="141" type="noConversion"/>
  </si>
  <si>
    <t>TR.TRBCBusinessSector</t>
    <phoneticPr fontId="141" type="noConversion"/>
  </si>
  <si>
    <t>TR.TRBCIndustryGroup</t>
    <phoneticPr fontId="141" type="noConversion"/>
  </si>
  <si>
    <t>TR.TRBCIndustry</t>
    <phoneticPr fontId="141" type="noConversion"/>
  </si>
  <si>
    <t>TR.TRBCActivity</t>
    <phoneticPr fontId="141" type="noConversion"/>
  </si>
  <si>
    <t>Lv2: TRBC Business Sector</t>
  </si>
  <si>
    <t>1810.HK</t>
  </si>
  <si>
    <t>Xiaomi Corp</t>
  </si>
  <si>
    <r>
      <t>"SCREEN(</t>
    </r>
    <r>
      <rPr>
        <b/>
        <sz val="11"/>
        <color rgb="FF0070C0"/>
        <rFont val="맑은 고딕"/>
        <family val="3"/>
        <charset val="129"/>
        <scheme val="minor"/>
      </rPr>
      <t>U(IN(Peers("&amp;$D$8&amp;"))),,</t>
    </r>
    <r>
      <rPr>
        <b/>
        <sz val="11"/>
        <color rgb="FF00B050"/>
        <rFont val="맑은 고딕"/>
        <family val="3"/>
        <charset val="129"/>
        <scheme val="minor"/>
      </rPr>
      <t>IN(TR.TRBCEconSectorCode,"&amp;CD5&amp;")</t>
    </r>
    <r>
      <rPr>
        <b/>
        <sz val="11"/>
        <color theme="5"/>
        <rFont val="맑은 고딕"/>
        <family val="3"/>
        <charset val="129"/>
        <scheme val="minor"/>
      </rPr>
      <t>,TOP(TR.CompanyMarketCap,"&amp;$E$5&amp;",nnumber)</t>
    </r>
    <r>
      <rPr>
        <sz val="11"/>
        <color theme="1"/>
        <rFont val="맑은 고딕"/>
        <family val="2"/>
        <scheme val="minor"/>
      </rPr>
      <t>,</t>
    </r>
    <r>
      <rPr>
        <b/>
        <sz val="11"/>
        <color rgb="FFFF9900"/>
        <rFont val="맑은 고딕"/>
        <family val="3"/>
        <charset val="129"/>
        <scheme val="minor"/>
      </rPr>
      <t>CURN=USD</t>
    </r>
    <r>
      <rPr>
        <sz val="11"/>
        <color theme="1"/>
        <rFont val="맑은 고딕"/>
        <family val="2"/>
        <scheme val="minor"/>
      </rPr>
      <t>)"</t>
    </r>
    <phoneticPr fontId="141" type="noConversion"/>
  </si>
  <si>
    <t>LRCX.OQ</t>
  </si>
  <si>
    <t>Lam Research Corp</t>
  </si>
  <si>
    <t>MU.OQ</t>
  </si>
  <si>
    <t>Micron Technology Inc</t>
  </si>
  <si>
    <t>000660.KS</t>
  </si>
  <si>
    <t>SK Hynix Inc</t>
  </si>
  <si>
    <t>KLAC.OQ</t>
  </si>
  <si>
    <t>KLA Corp</t>
  </si>
  <si>
    <t>2317.TW</t>
  </si>
  <si>
    <t>Hon Hai Precision Industry Co Ltd</t>
  </si>
  <si>
    <t>2454.TW</t>
  </si>
  <si>
    <t>MediaTek Inc</t>
  </si>
  <si>
    <t>GFS.OQ</t>
  </si>
  <si>
    <t>Globalfoundries Inc</t>
  </si>
  <si>
    <t>0981.HK</t>
  </si>
  <si>
    <t>Semiconductor Manufacturing International Corp</t>
  </si>
  <si>
    <t>2303.TW</t>
  </si>
  <si>
    <t>United Microelectronics Corp</t>
  </si>
  <si>
    <t>@TR("SCREEN(U(IN(Equity(active,public,primary))/*UNV:Public*/), Contains(TR.TRBCEconSectorAllCode,""57""), TR.CompanyMarketCap&gt;=13467926426.57, CURN=USD)","TR.CommonName;TR.TRBCEconSectorAllCode;TR.CompanyMarketCap","curn=USD RH=In CH=Fd SO"&amp;"RTD=TR.CompanyMarketCap")</t>
    <phoneticPr fontId="141" type="noConversion"/>
  </si>
  <si>
    <t>조건1개</t>
    <phoneticPr fontId="141" type="noConversion"/>
  </si>
  <si>
    <t>조건1</t>
    <phoneticPr fontId="141" type="noConversion"/>
  </si>
  <si>
    <t>,"curn=USD RH=In CH=Fd SO"&amp;"RTD=TR.CompanyMarketCap"</t>
    <phoneticPr fontId="141" type="noConversion"/>
  </si>
  <si>
    <t>,"curn=USD RH=In CH=Fd"</t>
    <phoneticPr fontId="141" type="noConversion"/>
  </si>
  <si>
    <t>,"TR.CommonName;TR.TRBCEconSectorAllCode;TR.CompanyMarketCap"</t>
    <phoneticPr fontId="141" type="noConversion"/>
  </si>
  <si>
    <t>"SCREEN(U(IN(Equity(active,public,primary))/*UNV:Public*/), Contains(TR.TRBCEconSectorAllCode,""57""), TR.CompanyMarketCap&gt;=13467926426.57, CURN=USD)"</t>
    <phoneticPr fontId="141" type="noConversion"/>
  </si>
  <si>
    <t>, TR.CompanyMarketCap&gt;=13467926426.57</t>
  </si>
  <si>
    <t>All</t>
  </si>
  <si>
    <t>All</t>
    <phoneticPr fontId="141" type="noConversion"/>
  </si>
  <si>
    <t>조건2개</t>
    <phoneticPr fontId="141" type="noConversion"/>
  </si>
  <si>
    <t>조건2</t>
    <phoneticPr fontId="141" type="noConversion"/>
  </si>
  <si>
    <t>@TR("SCREEN(U(IN(Equity(active,public,primary))/*UNV:Public*/), Contains(TR.TRBCEconSectorAllCode,""57""), TR.CompanyMarketCap&gt;=13467926426.57, IN(TR.ExchangeCountryCode,""KR""), CURN=USD)","TR.CommonName;TR.TRBCEconSectorAllCode;TR.Company"&amp;"MarketCap;TR.ExchangeCountry;TR.HeadquartersCountry","curn=USD RH=In CH=Fd SORTD=TR.CompanyMarketCap")</t>
    <phoneticPr fontId="141" type="noConversion"/>
  </si>
  <si>
    <t>조건3개</t>
    <phoneticPr fontId="141" type="noConversion"/>
  </si>
  <si>
    <t>,"curn=USD RH=In CH=Fd SORTD=TR.CompanyMarketCap"</t>
    <phoneticPr fontId="141" type="noConversion"/>
  </si>
  <si>
    <t>,"TR.CommonName;TR.TRBCEconSectorAllCode;TR.Company"&amp;"MarketCap;TR.ExchangeCountry;TR.HeadquartersCountry"</t>
    <phoneticPr fontId="141" type="noConversion"/>
  </si>
  <si>
    <t>"SCREEN(U(IN(Equity(active,public,primary))/*UNV:Public*/), Contains(TR.TRBCEconSectorAllCode,""57""), TR.CompanyMarketCap&gt;=13467926426.57, IN(TR.ExchangeCountryCode,""KR""), CURN=USD)"</t>
    <phoneticPr fontId="141" type="noConversion"/>
  </si>
  <si>
    <t>, IN(TR.ExchangeCountryCode,""KR"")</t>
    <phoneticPr fontId="141" type="noConversion"/>
  </si>
  <si>
    <t>Electronic Equipment &amp; Parts</t>
  </si>
  <si>
    <t>Asia_all</t>
    <phoneticPr fontId="141" type="noConversion"/>
  </si>
  <si>
    <t>Korea</t>
    <phoneticPr fontId="141" type="noConversion"/>
  </si>
  <si>
    <t>Japan</t>
    <phoneticPr fontId="141" type="noConversion"/>
  </si>
  <si>
    <t>"JP"</t>
  </si>
  <si>
    <t>"KR"</t>
  </si>
  <si>
    <t>"AF","BD","BT","IO","IN","IR","MV","NP","PK","L","K","AM","AZ","BH","GE","IQ","IL","JO","KW","LB","OM","PS","QA","SA","SY","TR","AE","YE","BN","KH","ID","LA","MY","MM","PH","SG","TH","TL","VN","CN","HK","JP","KP","K","R","MO","MN","TW","KZ","KG","TJ","TM","UZ"</t>
  </si>
  <si>
    <t>China</t>
    <phoneticPr fontId="141" type="noConversion"/>
  </si>
  <si>
    <t>"CN"</t>
  </si>
  <si>
    <t>Americas_all</t>
    <phoneticPr fontId="141" type="noConversion"/>
  </si>
  <si>
    <t>USA</t>
  </si>
  <si>
    <t>"US"</t>
  </si>
  <si>
    <t>"AI","AG","AR","AW","BS","BB","BZ","BO","BR","K","Y","CL","CO","CR","CU","CW","DM","DO","EC","SV","FK","GF","GD","GP","GT","GY","HT","HN","JM","MQ","MX","MS","NI","PA","PY","PE","PR","BL","KN","LC","MF","VC","SX","S","R","TT","TC","UY","VE","VG","VI","BM","CA","GL","PM","US"</t>
  </si>
  <si>
    <t>Geography_code</t>
    <phoneticPr fontId="141" type="noConversion"/>
  </si>
  <si>
    <t>Europe_all</t>
    <phoneticPr fontId="141" type="noConversion"/>
  </si>
  <si>
    <t>"AL","AD","BA","HR","CY","GI","GR","IT","MK","M","T","PT","ME","RS","SM","SI","ES","VA","AT","BE","FR","DE","LI","LU","MC","NL","CH","BY","BG","CZ","HU","MD","PL","RO","RU","SK","UA","DK","EE","FO","FI","GG","IS","I","E","IM","JE","LV","LT","NO","SJ","SE","GB"</t>
    <phoneticPr fontId="141" type="noConversion"/>
  </si>
  <si>
    <t>ARM.OQ</t>
  </si>
  <si>
    <t>Arm Holdings PLC</t>
  </si>
  <si>
    <t>603501.SS</t>
  </si>
  <si>
    <t>Will Semiconductor Co Ltd Shanghai</t>
  </si>
  <si>
    <t>&gt;=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</si>
</sst>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6">
    <numFmt numFmtId="41" formatCode="_-* #,##0_-;\-* #,##0_-;_-* &quot;-&quot;_-;_-@_-"/>
    <numFmt numFmtId="176" formatCode="&quot;$&quot;#,##0_);\(&quot;$&quot;#,##0\)"/>
    <numFmt numFmtId="177" formatCode="&quot;$&quot;#,##0.00_);\(&quot;$&quot;#,##0.00\)"/>
    <numFmt numFmtId="178" formatCode="&quot;$&quot;#,##0.00_);[Red]\(&quot;$&quot;#,##0.00\)"/>
    <numFmt numFmtId="179" formatCode="_(&quot;$&quot;* #,##0_);_(&quot;$&quot;* \(#,##0\);_(&quot;$&quot;* &quot;-&quot;_);_(@_)"/>
    <numFmt numFmtId="180" formatCode="_(* #,##0_);_(* \(#,##0\);_(* &quot;-&quot;_);_(@_)"/>
    <numFmt numFmtId="181" formatCode="_(&quot;$&quot;* #,##0.00_);_(&quot;$&quot;* \(#,##0.00\);_(&quot;$&quot;* &quot;-&quot;??_);_(@_)"/>
    <numFmt numFmtId="182" formatCode="_(* #,##0.00_);_(* \(#,##0.00\);_(* &quot;-&quot;??_);_(@_)"/>
    <numFmt numFmtId="183" formatCode="dd/mm/yyyy;@"/>
    <numFmt numFmtId="184" formatCode="dd\.mm\.yyyy;@"/>
    <numFmt numFmtId="185" formatCode="#,##0.0"/>
    <numFmt numFmtId="186" formatCode="0.0\x"/>
    <numFmt numFmtId="187" formatCode="#,##0.0\x"/>
    <numFmt numFmtId="188" formatCode="0.0%"/>
    <numFmt numFmtId="189" formatCode="#,##0.0_);\(#,##0.0\);@_)"/>
    <numFmt numFmtId="190" formatCode="#,##0.0_);\(#,##0.0\);&quot;-&quot;?_);@_)"/>
    <numFmt numFmtId="191" formatCode="&quot;$&quot;#,##0.0_);\(&quot;$&quot;#,##0.0\);@_)"/>
    <numFmt numFmtId="192" formatCode="&quot;$&quot;#,##0.0_);\(&quot;$&quot;#,##0.0\);&quot;-&quot;?_);@_)"/>
    <numFmt numFmtId="193" formatCode="&quot;$&quot;#,##0.00_)_x_x;\(&quot;$&quot;#,##0.00\)_x_x"/>
    <numFmt numFmtId="194" formatCode="0.0%;\-0.0%;&quot;-&quot;?_);@_)"/>
    <numFmt numFmtId="195" formatCode="#,##0.0_);[Red]\(#,##0.0\)"/>
    <numFmt numFmtId="196" formatCode="#,##0_)_x;\(#,##0\)_x;0_)_x;@_)_x"/>
    <numFmt numFmtId="197" formatCode="0.000000"/>
    <numFmt numFmtId="198" formatCode="&quot;£&quot;\ #,##0_);[Red]\(&quot;£&quot;\ #,##0\)"/>
    <numFmt numFmtId="199" formatCode="&quot;₩&quot;\ #,##0_);[Red]\(&quot;₩&quot;\ #,##0\)"/>
    <numFmt numFmtId="200" formatCode="\+#,##0.0_);\(#,##0.0\)"/>
    <numFmt numFmtId="201" formatCode="#,##0.0;\(#,##0.0\);\-"/>
    <numFmt numFmtId="202" formatCode="#,##0.0&quot; F&quot;;\(#,##0.0&quot; F&quot;\);\-"/>
    <numFmt numFmtId="203" formatCode="0.0%;\(0.0%\);\-"/>
    <numFmt numFmtId="204" formatCode="\ "/>
    <numFmt numFmtId="205" formatCode="0.00\x"/>
    <numFmt numFmtId="206" formatCode="#,##0.0_)_x_x_x;\(#,##0.0\)_x_x_x"/>
    <numFmt numFmtId="207" formatCode="#,##0.00_)_x_x;\(#,##0.00\)_x_x"/>
    <numFmt numFmtId="208" formatCode="#,##0;\(#,##0\);\-"/>
    <numFmt numFmtId="209" formatCode="#,##0&quot; MF&quot;;\(#,##0&quot; MF&quot;\);\-"/>
    <numFmt numFmtId="210" formatCode="mmmm\-yy"/>
    <numFmt numFmtId="211" formatCode="0.00\ ;\(0.00\)"/>
    <numFmt numFmtId="212" formatCode="_(* #,##0.0_);_(* \(#,##0.0\);_(* &quot;-&quot;?_);_(@_)"/>
    <numFmt numFmtId="213" formatCode="0.0_)"/>
    <numFmt numFmtId="214" formatCode="0.00%_);\(0.00%\)"/>
    <numFmt numFmtId="215" formatCode="0.0%_);\(0.0%\)"/>
    <numFmt numFmtId="216" formatCode="#,##0.0_);\(#,##0.0\)"/>
    <numFmt numFmtId="217" formatCode="_(* #,##0_);_(* \(#,##0\);_(* &quot;-&quot;??_);_(@_)"/>
    <numFmt numFmtId="218" formatCode="&quot;yes&quot;;&quot;no&quot;;&quot;no&quot;"/>
    <numFmt numFmtId="219" formatCode="&quot;•&quot;\ \ @"/>
    <numFmt numFmtId="220" formatCode="0.000_)"/>
    <numFmt numFmtId="221" formatCode="#,##0_%_);\(#,##0\)_%;#,##0_%_);@_%_)"/>
    <numFmt numFmtId="222" formatCode="#,##0.00_%_);\(#,##0.00\)_%;**;@_%_)"/>
    <numFmt numFmtId="223" formatCode="#,##0.00_%_);\(#,##0.00\)_%;#,##0.00_%_);@_%_)"/>
    <numFmt numFmtId="224" formatCode="0.00000000000000%"/>
    <numFmt numFmtId="225" formatCode="#,##0.0\x_);\(#,##0.0\x\)"/>
    <numFmt numFmtId="226" formatCode="0\ "/>
    <numFmt numFmtId="227" formatCode="&quot;$&quot;#,##0.00_%_);\(&quot;$&quot;#,##0.00\)_%;**;@_%_)"/>
    <numFmt numFmtId="228" formatCode="&quot;$&quot;#,##0.00_%_);\(&quot;$&quot;#,##0.00\)_%;&quot;$&quot;#,##0.00_%_);@_%_)"/>
    <numFmt numFmtId="229" formatCode="#,##0.0000000000000_);\(#,##0.0000000000000\)"/>
    <numFmt numFmtId="230" formatCode="&quot;$&quot;0.00\ ;\(&quot;$&quot;0.00\)"/>
    <numFmt numFmtId="231" formatCode="mmm\-dd\-yyyy"/>
    <numFmt numFmtId="232" formatCode="#,##0;\(#,##0\);\-\ "/>
    <numFmt numFmtId="233" formatCode="\ \ _•&quot;–&quot;\ \ \ \ @"/>
    <numFmt numFmtId="234" formatCode="m/d/yy_%_);;**"/>
    <numFmt numFmtId="235" formatCode="m/d/yy_%_)"/>
    <numFmt numFmtId="236" formatCode="0\ &quot;days&quot;"/>
    <numFmt numFmtId="237" formatCode="0.0"/>
    <numFmt numFmtId="238" formatCode="_-[$€-2]* #,##0.00_-;\-[$€-2]* #,##0.00_-;_-[$€-2]* &quot;-&quot;??_-"/>
    <numFmt numFmtId="239" formatCode="\€\ #,##0.0_);\(\€\ #,##0.0\);&quot;-&quot;?_);@_)"/>
    <numFmt numFmtId="240" formatCode="_-* #,##0.00\ [$€-1]_-;\-* #,##0.00\ [$€-1]_-;_-* &quot;-&quot;??\ [$€-1]_-"/>
    <numFmt numFmtId="241" formatCode="#,##0.0\ ;\(#,##0.0\);@\ "/>
    <numFmt numFmtId="242" formatCode="#,##0.0;\(#,##0.0\)"/>
    <numFmt numFmtId="243" formatCode="0_);[Red]\(0\)"/>
    <numFmt numFmtId="244" formatCode=";;;"/>
    <numFmt numFmtId="245" formatCode="#,##0\ ;@\ "/>
    <numFmt numFmtId="246" formatCode="_-* #,##0_-;_-* #,##0\-;_-* &quot;-&quot;_-;_-@_-"/>
    <numFmt numFmtId="247" formatCode="_-* #,##0.00_-;_-* #,##0.00\-;_-* &quot;-&quot;??_-;_-@_-"/>
    <numFmt numFmtId="248" formatCode="0.0\x_);\(0.0\x\)"/>
    <numFmt numFmtId="249" formatCode="#,##0.0&quot; x&quot;_);\(#,##0.0&quot; x&quot;\)"/>
    <numFmt numFmtId="250" formatCode="_(* #,##0.0_);[Red]_(* \(#,##0.0\);&quot;nm &quot;"/>
    <numFmt numFmtId="251" formatCode="_-* #,##0\ _P_t_s_-;\-* #,##0\ _P_t_s_-;_-* &quot;-&quot;\ _P_t_s_-;_-@_-"/>
    <numFmt numFmtId="252" formatCode="_-* #,##0.00\ _P_t_s_-;\-* #,##0.00\ _P_t_s_-;_-* &quot;-&quot;??\ _P_t_s_-;_-@_-"/>
    <numFmt numFmtId="253" formatCode="_-* #,##0\ _€_-;\-* #,##0\ _€_-;_-* &quot;-&quot;\ _€_-;_-@_-"/>
    <numFmt numFmtId="254" formatCode="_-* #,##0.00\ _F_-;\-* #,##0.00\ _F_-;_-* &quot;-&quot;??\ _F_-;_-@_-"/>
    <numFmt numFmtId="255" formatCode="&quot;$&quot;0.0_);\(&quot;$&quot;0.0\)"/>
    <numFmt numFmtId="256" formatCode="_-* #,##0\ &quot;Pts&quot;_-;\-* #,##0\ &quot;Pts&quot;_-;_-* &quot;-&quot;\ &quot;Pts&quot;_-;_-@_-"/>
    <numFmt numFmtId="257" formatCode="_-* #,##0.00\ &quot;Pts&quot;_-;\-* #,##0.00\ &quot;Pts&quot;_-;_-* &quot;-&quot;??\ &quot;Pts&quot;_-;_-@_-"/>
    <numFmt numFmtId="258" formatCode="_-* #,##0\ &quot;€&quot;_-;\-* #,##0\ &quot;€&quot;_-;_-* &quot;-&quot;\ &quot;€&quot;_-;_-@_-"/>
    <numFmt numFmtId="259" formatCode="_-* #,##0.00\ &quot;€&quot;_-;\-* #,##0.00\ &quot;€&quot;_-;_-* &quot;-&quot;??\ &quot;€&quot;_-;_-@_-"/>
    <numFmt numFmtId="260" formatCode="#,##0.0\x;\-#,##0.0\x;&quot;-&quot;?_);@_)"/>
    <numFmt numFmtId="261" formatCode="&quot;$&quot;#,##0.0_);\(&quot;$&quot;#,##0.0\)"/>
    <numFmt numFmtId="262" formatCode="&quot;Yes&quot;;;&quot;No&quot;"/>
    <numFmt numFmtId="263" formatCode="#,##0.0_);\(#,##0.0_)"/>
    <numFmt numFmtId="264" formatCode="&quot;On&quot;;;&quot;Off&quot;"/>
    <numFmt numFmtId="265" formatCode="#,##0.00;\(#,##0.00\);\-"/>
    <numFmt numFmtId="266" formatCode="0.0%;[Red]\(0.0%\)"/>
    <numFmt numFmtId="267" formatCode="&quot;£&quot;#,##0.00_);\(&quot;£&quot;#,##0.00\)"/>
    <numFmt numFmtId="268" formatCode="0.0&quot;x&quot;;@_)"/>
    <numFmt numFmtId="269" formatCode="0_ ;[Red]\-0\ "/>
    <numFmt numFmtId="270" formatCode="_ * #,##0_ ;_ * \-#,##0_ ;_ * &quot;-&quot;??_ ;_ @_ "/>
    <numFmt numFmtId="271" formatCode="\g\ \=\ 0.0%;\g\ \=\ \-0.0%"/>
    <numFmt numFmtId="272" formatCode="0.0\x\ "/>
    <numFmt numFmtId="273" formatCode="#,##0;\(#,##0\)"/>
    <numFmt numFmtId="274" formatCode="&quot;Include&quot;;;&quot;Exclude&quot;"/>
    <numFmt numFmtId="275" formatCode="&quot;on&quot;;;&quot;off&quot;"/>
    <numFmt numFmtId="276" formatCode="_-&quot;F&quot;\ * #,##0_-;_-&quot;F&quot;\ * #,##0\-;_-&quot;F&quot;\ * &quot;-&quot;_-;_-@_-"/>
    <numFmt numFmtId="277" formatCode="_-&quot;F&quot;\ * #,##0.00_-;_-&quot;F&quot;\ * #,##0.00\-;_-&quot;F&quot;\ * &quot;-&quot;??_-;_-@_-"/>
    <numFmt numFmtId="278" formatCode="#,##0.0_x_x"/>
    <numFmt numFmtId="279" formatCode="0.0&quot;x &quot;;@\ "/>
    <numFmt numFmtId="281" formatCode="0.0000%"/>
  </numFmts>
  <fonts count="152">
    <font>
      <sz val="11"/>
      <color theme="1"/>
      <name val="맑은 고딕"/>
      <family val="2"/>
      <scheme val="minor"/>
    </font>
    <font>
      <b/>
      <sz val="11"/>
      <color theme="1"/>
      <name val="맑은 고딕"/>
      <family val="2"/>
      <scheme val="minor"/>
    </font>
    <font>
      <sz val="11"/>
      <color theme="2" tint="-0.499984740745262"/>
      <name val="맑은 고딕"/>
      <family val="2"/>
      <scheme val="minor"/>
    </font>
    <font>
      <sz val="11"/>
      <color theme="0" tint="-0.14999847407452621"/>
      <name val="맑은 고딕"/>
      <family val="2"/>
      <scheme val="minor"/>
    </font>
    <font>
      <sz val="11"/>
      <color theme="1"/>
      <name val="맑은 고딕"/>
      <family val="2"/>
      <scheme val="minor"/>
    </font>
    <font>
      <sz val="11"/>
      <color theme="0" tint="-0.249977111117893"/>
      <name val="맑은 고딕"/>
      <family val="2"/>
      <scheme val="minor"/>
    </font>
    <font>
      <sz val="10"/>
      <name val="Arial"/>
      <family val="2"/>
    </font>
    <font>
      <u/>
      <sz val="10"/>
      <color theme="10"/>
      <name val="Arial"/>
      <family val="2"/>
    </font>
    <font>
      <b/>
      <i/>
      <u/>
      <sz val="11"/>
      <color theme="10"/>
      <name val="맑은 고딕"/>
      <family val="2"/>
      <scheme val="minor"/>
    </font>
    <font>
      <b/>
      <sz val="11"/>
      <color theme="2" tint="-0.499984740745262"/>
      <name val="맑은 고딕"/>
      <family val="2"/>
      <scheme val="minor"/>
    </font>
    <font>
      <b/>
      <sz val="11"/>
      <color theme="0" tint="-0.499984740745262"/>
      <name val="맑은 고딕"/>
      <family val="2"/>
      <scheme val="minor"/>
    </font>
    <font>
      <b/>
      <sz val="11"/>
      <color theme="9" tint="-0.249977111117893"/>
      <name val="맑은 고딕"/>
      <family val="2"/>
      <scheme val="minor"/>
    </font>
    <font>
      <sz val="11"/>
      <color theme="0" tint="-0.499984740745262"/>
      <name val="맑은 고딕"/>
      <family val="2"/>
      <scheme val="minor"/>
    </font>
    <font>
      <sz val="9"/>
      <color indexed="81"/>
      <name val="Tahoma"/>
      <family val="2"/>
    </font>
    <font>
      <b/>
      <sz val="9"/>
      <color indexed="81"/>
      <name val="Tahoma"/>
      <family val="2"/>
    </font>
    <font>
      <sz val="17"/>
      <color theme="0"/>
      <name val="Arial"/>
      <family val="2"/>
    </font>
    <font>
      <sz val="13"/>
      <color rgb="FF151516"/>
      <name val="Arial"/>
      <family val="2"/>
    </font>
    <font>
      <b/>
      <sz val="11"/>
      <color rgb="FF000000"/>
      <name val="맑은 고딕"/>
      <family val="2"/>
      <scheme val="minor"/>
    </font>
    <font>
      <b/>
      <sz val="10"/>
      <name val="MS Sans Serif"/>
      <family val="2"/>
    </font>
    <font>
      <sz val="10"/>
      <name val="Arial Narrow"/>
      <family val="2"/>
    </font>
    <font>
      <sz val="12"/>
      <color indexed="8"/>
      <name val="Times New Roman"/>
      <family val="1"/>
    </font>
    <font>
      <sz val="10"/>
      <name val="Courier"/>
      <family val="3"/>
    </font>
    <font>
      <b/>
      <sz val="22"/>
      <color indexed="18"/>
      <name val="Arial"/>
      <family val="2"/>
    </font>
    <font>
      <sz val="10"/>
      <name val="Univers Condensed"/>
      <family val="2"/>
    </font>
    <font>
      <b/>
      <sz val="14"/>
      <color indexed="18"/>
      <name val="Arial"/>
      <family val="2"/>
    </font>
    <font>
      <sz val="9"/>
      <color indexed="8"/>
      <name val="Arial"/>
      <family val="2"/>
    </font>
    <font>
      <b/>
      <sz val="10"/>
      <color indexed="18"/>
      <name val="Arial"/>
      <family val="2"/>
    </font>
    <font>
      <b/>
      <u val="singleAccounting"/>
      <sz val="10"/>
      <color indexed="18"/>
      <name val="Arial"/>
      <family val="2"/>
    </font>
    <font>
      <sz val="8"/>
      <name val="Times"/>
      <family val="1"/>
    </font>
    <font>
      <sz val="12"/>
      <name val="Times New Roman"/>
      <family val="1"/>
    </font>
    <font>
      <sz val="10"/>
      <name val="Palatino"/>
      <family val="1"/>
    </font>
    <font>
      <sz val="8"/>
      <name val="Arial"/>
      <family val="2"/>
    </font>
    <font>
      <sz val="14"/>
      <name val="Tms Rmn"/>
      <family val="1"/>
    </font>
    <font>
      <b/>
      <sz val="10"/>
      <name val="Arial"/>
      <family val="2"/>
    </font>
    <font>
      <sz val="11"/>
      <name val="Arial"/>
      <family val="2"/>
    </font>
    <font>
      <sz val="8"/>
      <color indexed="12"/>
      <name val="Arial"/>
      <family val="2"/>
    </font>
    <font>
      <sz val="9"/>
      <name val="Arial Narrow"/>
      <family val="2"/>
    </font>
    <font>
      <i/>
      <sz val="8"/>
      <color indexed="16"/>
      <name val="Arial"/>
      <family val="2"/>
    </font>
    <font>
      <i/>
      <sz val="8"/>
      <color indexed="54"/>
      <name val="Arial"/>
      <family val="2"/>
    </font>
    <font>
      <i/>
      <sz val="9"/>
      <color indexed="16"/>
      <name val="Arial"/>
      <family val="2"/>
    </font>
    <font>
      <b/>
      <sz val="9"/>
      <name val="Arial"/>
      <family val="2"/>
    </font>
    <font>
      <sz val="9"/>
      <name val="Arial"/>
      <family val="2"/>
    </font>
    <font>
      <sz val="9"/>
      <name val="AGaramond"/>
      <family val="2"/>
    </font>
    <font>
      <b/>
      <sz val="10"/>
      <color indexed="39"/>
      <name val="Arial"/>
      <family val="2"/>
    </font>
    <font>
      <sz val="10"/>
      <color indexed="8"/>
      <name val="Times New Roman"/>
      <family val="1"/>
    </font>
    <font>
      <sz val="12"/>
      <name val="Arial"/>
      <family val="2"/>
    </font>
    <font>
      <sz val="8"/>
      <color indexed="12"/>
      <name val="Helv"/>
      <family val="2"/>
    </font>
    <font>
      <sz val="10"/>
      <name val="Geneva"/>
      <family val="2"/>
    </font>
    <font>
      <b/>
      <sz val="12"/>
      <color indexed="55"/>
      <name val="Arial"/>
      <family val="2"/>
    </font>
    <font>
      <sz val="9"/>
      <color indexed="62"/>
      <name val="Arial Narrow"/>
      <family val="2"/>
    </font>
    <font>
      <sz val="12"/>
      <color indexed="12"/>
      <name val="Arial"/>
      <family val="2"/>
    </font>
    <font>
      <sz val="10"/>
      <color indexed="54"/>
      <name val="Arial Narrow"/>
      <family val="2"/>
    </font>
    <font>
      <sz val="10"/>
      <color indexed="39"/>
      <name val="Arial"/>
      <family val="2"/>
    </font>
    <font>
      <sz val="10"/>
      <color indexed="12"/>
      <name val="Arial Narrow"/>
      <family val="2"/>
    </font>
    <font>
      <sz val="10"/>
      <color indexed="12"/>
      <name val="Times New Roman"/>
      <family val="1"/>
    </font>
    <font>
      <b/>
      <sz val="12"/>
      <name val="Times New Roman"/>
      <family val="1"/>
    </font>
    <font>
      <sz val="8"/>
      <name val="Times New Roman"/>
      <family val="1"/>
    </font>
    <font>
      <b/>
      <sz val="7"/>
      <name val="Arial"/>
      <family val="2"/>
    </font>
    <font>
      <u val="singleAccounting"/>
      <sz val="10"/>
      <name val="Arial"/>
      <family val="2"/>
    </font>
    <font>
      <u/>
      <sz val="9"/>
      <name val="Times New Roman"/>
      <family val="1"/>
    </font>
    <font>
      <b/>
      <sz val="12"/>
      <color indexed="63"/>
      <name val="Arial Narrow"/>
      <family val="2"/>
    </font>
    <font>
      <b/>
      <sz val="10"/>
      <name val="Arial Narrow"/>
      <family val="2"/>
    </font>
    <font>
      <sz val="10"/>
      <name val="MS Sans Serif"/>
      <family val="2"/>
    </font>
    <font>
      <sz val="11"/>
      <name val="Tms Rmn"/>
      <family val="1"/>
    </font>
    <font>
      <sz val="10"/>
      <color indexed="9"/>
      <name val="Times"/>
      <family val="1"/>
    </font>
    <font>
      <sz val="10"/>
      <color indexed="39"/>
      <name val="Century Schoolbook"/>
      <family val="1"/>
    </font>
    <font>
      <sz val="8"/>
      <name val="Palatino"/>
      <family val="1"/>
    </font>
    <font>
      <sz val="24"/>
      <name val="MS Sans Serif"/>
      <family val="2"/>
    </font>
    <font>
      <sz val="7"/>
      <name val="Arial"/>
      <family val="2"/>
    </font>
    <font>
      <sz val="8"/>
      <color indexed="16"/>
      <name val="Palatino"/>
      <family val="1"/>
    </font>
    <font>
      <sz val="10"/>
      <color indexed="17"/>
      <name val="Palatino"/>
      <family val="1"/>
    </font>
    <font>
      <sz val="12"/>
      <name val="TimesNewRomanPS"/>
      <family val="1"/>
    </font>
    <font>
      <u val="doubleAccounting"/>
      <sz val="10"/>
      <name val="Arial"/>
      <family val="2"/>
    </font>
    <font>
      <sz val="10"/>
      <color indexed="38"/>
      <name val="Arial"/>
      <family val="2"/>
    </font>
    <font>
      <sz val="8"/>
      <color indexed="10"/>
      <name val="Arial"/>
      <family val="2"/>
    </font>
    <font>
      <sz val="7"/>
      <name val="Palatino"/>
      <family val="1"/>
    </font>
    <font>
      <sz val="9"/>
      <name val="GillSans"/>
      <family val="2"/>
    </font>
    <font>
      <sz val="9"/>
      <name val="GillSans Light"/>
      <family val="2"/>
    </font>
    <font>
      <b/>
      <sz val="14"/>
      <name val="Arial"/>
      <family val="2"/>
    </font>
    <font>
      <sz val="10.5"/>
      <name val="Times New Roman"/>
      <family val="1"/>
    </font>
    <font>
      <b/>
      <sz val="12"/>
      <name val="Arial"/>
      <family val="2"/>
    </font>
    <font>
      <b/>
      <sz val="18"/>
      <name val="Arial"/>
      <family val="2"/>
    </font>
    <font>
      <sz val="18"/>
      <name val="Helvetica-Black"/>
      <family val="2"/>
    </font>
    <font>
      <i/>
      <sz val="14"/>
      <name val="Palatino"/>
      <family val="1"/>
    </font>
    <font>
      <b/>
      <sz val="1"/>
      <color indexed="8"/>
      <name val="Courier"/>
      <family val="3"/>
    </font>
    <font>
      <b/>
      <i/>
      <sz val="7"/>
      <name val="Times New Roman"/>
      <family val="1"/>
    </font>
    <font>
      <sz val="10"/>
      <color indexed="12"/>
      <name val="Arial"/>
      <family val="2"/>
    </font>
    <font>
      <sz val="8"/>
      <color indexed="12"/>
      <name val="CG Times (W1)"/>
      <family val="1"/>
    </font>
    <font>
      <u/>
      <sz val="10"/>
      <color indexed="21"/>
      <name val="Arial"/>
      <family val="2"/>
    </font>
    <font>
      <u/>
      <sz val="10"/>
      <color indexed="23"/>
      <name val="Arial"/>
      <family val="2"/>
    </font>
    <font>
      <sz val="10"/>
      <name val="Times New Roman"/>
      <family val="1"/>
    </font>
    <font>
      <sz val="8"/>
      <color indexed="8"/>
      <name val="Helv"/>
      <family val="2"/>
    </font>
    <font>
      <sz val="8"/>
      <color indexed="10"/>
      <name val="Times New Roman"/>
      <family val="1"/>
    </font>
    <font>
      <sz val="30"/>
      <name val="Arial"/>
      <family val="2"/>
    </font>
    <font>
      <sz val="26"/>
      <name val="Arial"/>
      <family val="2"/>
    </font>
    <font>
      <sz val="48"/>
      <name val="Arial"/>
      <family val="2"/>
    </font>
    <font>
      <b/>
      <sz val="100"/>
      <name val="Arial"/>
      <family val="2"/>
    </font>
    <font>
      <sz val="10"/>
      <color indexed="20"/>
      <name val="Times New Roman"/>
      <family val="1"/>
    </font>
    <font>
      <sz val="12"/>
      <color indexed="14"/>
      <name val="Arial"/>
      <family val="2"/>
    </font>
    <font>
      <sz val="7"/>
      <name val="Small Fonts"/>
      <family val="2"/>
    </font>
    <font>
      <i/>
      <sz val="10"/>
      <name val="Arial"/>
      <family val="2"/>
    </font>
    <font>
      <i/>
      <sz val="10"/>
      <name val="Helv"/>
      <family val="2"/>
    </font>
    <font>
      <b/>
      <sz val="10"/>
      <color indexed="12"/>
      <name val="Arial Narrow"/>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b/>
      <sz val="26"/>
      <name val="Times New Roman"/>
      <family val="1"/>
    </font>
    <font>
      <sz val="10"/>
      <color indexed="16"/>
      <name val="Helvetica-Black"/>
      <family val="2"/>
    </font>
    <font>
      <sz val="10"/>
      <color indexed="10"/>
      <name val="Arial Narrow"/>
      <family val="2"/>
    </font>
    <font>
      <sz val="10"/>
      <color indexed="10"/>
      <name val="MS Sans Serif"/>
      <family val="2"/>
    </font>
    <font>
      <sz val="8"/>
      <name val="Univers"/>
      <family val="2"/>
    </font>
    <font>
      <b/>
      <sz val="12"/>
      <name val="MS Sans Serif"/>
      <family val="2"/>
    </font>
    <font>
      <sz val="12"/>
      <name val="Osaka"/>
      <family val="3"/>
      <charset val="128"/>
    </font>
    <font>
      <b/>
      <sz val="24"/>
      <name val="Arial"/>
      <family val="2"/>
    </font>
    <font>
      <b/>
      <sz val="14"/>
      <color indexed="9"/>
      <name val="Arial"/>
      <family val="2"/>
    </font>
    <font>
      <b/>
      <sz val="10"/>
      <color indexed="9"/>
      <name val="Arial"/>
      <family val="2"/>
    </font>
    <font>
      <b/>
      <sz val="13"/>
      <color indexed="8"/>
      <name val="Verdana"/>
      <family val="2"/>
    </font>
    <font>
      <b/>
      <sz val="8"/>
      <color indexed="9"/>
      <name val="Verdana"/>
      <family val="2"/>
    </font>
    <font>
      <b/>
      <sz val="8"/>
      <color indexed="8"/>
      <name val="Arial"/>
      <family val="2"/>
    </font>
    <font>
      <sz val="8.25"/>
      <color indexed="8"/>
      <name val="Arial"/>
      <family val="2"/>
    </font>
    <font>
      <b/>
      <sz val="10.5"/>
      <color indexed="8"/>
      <name val="Arial"/>
      <family val="2"/>
    </font>
    <font>
      <i/>
      <sz val="8"/>
      <color indexed="8"/>
      <name val="Arial"/>
      <family val="2"/>
    </font>
    <font>
      <sz val="2"/>
      <color indexed="9"/>
      <name val="Symbol"/>
      <family val="1"/>
      <charset val="2"/>
    </font>
    <font>
      <b/>
      <sz val="9"/>
      <name val="Palatino"/>
      <family val="1"/>
    </font>
    <font>
      <sz val="9"/>
      <color indexed="21"/>
      <name val="Helvetica-Black"/>
      <family val="2"/>
    </font>
    <font>
      <sz val="9"/>
      <name val="Helvetica-Black"/>
      <family val="2"/>
    </font>
    <font>
      <sz val="12"/>
      <color indexed="12"/>
      <name val="Arial MT"/>
      <family val="2"/>
    </font>
    <font>
      <sz val="8"/>
      <name val="Helv"/>
      <family val="2"/>
    </font>
    <font>
      <sz val="1"/>
      <color indexed="8"/>
      <name val="Courier"/>
      <family val="3"/>
    </font>
    <font>
      <sz val="10"/>
      <color indexed="8"/>
      <name val="Arial"/>
      <family val="2"/>
    </font>
    <font>
      <sz val="11"/>
      <color rgb="FFFFFFFF"/>
      <name val="Arial"/>
      <family val="2"/>
    </font>
    <font>
      <sz val="10"/>
      <color indexed="62"/>
      <name val="Arial"/>
      <family val="2"/>
    </font>
    <font>
      <sz val="12"/>
      <color indexed="8"/>
      <name val="Times"/>
      <family val="1"/>
    </font>
    <font>
      <sz val="8"/>
      <color indexed="12"/>
      <name val="Times New Roman"/>
      <family val="1"/>
    </font>
    <font>
      <b/>
      <sz val="10"/>
      <color indexed="12"/>
      <name val="Arial"/>
      <family val="2"/>
    </font>
    <font>
      <sz val="11"/>
      <color theme="1"/>
      <name val="Arial"/>
      <family val="2"/>
    </font>
    <font>
      <sz val="13"/>
      <color theme="1"/>
      <name val="Arial"/>
      <family val="2"/>
    </font>
    <font>
      <sz val="12"/>
      <color theme="1"/>
      <name val="Arial"/>
      <family val="2"/>
    </font>
    <font>
      <b/>
      <sz val="10"/>
      <color indexed="8"/>
      <name val="Arial"/>
      <family val="2"/>
    </font>
    <font>
      <sz val="10"/>
      <color theme="1"/>
      <name val="Arial"/>
      <family val="2"/>
    </font>
    <font>
      <sz val="8"/>
      <name val="맑은 고딕"/>
      <family val="3"/>
      <charset val="129"/>
      <scheme val="minor"/>
    </font>
    <font>
      <b/>
      <sz val="11"/>
      <color rgb="FF0070C0"/>
      <name val="맑은 고딕"/>
      <family val="3"/>
      <charset val="129"/>
      <scheme val="minor"/>
    </font>
    <font>
      <b/>
      <sz val="11"/>
      <color theme="1"/>
      <name val="맑은 고딕"/>
      <family val="3"/>
      <charset val="129"/>
      <scheme val="minor"/>
    </font>
    <font>
      <b/>
      <sz val="11"/>
      <color rgb="FF00B050"/>
      <name val="맑은 고딕"/>
      <family val="3"/>
      <charset val="129"/>
      <scheme val="minor"/>
    </font>
    <font>
      <b/>
      <sz val="11"/>
      <color theme="9"/>
      <name val="맑은 고딕"/>
      <family val="3"/>
      <charset val="129"/>
      <scheme val="minor"/>
    </font>
    <font>
      <b/>
      <sz val="11"/>
      <color theme="7"/>
      <name val="맑은 고딕"/>
      <family val="3"/>
      <charset val="129"/>
      <scheme val="minor"/>
    </font>
    <font>
      <b/>
      <sz val="11"/>
      <color theme="8"/>
      <name val="맑은 고딕"/>
      <family val="3"/>
      <charset val="129"/>
      <scheme val="minor"/>
    </font>
    <font>
      <b/>
      <sz val="11"/>
      <color rgb="FFFF9900"/>
      <name val="맑은 고딕"/>
      <family val="3"/>
      <charset val="129"/>
      <scheme val="minor"/>
    </font>
    <font>
      <b/>
      <sz val="11"/>
      <color theme="5"/>
      <name val="맑은 고딕"/>
      <family val="3"/>
      <charset val="129"/>
      <scheme val="minor"/>
    </font>
    <font>
      <sz val="10"/>
      <color theme="1"/>
      <name val="Arial Unicode MS"/>
      <family val="2"/>
      <charset val="129"/>
    </font>
    <font>
      <sz val="10"/>
      <name val="Arial Unicode MS"/>
      <family val="2"/>
      <charset val="129"/>
    </font>
  </fonts>
  <fills count="3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3C3C3C"/>
        <bgColor indexed="64"/>
      </patternFill>
    </fill>
    <fill>
      <patternFill patternType="solid">
        <fgColor rgb="FFE2E2E2"/>
        <bgColor indexed="64"/>
      </patternFill>
    </fill>
    <fill>
      <patternFill patternType="solid">
        <fgColor indexed="9"/>
        <bgColor indexed="64"/>
      </patternFill>
    </fill>
    <fill>
      <patternFill patternType="solid">
        <fgColor indexed="43"/>
      </patternFill>
    </fill>
    <fill>
      <patternFill patternType="solid">
        <fgColor indexed="22"/>
        <bgColor indexed="64"/>
      </patternFill>
    </fill>
    <fill>
      <patternFill patternType="solid">
        <fgColor indexed="29"/>
        <bgColor indexed="64"/>
      </patternFill>
    </fill>
    <fill>
      <patternFill patternType="solid">
        <fgColor indexed="42"/>
        <bgColor indexed="64"/>
      </patternFill>
    </fill>
    <fill>
      <patternFill patternType="solid">
        <fgColor indexed="31"/>
        <bgColor indexed="64"/>
      </patternFill>
    </fill>
    <fill>
      <patternFill patternType="solid">
        <fgColor indexed="43"/>
        <bgColor indexed="64"/>
      </patternFill>
    </fill>
    <fill>
      <patternFill patternType="solid">
        <fgColor indexed="51"/>
        <bgColor indexed="64"/>
      </patternFill>
    </fill>
    <fill>
      <patternFill patternType="gray125">
        <fgColor indexed="8"/>
      </patternFill>
    </fill>
    <fill>
      <patternFill patternType="solid">
        <fgColor indexed="22"/>
      </patternFill>
    </fill>
    <fill>
      <patternFill patternType="solid">
        <fgColor indexed="13"/>
        <bgColor indexed="64"/>
      </patternFill>
    </fill>
    <fill>
      <patternFill patternType="lightGray">
        <fgColor indexed="15"/>
      </patternFill>
    </fill>
    <fill>
      <patternFill patternType="solid">
        <fgColor indexed="16"/>
        <bgColor indexed="64"/>
      </patternFill>
    </fill>
    <fill>
      <patternFill patternType="lightGray">
        <fgColor indexed="12"/>
      </patternFill>
    </fill>
    <fill>
      <patternFill patternType="solid">
        <fgColor indexed="10"/>
        <bgColor indexed="64"/>
      </patternFill>
    </fill>
    <fill>
      <patternFill patternType="solid">
        <fgColor indexed="9"/>
        <bgColor indexed="9"/>
      </patternFill>
    </fill>
    <fill>
      <patternFill patternType="solid">
        <fgColor indexed="26"/>
        <bgColor indexed="64"/>
      </patternFill>
    </fill>
    <fill>
      <patternFill patternType="solid">
        <fgColor indexed="47"/>
        <bgColor indexed="64"/>
      </patternFill>
    </fill>
    <fill>
      <patternFill patternType="gray0625"/>
    </fill>
    <fill>
      <patternFill patternType="solid">
        <fgColor indexed="13"/>
      </patternFill>
    </fill>
    <fill>
      <patternFill patternType="mediumGray">
        <fgColor indexed="9"/>
        <bgColor indexed="22"/>
      </patternFill>
    </fill>
    <fill>
      <patternFill patternType="solid">
        <fgColor indexed="40"/>
        <bgColor indexed="64"/>
      </patternFill>
    </fill>
    <fill>
      <patternFill patternType="solid">
        <fgColor indexed="15"/>
      </patternFill>
    </fill>
    <fill>
      <patternFill patternType="mediumGray">
        <fgColor indexed="22"/>
      </patternFill>
    </fill>
    <fill>
      <patternFill patternType="solid">
        <fgColor indexed="18"/>
        <bgColor indexed="64"/>
      </patternFill>
    </fill>
    <fill>
      <patternFill patternType="solid">
        <fgColor indexed="56"/>
        <bgColor indexed="64"/>
      </patternFill>
    </fill>
    <fill>
      <patternFill patternType="solid">
        <fgColor indexed="63"/>
        <bgColor indexed="64"/>
      </patternFill>
    </fill>
    <fill>
      <patternFill patternType="solid">
        <fgColor indexed="8"/>
        <bgColor indexed="64"/>
      </patternFill>
    </fill>
    <fill>
      <patternFill patternType="solid">
        <fgColor indexed="41"/>
        <bgColor indexed="64"/>
      </patternFill>
    </fill>
    <fill>
      <patternFill patternType="solid">
        <fgColor rgb="FFFFDDBA"/>
        <bgColor indexed="64"/>
      </patternFill>
    </fill>
    <fill>
      <patternFill patternType="solid">
        <fgColor rgb="FFC2C2C2"/>
        <bgColor indexed="64"/>
      </patternFill>
    </fill>
    <fill>
      <patternFill patternType="solid">
        <fgColor rgb="FF001EFF"/>
        <bgColor indexed="64"/>
      </patternFill>
    </fill>
    <fill>
      <patternFill patternType="solid">
        <fgColor theme="0" tint="-4.9989318521683403E-2"/>
        <bgColor indexed="64"/>
      </patternFill>
    </fill>
  </fills>
  <borders count="57">
    <border>
      <left/>
      <right/>
      <top/>
      <bottom/>
      <diagonal/>
    </border>
    <border>
      <left style="dashed">
        <color auto="1"/>
      </left>
      <right style="dashed">
        <color auto="1"/>
      </right>
      <top style="dashed">
        <color auto="1"/>
      </top>
      <bottom style="dashed">
        <color auto="1"/>
      </bottom>
      <diagonal/>
    </border>
    <border>
      <left style="thin">
        <color indexed="64"/>
      </left>
      <right style="dashed">
        <color auto="1"/>
      </right>
      <top style="dashed">
        <color auto="1"/>
      </top>
      <bottom style="dashed">
        <color auto="1"/>
      </bottom>
      <diagonal/>
    </border>
    <border>
      <left style="dashed">
        <color auto="1"/>
      </left>
      <right style="thin">
        <color indexed="64"/>
      </right>
      <top style="dashed">
        <color auto="1"/>
      </top>
      <bottom style="dashed">
        <color auto="1"/>
      </bottom>
      <diagonal/>
    </border>
    <border>
      <left style="thin">
        <color indexed="64"/>
      </left>
      <right style="dashed">
        <color auto="1"/>
      </right>
      <top style="dashed">
        <color auto="1"/>
      </top>
      <bottom style="thin">
        <color indexed="64"/>
      </bottom>
      <diagonal/>
    </border>
    <border>
      <left style="dashed">
        <color auto="1"/>
      </left>
      <right style="dashed">
        <color auto="1"/>
      </right>
      <top style="dashed">
        <color auto="1"/>
      </top>
      <bottom style="thin">
        <color indexed="64"/>
      </bottom>
      <diagonal/>
    </border>
    <border>
      <left style="dashed">
        <color auto="1"/>
      </left>
      <right style="thin">
        <color indexed="64"/>
      </right>
      <top style="dashed">
        <color auto="1"/>
      </top>
      <bottom style="thin">
        <color indexed="64"/>
      </bottom>
      <diagonal/>
    </border>
    <border>
      <left style="thin">
        <color indexed="64"/>
      </left>
      <right style="dashed">
        <color auto="1"/>
      </right>
      <top/>
      <bottom style="dashed">
        <color auto="1"/>
      </bottom>
      <diagonal/>
    </border>
    <border>
      <left style="dashed">
        <color auto="1"/>
      </left>
      <right style="dashed">
        <color auto="1"/>
      </right>
      <top/>
      <bottom style="dashed">
        <color auto="1"/>
      </bottom>
      <diagonal/>
    </border>
    <border>
      <left style="dashed">
        <color auto="1"/>
      </left>
      <right style="thin">
        <color indexed="64"/>
      </right>
      <top/>
      <bottom style="dashed">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top/>
      <bottom style="thin">
        <color auto="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style="medium">
        <color indexed="64"/>
      </bottom>
      <diagonal/>
    </border>
    <border>
      <left style="thin">
        <color indexed="64"/>
      </left>
      <right style="thin">
        <color indexed="64"/>
      </right>
      <top/>
      <bottom/>
      <diagonal/>
    </border>
    <border>
      <left/>
      <right/>
      <top style="hair">
        <color indexed="8"/>
      </top>
      <bottom style="hair">
        <color indexed="8"/>
      </bottom>
      <diagonal/>
    </border>
    <border>
      <left/>
      <right/>
      <top/>
      <bottom style="medium">
        <color indexed="18"/>
      </bottom>
      <diagonal/>
    </border>
    <border>
      <left style="medium">
        <color indexed="64"/>
      </left>
      <right style="medium">
        <color indexed="64"/>
      </right>
      <top/>
      <bottom/>
      <diagonal/>
    </border>
    <border>
      <left style="medium">
        <color indexed="64"/>
      </left>
      <right style="medium">
        <color indexed="64"/>
      </right>
      <top/>
      <bottom style="thick">
        <color indexed="37"/>
      </bottom>
      <diagonal/>
    </border>
    <border>
      <left/>
      <right/>
      <top style="thin">
        <color indexed="64"/>
      </top>
      <bottom style="thin">
        <color indexed="64"/>
      </bottom>
      <diagonal/>
    </border>
    <border>
      <left/>
      <right/>
      <top style="thin">
        <color indexed="8"/>
      </top>
      <bottom/>
      <diagonal/>
    </border>
    <border>
      <left/>
      <right/>
      <top/>
      <bottom style="medium">
        <color indexed="15"/>
      </bottom>
      <diagonal/>
    </border>
    <border>
      <left/>
      <right/>
      <top/>
      <bottom style="medium">
        <color indexed="64"/>
      </bottom>
      <diagonal/>
    </border>
    <border>
      <left/>
      <right/>
      <top/>
      <bottom style="thin">
        <color indexed="28"/>
      </bottom>
      <diagonal/>
    </border>
    <border>
      <left style="hair">
        <color indexed="64"/>
      </left>
      <right style="hair">
        <color indexed="64"/>
      </right>
      <top/>
      <bottom/>
      <diagonal/>
    </border>
    <border>
      <left/>
      <right/>
      <top/>
      <bottom style="dotted">
        <color indexed="64"/>
      </bottom>
      <diagonal/>
    </border>
    <border>
      <left/>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right/>
      <top/>
      <bottom style="thin">
        <color indexed="64"/>
      </bottom>
      <diagonal/>
    </border>
    <border>
      <left style="hair">
        <color indexed="64"/>
      </left>
      <right style="hair">
        <color indexed="64"/>
      </right>
      <top style="hair">
        <color indexed="64"/>
      </top>
      <bottom style="hair">
        <color indexed="64"/>
      </bottom>
      <diagonal/>
    </border>
    <border>
      <left/>
      <right/>
      <top style="medium">
        <color indexed="15"/>
      </top>
      <bottom style="thin">
        <color indexed="15"/>
      </bottom>
      <diagonal/>
    </border>
    <border>
      <left/>
      <right/>
      <top style="thin">
        <color indexed="64"/>
      </top>
      <bottom style="double">
        <color indexed="64"/>
      </bottom>
      <diagonal/>
    </border>
    <border>
      <left style="thin">
        <color rgb="FFFF9933"/>
      </left>
      <right style="thin">
        <color rgb="FFFF9933"/>
      </right>
      <top style="thin">
        <color rgb="FFFF9933"/>
      </top>
      <bottom style="thin">
        <color rgb="FFFF9933"/>
      </bottom>
      <diagonal/>
    </border>
    <border>
      <left/>
      <right/>
      <top/>
      <bottom style="thin">
        <color indexed="15"/>
      </bottom>
      <diagonal/>
    </border>
    <border>
      <left/>
      <right/>
      <top style="thin">
        <color rgb="FFC2C2C2"/>
      </top>
      <bottom/>
      <diagonal/>
    </border>
    <border>
      <left/>
      <right/>
      <top/>
      <bottom style="thin">
        <color rgb="FFC2C2C2"/>
      </bottom>
      <diagonal/>
    </border>
    <border>
      <left/>
      <right/>
      <top style="thin">
        <color rgb="FFC2C2C2"/>
      </top>
      <bottom style="thin">
        <color rgb="FFC2C2C2"/>
      </bottom>
      <diagonal/>
    </border>
    <border>
      <left/>
      <right style="thin">
        <color indexed="64"/>
      </right>
      <top style="medium">
        <color indexed="64"/>
      </top>
      <bottom style="medium">
        <color indexed="64"/>
      </bottom>
      <diagonal/>
    </border>
    <border>
      <left/>
      <right/>
      <top/>
      <bottom style="medium">
        <color rgb="FF3C3C3C"/>
      </bottom>
      <diagonal/>
    </border>
    <border>
      <left style="thin">
        <color rgb="FF99A5FF"/>
      </left>
      <right style="thin">
        <color rgb="FF99A5FF"/>
      </right>
      <top style="thin">
        <color rgb="FF99A5FF"/>
      </top>
      <bottom style="thin">
        <color rgb="FF99A5FF"/>
      </bottom>
      <diagonal/>
    </border>
    <border>
      <left style="thin">
        <color rgb="FF99A5FF"/>
      </left>
      <right/>
      <top style="thin">
        <color rgb="FF99A5FF"/>
      </top>
      <bottom style="thin">
        <color rgb="FF99A5FF"/>
      </bottom>
      <diagonal/>
    </border>
    <border>
      <left style="thin">
        <color rgb="FF99A5FF"/>
      </left>
      <right style="thin">
        <color rgb="FF99A5FF"/>
      </right>
      <top style="thin">
        <color rgb="FF99A5FF"/>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rgb="FF99A5FF"/>
      </left>
      <right style="thin">
        <color rgb="FF99A5FF"/>
      </right>
      <top/>
      <bottom style="thin">
        <color rgb="FF99A5FF"/>
      </bottom>
      <diagonal/>
    </border>
    <border>
      <left/>
      <right style="thin">
        <color theme="0" tint="-0.249977111117893"/>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s>
  <cellStyleXfs count="987">
    <xf numFmtId="0" fontId="0" fillId="0" borderId="0"/>
    <xf numFmtId="0" fontId="6" fillId="0" borderId="0"/>
    <xf numFmtId="0" fontId="7" fillId="0" borderId="0" applyNumberFormat="0" applyFill="0" applyBorder="0" applyAlignment="0" applyProtection="0">
      <alignment vertical="top"/>
      <protection locked="0"/>
    </xf>
    <xf numFmtId="0" fontId="4" fillId="0" borderId="0"/>
    <xf numFmtId="0" fontId="4" fillId="0" borderId="0"/>
    <xf numFmtId="0" fontId="18" fillId="0" borderId="0" applyNumberFormat="0" applyFill="0" applyBorder="0" applyAlignment="0" applyProtection="0"/>
    <xf numFmtId="189" fontId="19" fillId="0" borderId="0" applyFont="0" applyFill="0" applyBorder="0" applyAlignment="0" applyProtection="0"/>
    <xf numFmtId="190" fontId="19" fillId="0" borderId="0" applyFont="0" applyFill="0" applyBorder="0" applyAlignment="0" applyProtection="0"/>
    <xf numFmtId="191" fontId="19" fillId="0" borderId="0" applyFont="0" applyFill="0" applyBorder="0" applyAlignment="0" applyProtection="0"/>
    <xf numFmtId="192" fontId="19" fillId="0" borderId="0" applyFont="0" applyFill="0" applyBorder="0" applyAlignment="0" applyProtection="0"/>
    <xf numFmtId="193" fontId="6" fillId="0" borderId="0"/>
    <xf numFmtId="0" fontId="6" fillId="0" borderId="0"/>
    <xf numFmtId="194" fontId="19" fillId="0" borderId="0" applyFont="0" applyFill="0" applyBorder="0" applyAlignment="0" applyProtection="0"/>
    <xf numFmtId="178" fontId="19" fillId="6" borderId="0"/>
    <xf numFmtId="195" fontId="20" fillId="0" borderId="22">
      <alignment horizontal="right"/>
    </xf>
    <xf numFmtId="0" fontId="6" fillId="0" borderId="0" applyFont="0" applyFill="0" applyBorder="0" applyAlignment="0" applyProtection="0"/>
    <xf numFmtId="0" fontId="6" fillId="0" borderId="0" applyFont="0" applyFill="0" applyBorder="0" applyAlignment="0" applyProtection="0"/>
    <xf numFmtId="0" fontId="21" fillId="0" borderId="0">
      <alignment vertical="center"/>
    </xf>
    <xf numFmtId="0" fontId="21" fillId="0" borderId="0">
      <alignment vertical="center"/>
    </xf>
    <xf numFmtId="0" fontId="6" fillId="0" borderId="0">
      <alignment horizontal="left" wrapText="1"/>
    </xf>
    <xf numFmtId="0" fontId="6" fillId="0" borderId="0"/>
    <xf numFmtId="0" fontId="6" fillId="0" borderId="0"/>
    <xf numFmtId="0" fontId="21" fillId="0" borderId="0">
      <alignment vertical="center"/>
    </xf>
    <xf numFmtId="0"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6" fillId="0" borderId="0" applyFont="0" applyFill="0" applyBorder="0" applyAlignment="0" applyProtection="0"/>
    <xf numFmtId="0" fontId="22" fillId="0" borderId="0" applyNumberFormat="0" applyFill="0" applyBorder="0" applyAlignment="0" applyProtection="0"/>
    <xf numFmtId="0" fontId="6" fillId="7" borderId="0" applyNumberFormat="0" applyFont="0" applyAlignment="0" applyProtection="0"/>
    <xf numFmtId="0" fontId="21" fillId="0" borderId="0">
      <alignment vertical="center"/>
    </xf>
    <xf numFmtId="0" fontId="6" fillId="0" borderId="0" applyFont="0" applyFill="0" applyBorder="0" applyAlignment="0" applyProtection="0"/>
    <xf numFmtId="196" fontId="6" fillId="0" borderId="0" applyFont="0" applyFill="0" applyBorder="0" applyProtection="0">
      <alignment horizontal="right"/>
    </xf>
    <xf numFmtId="0" fontId="23" fillId="0" borderId="0">
      <alignment vertical="top"/>
    </xf>
    <xf numFmtId="0" fontId="24" fillId="0" borderId="0" applyNumberFormat="0" applyFill="0" applyBorder="0" applyProtection="0">
      <alignment vertical="top"/>
    </xf>
    <xf numFmtId="0" fontId="25" fillId="0" borderId="23" applyNumberFormat="0" applyFill="0" applyAlignment="0" applyProtection="0"/>
    <xf numFmtId="0" fontId="26" fillId="0" borderId="24" applyNumberFormat="0" applyFill="0" applyProtection="0">
      <alignment horizontal="center"/>
    </xf>
    <xf numFmtId="0" fontId="26" fillId="0" borderId="0" applyNumberFormat="0" applyFill="0" applyBorder="0" applyProtection="0">
      <alignment horizontal="left"/>
    </xf>
    <xf numFmtId="0" fontId="27" fillId="0" borderId="0" applyNumberFormat="0" applyFill="0" applyBorder="0" applyProtection="0">
      <alignment horizontal="centerContinuous"/>
    </xf>
    <xf numFmtId="0" fontId="23" fillId="0" borderId="0">
      <alignment vertical="top"/>
    </xf>
    <xf numFmtId="0" fontId="6" fillId="0" borderId="0"/>
    <xf numFmtId="197" fontId="6" fillId="0" borderId="0">
      <alignment horizontal="left" wrapText="1"/>
    </xf>
    <xf numFmtId="0" fontId="23" fillId="0" borderId="0">
      <alignment vertical="top"/>
    </xf>
    <xf numFmtId="0" fontId="6" fillId="0" borderId="0">
      <alignment horizontal="left" wrapText="1"/>
    </xf>
    <xf numFmtId="0" fontId="6" fillId="0" borderId="0" applyNumberFormat="0" applyFill="0" applyBorder="0" applyAlignment="0" applyProtection="0"/>
    <xf numFmtId="0" fontId="28" fillId="0" borderId="0"/>
    <xf numFmtId="198" fontId="29" fillId="0" borderId="0" applyFont="0" applyFill="0" applyBorder="0" applyAlignment="0" applyProtection="0"/>
    <xf numFmtId="199" fontId="29" fillId="0" borderId="0" applyFont="0" applyFill="0" applyBorder="0" applyAlignment="0" applyProtection="0"/>
    <xf numFmtId="200" fontId="6" fillId="0" borderId="0" applyFont="0" applyFill="0" applyBorder="0" applyAlignment="0"/>
    <xf numFmtId="0" fontId="6" fillId="0" borderId="0"/>
    <xf numFmtId="201" fontId="30" fillId="0" borderId="0">
      <alignment horizontal="center"/>
    </xf>
    <xf numFmtId="202" fontId="30" fillId="0" borderId="0">
      <alignment horizontal="center"/>
    </xf>
    <xf numFmtId="203" fontId="30" fillId="0" borderId="0">
      <alignment horizontal="center"/>
    </xf>
    <xf numFmtId="204" fontId="29" fillId="0" borderId="0">
      <alignment horizontal="center"/>
    </xf>
    <xf numFmtId="205" fontId="30" fillId="0" borderId="0">
      <alignment horizontal="center"/>
    </xf>
    <xf numFmtId="186" fontId="30" fillId="0" borderId="0">
      <alignment horizontal="center"/>
    </xf>
    <xf numFmtId="206" fontId="6" fillId="0" borderId="0"/>
    <xf numFmtId="207" fontId="6" fillId="6" borderId="0"/>
    <xf numFmtId="208" fontId="30" fillId="0" borderId="0">
      <alignment horizontal="center"/>
    </xf>
    <xf numFmtId="209" fontId="30" fillId="0" borderId="0">
      <alignment horizontal="center"/>
    </xf>
    <xf numFmtId="201" fontId="30" fillId="0" borderId="0">
      <alignment horizontal="center"/>
    </xf>
    <xf numFmtId="210" fontId="29" fillId="0" borderId="0">
      <alignment horizontal="center"/>
    </xf>
    <xf numFmtId="0" fontId="31" fillId="0" borderId="0"/>
    <xf numFmtId="211" fontId="32" fillId="0" borderId="0"/>
    <xf numFmtId="0" fontId="6" fillId="0" borderId="0" applyFont="0"/>
    <xf numFmtId="37" fontId="33" fillId="0" borderId="0"/>
    <xf numFmtId="0" fontId="34" fillId="8" borderId="0" applyFont="0" applyBorder="0"/>
    <xf numFmtId="0" fontId="34" fillId="9" borderId="0" applyNumberFormat="0" applyFont="0" applyBorder="0" applyAlignment="0" applyProtection="0"/>
    <xf numFmtId="0" fontId="21" fillId="10" borderId="0" applyNumberFormat="0" applyFont="0" applyBorder="0" applyAlignment="0" applyProtection="0"/>
    <xf numFmtId="0" fontId="31" fillId="11" borderId="0" applyBorder="0"/>
    <xf numFmtId="0" fontId="6" fillId="0" borderId="25" applyNumberFormat="0" applyBorder="0" applyAlignment="0" applyProtection="0"/>
    <xf numFmtId="0" fontId="35" fillId="0" borderId="0" applyBorder="0">
      <alignment horizontal="right"/>
    </xf>
    <xf numFmtId="0" fontId="36" fillId="0" borderId="0" applyBorder="0">
      <alignment horizontal="right"/>
    </xf>
    <xf numFmtId="0" fontId="36" fillId="0" borderId="0" applyBorder="0">
      <alignment horizontal="right"/>
    </xf>
    <xf numFmtId="0" fontId="36" fillId="0" borderId="0" applyBorder="0">
      <alignment horizontal="right"/>
    </xf>
    <xf numFmtId="0" fontId="36" fillId="0" borderId="0" applyBorder="0">
      <alignment horizontal="right"/>
    </xf>
    <xf numFmtId="0" fontId="36" fillId="0" borderId="0" applyBorder="0">
      <alignment horizontal="right"/>
    </xf>
    <xf numFmtId="0" fontId="36" fillId="0" borderId="0" applyBorder="0">
      <alignment horizontal="right"/>
    </xf>
    <xf numFmtId="0" fontId="36" fillId="0" borderId="0" applyBorder="0">
      <alignment horizontal="right"/>
    </xf>
    <xf numFmtId="0" fontId="36" fillId="0" borderId="0" applyBorder="0">
      <alignment horizontal="right"/>
    </xf>
    <xf numFmtId="0" fontId="36" fillId="0" borderId="0" applyBorder="0">
      <alignment horizontal="right"/>
    </xf>
    <xf numFmtId="0" fontId="36" fillId="0" borderId="0" applyBorder="0">
      <alignment horizontal="right"/>
    </xf>
    <xf numFmtId="0" fontId="31" fillId="0" borderId="25" applyBorder="0">
      <alignment horizontal="right"/>
    </xf>
    <xf numFmtId="0" fontId="36" fillId="0" borderId="25" applyBorder="0">
      <alignment horizontal="right"/>
    </xf>
    <xf numFmtId="0" fontId="36" fillId="0" borderId="25" applyBorder="0">
      <alignment horizontal="right"/>
    </xf>
    <xf numFmtId="0" fontId="36" fillId="0" borderId="25" applyBorder="0">
      <alignment horizontal="right"/>
    </xf>
    <xf numFmtId="0" fontId="36" fillId="0" borderId="25" applyBorder="0">
      <alignment horizontal="right"/>
    </xf>
    <xf numFmtId="0" fontId="36" fillId="0" borderId="25" applyBorder="0">
      <alignment horizontal="right"/>
    </xf>
    <xf numFmtId="0" fontId="36" fillId="0" borderId="25" applyBorder="0">
      <alignment horizontal="right"/>
    </xf>
    <xf numFmtId="0" fontId="36" fillId="0" borderId="25" applyBorder="0">
      <alignment horizontal="right"/>
    </xf>
    <xf numFmtId="0" fontId="36" fillId="0" borderId="25" applyBorder="0">
      <alignment horizontal="right"/>
    </xf>
    <xf numFmtId="0" fontId="36" fillId="0" borderId="25" applyBorder="0">
      <alignment horizontal="right"/>
    </xf>
    <xf numFmtId="0" fontId="36" fillId="0" borderId="25" applyBorder="0">
      <alignment horizontal="right"/>
    </xf>
    <xf numFmtId="188" fontId="37" fillId="0" borderId="0" applyBorder="0">
      <alignment horizontal="right"/>
    </xf>
    <xf numFmtId="188" fontId="38" fillId="0" borderId="25" applyBorder="0">
      <alignment horizontal="right"/>
    </xf>
    <xf numFmtId="0" fontId="38" fillId="0" borderId="25" applyBorder="0">
      <alignment horizontal="right"/>
    </xf>
    <xf numFmtId="0" fontId="38" fillId="0" borderId="25" applyBorder="0">
      <alignment horizontal="right"/>
    </xf>
    <xf numFmtId="0" fontId="38" fillId="0" borderId="25" applyBorder="0">
      <alignment horizontal="right"/>
    </xf>
    <xf numFmtId="0" fontId="37" fillId="0" borderId="0" applyBorder="0">
      <alignment horizontal="right"/>
    </xf>
    <xf numFmtId="0" fontId="37" fillId="0" borderId="0" applyBorder="0">
      <alignment horizontal="right"/>
    </xf>
    <xf numFmtId="0" fontId="37" fillId="0" borderId="0" applyBorder="0">
      <alignment horizontal="right"/>
    </xf>
    <xf numFmtId="0" fontId="39" fillId="0" borderId="0">
      <alignment horizontal="left" indent="1"/>
    </xf>
    <xf numFmtId="0" fontId="34" fillId="12" borderId="25" applyNumberFormat="0" applyFont="0" applyBorder="0" applyAlignment="0" applyProtection="0"/>
    <xf numFmtId="0" fontId="40" fillId="13" borderId="18" applyBorder="0">
      <alignment horizontal="right"/>
    </xf>
    <xf numFmtId="0" fontId="36" fillId="13" borderId="18" applyBorder="0">
      <alignment horizontal="right"/>
    </xf>
    <xf numFmtId="0" fontId="36" fillId="13" borderId="18" applyBorder="0">
      <alignment horizontal="right"/>
    </xf>
    <xf numFmtId="0" fontId="36" fillId="13" borderId="18" applyBorder="0">
      <alignment horizontal="right"/>
    </xf>
    <xf numFmtId="0" fontId="36" fillId="13" borderId="18" applyBorder="0">
      <alignment horizontal="right"/>
    </xf>
    <xf numFmtId="0" fontId="36" fillId="13" borderId="18" applyBorder="0">
      <alignment horizontal="right"/>
    </xf>
    <xf numFmtId="0" fontId="36" fillId="13" borderId="18" applyBorder="0">
      <alignment horizontal="right"/>
    </xf>
    <xf numFmtId="0" fontId="36" fillId="13" borderId="18" applyBorder="0">
      <alignment horizontal="right"/>
    </xf>
    <xf numFmtId="0" fontId="36" fillId="13" borderId="18" applyBorder="0">
      <alignment horizontal="right"/>
    </xf>
    <xf numFmtId="0" fontId="36" fillId="13" borderId="18" applyBorder="0">
      <alignment horizontal="right"/>
    </xf>
    <xf numFmtId="0" fontId="36" fillId="13" borderId="18" applyBorder="0">
      <alignment horizontal="right"/>
    </xf>
    <xf numFmtId="0" fontId="40" fillId="0" borderId="18" applyBorder="0">
      <alignment horizontal="right"/>
    </xf>
    <xf numFmtId="0" fontId="36" fillId="0" borderId="18" applyBorder="0">
      <alignment horizontal="right"/>
    </xf>
    <xf numFmtId="0" fontId="36" fillId="0" borderId="18" applyBorder="0">
      <alignment horizontal="right"/>
    </xf>
    <xf numFmtId="0" fontId="36" fillId="0" borderId="18" applyBorder="0">
      <alignment horizontal="right"/>
    </xf>
    <xf numFmtId="0" fontId="36" fillId="0" borderId="18" applyBorder="0">
      <alignment horizontal="right"/>
    </xf>
    <xf numFmtId="0" fontId="36" fillId="0" borderId="18" applyBorder="0">
      <alignment horizontal="right"/>
    </xf>
    <xf numFmtId="0" fontId="36" fillId="0" borderId="18" applyBorder="0">
      <alignment horizontal="right"/>
    </xf>
    <xf numFmtId="0" fontId="36" fillId="0" borderId="18" applyBorder="0">
      <alignment horizontal="right"/>
    </xf>
    <xf numFmtId="0" fontId="36" fillId="0" borderId="18" applyBorder="0">
      <alignment horizontal="right"/>
    </xf>
    <xf numFmtId="0" fontId="36" fillId="0" borderId="18" applyBorder="0">
      <alignment horizontal="right"/>
    </xf>
    <xf numFmtId="0" fontId="36" fillId="0" borderId="18" applyBorder="0">
      <alignment horizontal="right"/>
    </xf>
    <xf numFmtId="0" fontId="41" fillId="0" borderId="25" applyNumberFormat="0" applyBorder="0" applyAlignment="0" applyProtection="0"/>
    <xf numFmtId="0" fontId="40" fillId="8" borderId="26" applyBorder="0">
      <alignment horizontal="center"/>
    </xf>
    <xf numFmtId="182" fontId="6" fillId="0" borderId="0" applyFont="0" applyFill="0" applyBorder="0" applyAlignment="0" applyProtection="0">
      <alignment vertical="top"/>
    </xf>
    <xf numFmtId="180" fontId="6" fillId="0" borderId="0" applyFont="0" applyFill="0" applyBorder="0" applyAlignment="0" applyProtection="0"/>
    <xf numFmtId="212" fontId="6" fillId="0" borderId="27" applyFont="0" applyFill="0" applyBorder="0" applyAlignment="0" applyProtection="0"/>
    <xf numFmtId="180" fontId="6" fillId="0" borderId="0" applyFont="0" applyFill="0" applyBorder="0" applyAlignment="0" applyProtection="0">
      <alignment vertical="top"/>
    </xf>
    <xf numFmtId="0" fontId="36" fillId="0" borderId="19">
      <alignment horizontal="right"/>
    </xf>
    <xf numFmtId="0" fontId="18" fillId="0" borderId="0" applyNumberFormat="0" applyFill="0" applyBorder="0" applyAlignment="0" applyProtection="0"/>
    <xf numFmtId="0" fontId="42" fillId="0" borderId="0"/>
    <xf numFmtId="0" fontId="43" fillId="0" borderId="0" applyNumberFormat="0" applyFill="0" applyBorder="0" applyAlignment="0" applyProtection="0"/>
    <xf numFmtId="213" fontId="44" fillId="14" borderId="28"/>
    <xf numFmtId="0" fontId="6" fillId="0" borderId="0" applyNumberFormat="0" applyFill="0" applyBorder="0" applyAlignment="0" applyProtection="0"/>
    <xf numFmtId="0" fontId="45" fillId="0" borderId="0" applyNumberFormat="0" applyFill="0" applyBorder="0" applyAlignment="0" applyProtection="0"/>
    <xf numFmtId="0" fontId="46" fillId="0" borderId="22">
      <protection hidden="1"/>
    </xf>
    <xf numFmtId="0" fontId="47" fillId="15" borderId="22" applyNumberFormat="0" applyFont="0" applyBorder="0" applyAlignment="0" applyProtection="0">
      <protection hidden="1"/>
    </xf>
    <xf numFmtId="37" fontId="48" fillId="0" borderId="0"/>
    <xf numFmtId="38" fontId="33" fillId="16" borderId="0"/>
    <xf numFmtId="212" fontId="6" fillId="0" borderId="0">
      <alignment horizontal="center"/>
    </xf>
    <xf numFmtId="214" fontId="49" fillId="0" borderId="0"/>
    <xf numFmtId="215" fontId="50" fillId="0" borderId="0" applyNumberFormat="0" applyFill="0" applyBorder="0" applyAlignment="0" applyProtection="0"/>
    <xf numFmtId="212" fontId="6" fillId="0" borderId="0">
      <alignment horizontal="center"/>
    </xf>
    <xf numFmtId="212" fontId="6" fillId="0" borderId="0">
      <alignment horizontal="center"/>
    </xf>
    <xf numFmtId="216" fontId="51" fillId="0" borderId="0" applyNumberFormat="0" applyFill="0" applyBorder="0" applyAlignment="0" applyProtection="0"/>
    <xf numFmtId="38" fontId="33" fillId="16" borderId="0"/>
    <xf numFmtId="216" fontId="51" fillId="0" borderId="0" applyNumberFormat="0" applyFill="0" applyBorder="0" applyAlignment="0" applyProtection="0"/>
    <xf numFmtId="216" fontId="51" fillId="0" borderId="0" applyNumberFormat="0" applyFill="0" applyBorder="0" applyAlignment="0" applyProtection="0"/>
    <xf numFmtId="0" fontId="52" fillId="0" borderId="0" applyNumberFormat="0" applyFill="0" applyBorder="0" applyAlignment="0" applyProtection="0"/>
    <xf numFmtId="212" fontId="6" fillId="0" borderId="0">
      <alignment horizontal="center"/>
    </xf>
    <xf numFmtId="0" fontId="6" fillId="0" borderId="29" applyNumberFormat="0" applyFont="0" applyFill="0" applyAlignment="0"/>
    <xf numFmtId="0" fontId="36" fillId="0" borderId="0" applyNumberFormat="0" applyFont="0" applyAlignment="0"/>
    <xf numFmtId="217" fontId="53" fillId="0" borderId="0" applyNumberFormat="0" applyFill="0" applyBorder="0" applyAlignment="0" applyProtection="0">
      <alignment horizontal="right"/>
    </xf>
    <xf numFmtId="177" fontId="54" fillId="0" borderId="0">
      <alignment horizontal="right"/>
      <protection locked="0"/>
    </xf>
    <xf numFmtId="0" fontId="55" fillId="0" borderId="13" applyNumberFormat="0" applyFill="0" applyAlignment="0" applyProtection="0"/>
    <xf numFmtId="218" fontId="6" fillId="0" borderId="0" applyFont="0" applyFill="0" applyBorder="0" applyAlignment="0" applyProtection="0"/>
    <xf numFmtId="0" fontId="56" fillId="0" borderId="30" applyNumberFormat="0" applyFont="0" applyFill="0" applyAlignment="0" applyProtection="0"/>
    <xf numFmtId="0" fontId="57" fillId="0" borderId="31" applyNumberFormat="0" applyFont="0" applyFill="0" applyAlignment="0" applyProtection="0">
      <alignment horizontal="centerContinuous"/>
    </xf>
    <xf numFmtId="0" fontId="58" fillId="0" borderId="0" applyFont="0" applyFill="0" applyBorder="0" applyAlignment="0" applyProtection="0"/>
    <xf numFmtId="37" fontId="33" fillId="0" borderId="0"/>
    <xf numFmtId="219" fontId="29" fillId="0" borderId="0" applyFont="0" applyFill="0" applyBorder="0" applyAlignment="0" applyProtection="0"/>
    <xf numFmtId="0" fontId="6" fillId="0" borderId="0" applyFont="0" applyFill="0" applyBorder="0" applyAlignment="0" applyProtection="0"/>
    <xf numFmtId="0" fontId="31" fillId="17" borderId="0" applyNumberFormat="0" applyFont="0" applyBorder="0" applyAlignment="0">
      <protection locked="0"/>
    </xf>
    <xf numFmtId="0" fontId="59" fillId="0" borderId="0" applyFill="0" applyBorder="0" applyProtection="0">
      <alignment horizontal="center"/>
    </xf>
    <xf numFmtId="0" fontId="60" fillId="18" borderId="0">
      <alignment horizontal="left"/>
    </xf>
    <xf numFmtId="0" fontId="61" fillId="0" borderId="0" applyNumberFormat="0" applyFill="0" applyBorder="0">
      <alignment horizontal="center" wrapText="1"/>
    </xf>
    <xf numFmtId="0" fontId="62" fillId="0" borderId="0">
      <alignment horizontal="center" wrapText="1"/>
      <protection hidden="1"/>
    </xf>
    <xf numFmtId="220" fontId="63" fillId="0" borderId="0"/>
    <xf numFmtId="220" fontId="63" fillId="0" borderId="0"/>
    <xf numFmtId="220" fontId="63" fillId="0" borderId="0"/>
    <xf numFmtId="220" fontId="63" fillId="0" borderId="0"/>
    <xf numFmtId="220" fontId="63" fillId="0" borderId="0"/>
    <xf numFmtId="220" fontId="63" fillId="0" borderId="0"/>
    <xf numFmtId="220" fontId="63" fillId="0" borderId="0"/>
    <xf numFmtId="220" fontId="63" fillId="0" borderId="0"/>
    <xf numFmtId="0" fontId="64" fillId="0" borderId="0"/>
    <xf numFmtId="180" fontId="65" fillId="0" borderId="0" applyFont="0" applyBorder="0">
      <alignment horizontal="right"/>
    </xf>
    <xf numFmtId="0" fontId="55" fillId="0" borderId="0" applyFont="0" applyFill="0" applyBorder="0" applyAlignment="0">
      <alignment horizontal="center" wrapText="1"/>
    </xf>
    <xf numFmtId="0" fontId="36" fillId="0" borderId="0" applyFont="0" applyFill="0" applyBorder="0" applyAlignment="0" applyProtection="0">
      <alignment horizontal="right"/>
    </xf>
    <xf numFmtId="0" fontId="36" fillId="0" borderId="0" applyFont="0" applyFill="0" applyBorder="0" applyAlignment="0" applyProtection="0"/>
    <xf numFmtId="221" fontId="66" fillId="0" borderId="0" applyFont="0" applyFill="0" applyBorder="0" applyAlignment="0" applyProtection="0">
      <alignment horizontal="right"/>
    </xf>
    <xf numFmtId="0" fontId="36" fillId="0" borderId="0" applyFont="0" applyFill="0" applyBorder="0" applyAlignment="0" applyProtection="0">
      <alignment horizontal="right"/>
    </xf>
    <xf numFmtId="222" fontId="66" fillId="0" borderId="0" applyFont="0" applyFill="0" applyBorder="0" applyAlignment="0" applyProtection="0"/>
    <xf numFmtId="223" fontId="66" fillId="0" borderId="0" applyFont="0" applyFill="0" applyBorder="0" applyAlignment="0" applyProtection="0">
      <alignment horizontal="right"/>
    </xf>
    <xf numFmtId="224" fontId="6" fillId="0" borderId="0" applyFont="0" applyFill="0" applyBorder="0" applyAlignment="0" applyProtection="0"/>
    <xf numFmtId="0" fontId="36" fillId="0" borderId="0" applyFont="0" applyFill="0" applyBorder="0" applyAlignment="0" applyProtection="0"/>
    <xf numFmtId="3" fontId="6" fillId="0" borderId="0" applyFont="0" applyFill="0" applyBorder="0" applyAlignment="0" applyProtection="0"/>
    <xf numFmtId="0" fontId="36" fillId="0" borderId="0"/>
    <xf numFmtId="0" fontId="67" fillId="19" borderId="0">
      <alignment horizontal="center" vertical="center" wrapText="1"/>
    </xf>
    <xf numFmtId="225" fontId="6" fillId="0" borderId="0" applyFont="0" applyFill="0" applyBorder="0" applyAlignment="0" applyProtection="0"/>
    <xf numFmtId="0" fontId="36" fillId="1" borderId="0" applyFont="0" applyFill="0" applyBorder="0" applyAlignment="0" applyProtection="0">
      <alignment horizontal="right"/>
    </xf>
    <xf numFmtId="3" fontId="6" fillId="0" borderId="32" applyNumberFormat="0" applyAlignment="0">
      <alignment vertical="center"/>
    </xf>
    <xf numFmtId="226" fontId="45" fillId="0" borderId="0" applyFill="0" applyBorder="0">
      <alignment horizontal="right"/>
      <protection locked="0"/>
    </xf>
    <xf numFmtId="176" fontId="68" fillId="0" borderId="0" applyFont="0" applyFill="0" applyBorder="0" applyAlignment="0" applyProtection="0">
      <alignment horizontal="center"/>
    </xf>
    <xf numFmtId="39" fontId="6" fillId="0" borderId="0" applyFont="0" applyFill="0" applyBorder="0" applyAlignment="0" applyProtection="0"/>
    <xf numFmtId="0" fontId="55" fillId="0" borderId="0" applyFont="0" applyFill="0" applyBorder="0" applyAlignment="0">
      <alignment horizontal="center" wrapText="1"/>
    </xf>
    <xf numFmtId="0" fontId="36" fillId="0" borderId="0" applyFont="0" applyFill="0" applyBorder="0" applyAlignment="0" applyProtection="0">
      <alignment horizontal="right"/>
    </xf>
    <xf numFmtId="0" fontId="36" fillId="0" borderId="0" applyFont="0" applyFill="0" applyBorder="0" applyAlignment="0" applyProtection="0">
      <alignment horizontal="right"/>
    </xf>
    <xf numFmtId="227" fontId="69" fillId="0" borderId="0" applyFont="0" applyFill="0" applyBorder="0" applyAlignment="0" applyProtection="0"/>
    <xf numFmtId="228" fontId="66" fillId="0" borderId="0" applyFont="0" applyFill="0" applyBorder="0" applyAlignment="0" applyProtection="0">
      <alignment horizontal="right"/>
    </xf>
    <xf numFmtId="229" fontId="6" fillId="0" borderId="0" applyFont="0" applyFill="0" applyBorder="0" applyAlignment="0" applyProtection="0"/>
    <xf numFmtId="0" fontId="6" fillId="0" borderId="0" applyFont="0" applyFill="0" applyBorder="0" applyAlignment="0" applyProtection="0"/>
    <xf numFmtId="230" fontId="32" fillId="0" borderId="0" applyFill="0" applyBorder="0" applyProtection="0">
      <alignment horizontal="right"/>
    </xf>
    <xf numFmtId="0" fontId="19" fillId="6" borderId="0"/>
    <xf numFmtId="231" fontId="19" fillId="0" borderId="0" applyFill="0" applyBorder="0" applyAlignment="0" applyProtection="0"/>
    <xf numFmtId="232" fontId="6" fillId="0" borderId="0"/>
    <xf numFmtId="232" fontId="6" fillId="0" borderId="0"/>
    <xf numFmtId="232" fontId="6" fillId="0" borderId="0"/>
    <xf numFmtId="232" fontId="6" fillId="0" borderId="0"/>
    <xf numFmtId="232" fontId="70"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0" fontId="6" fillId="0" borderId="0"/>
    <xf numFmtId="0" fontId="6" fillId="0" borderId="0"/>
    <xf numFmtId="0" fontId="6" fillId="0" borderId="0"/>
    <xf numFmtId="0" fontId="6" fillId="0" borderId="0"/>
    <xf numFmtId="0" fontId="6" fillId="0" borderId="0"/>
    <xf numFmtId="0" fontId="7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70" fillId="0" borderId="0"/>
    <xf numFmtId="0" fontId="70"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232" fontId="6" fillId="0" borderId="0"/>
    <xf numFmtId="232" fontId="6" fillId="0" borderId="0"/>
    <xf numFmtId="232" fontId="70" fillId="0" borderId="0"/>
    <xf numFmtId="232" fontId="70"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2" fontId="6" fillId="0" borderId="0"/>
    <xf numFmtId="233" fontId="29" fillId="0" borderId="0" applyFont="0" applyFill="0" applyBorder="0" applyAlignment="0" applyProtection="0"/>
    <xf numFmtId="14" fontId="71" fillId="0" borderId="0"/>
    <xf numFmtId="0" fontId="36" fillId="0" borderId="0" applyFont="0" applyFill="0" applyBorder="0" applyAlignment="0" applyProtection="0"/>
    <xf numFmtId="234" fontId="66" fillId="0" borderId="0" applyFont="0" applyFill="0" applyBorder="0" applyAlignment="0" applyProtection="0"/>
    <xf numFmtId="235" fontId="66" fillId="0" borderId="0" applyFont="0" applyFill="0" applyBorder="0" applyAlignment="0" applyProtection="0"/>
    <xf numFmtId="14" fontId="31" fillId="0" borderId="0" applyFont="0" applyFill="0" applyBorder="0" applyAlignment="0" applyProtection="0"/>
    <xf numFmtId="14" fontId="71" fillId="0" borderId="0"/>
    <xf numFmtId="0" fontId="36" fillId="0" borderId="14" applyFont="0" applyFill="0" applyBorder="0" applyAlignment="0" applyProtection="0">
      <alignment horizontal="right"/>
    </xf>
    <xf numFmtId="15" fontId="30" fillId="0" borderId="0" applyFont="0" applyFill="0" applyBorder="0" applyAlignment="0" applyProtection="0">
      <alignment horizontal="center"/>
    </xf>
    <xf numFmtId="236" fontId="19" fillId="20" borderId="0" applyFont="0" applyFill="0" applyBorder="0" applyAlignment="0" applyProtection="0"/>
    <xf numFmtId="195" fontId="30" fillId="0" borderId="0" applyFont="0" applyFill="0" applyBorder="0" applyAlignment="0" applyProtection="0">
      <alignment horizontal="center"/>
    </xf>
    <xf numFmtId="9" fontId="6" fillId="0" borderId="0" applyNumberFormat="0" applyFill="0" applyBorder="0" applyAlignment="0" applyProtection="0"/>
    <xf numFmtId="0" fontId="6" fillId="0" borderId="0" applyFont="0" applyFill="0" applyBorder="0" applyAlignment="0"/>
    <xf numFmtId="0" fontId="36" fillId="0" borderId="33" applyNumberFormat="0" applyFont="0" applyFill="0" applyAlignment="0" applyProtection="0"/>
    <xf numFmtId="179" fontId="72" fillId="0" borderId="0" applyFill="0" applyBorder="0" applyAlignment="0" applyProtection="0"/>
    <xf numFmtId="1" fontId="56" fillId="0" borderId="0"/>
    <xf numFmtId="0" fontId="6" fillId="1" borderId="0" applyNumberFormat="0" applyBorder="0" applyAlignment="0" applyProtection="0"/>
    <xf numFmtId="237" fontId="73" fillId="0" borderId="0"/>
    <xf numFmtId="238" fontId="6" fillId="0" borderId="0" applyFont="0" applyFill="0" applyBorder="0" applyAlignment="0" applyProtection="0">
      <protection locked="0"/>
    </xf>
    <xf numFmtId="239" fontId="53" fillId="0" borderId="0" applyFont="0" applyFill="0" applyBorder="0" applyAlignment="0" applyProtection="0"/>
    <xf numFmtId="240" fontId="29" fillId="0" borderId="0" applyFont="0" applyFill="0" applyBorder="0" applyAlignment="0" applyProtection="0"/>
    <xf numFmtId="225" fontId="6" fillId="0" borderId="0" applyFont="0" applyFill="0" applyBorder="0" applyAlignment="0" applyProtection="0"/>
    <xf numFmtId="0" fontId="56" fillId="0" borderId="0" applyNumberFormat="0" applyFont="0" applyFill="0" applyBorder="0" applyAlignment="0" applyProtection="0"/>
    <xf numFmtId="0" fontId="56" fillId="0" borderId="0" applyNumberFormat="0" applyFont="0" applyFill="0" applyBorder="0" applyAlignment="0" applyProtection="0"/>
    <xf numFmtId="0" fontId="56" fillId="0" borderId="0" applyNumberFormat="0" applyFont="0" applyFill="0" applyBorder="0" applyAlignment="0" applyProtection="0"/>
    <xf numFmtId="0" fontId="56" fillId="0" borderId="0" applyNumberFormat="0" applyFont="0" applyFill="0" applyBorder="0" applyAlignment="0" applyProtection="0"/>
    <xf numFmtId="0" fontId="56" fillId="0" borderId="0" applyNumberFormat="0" applyFont="0" applyFill="0" applyBorder="0" applyAlignment="0" applyProtection="0"/>
    <xf numFmtId="0" fontId="56" fillId="0" borderId="0" applyNumberFormat="0" applyFont="0" applyFill="0" applyBorder="0" applyAlignment="0" applyProtection="0"/>
    <xf numFmtId="0" fontId="56" fillId="0" borderId="0" applyNumberFormat="0" applyFont="0" applyFill="0" applyBorder="0" applyAlignment="0" applyProtection="0"/>
    <xf numFmtId="241" fontId="45" fillId="21" borderId="19">
      <alignment horizontal="left"/>
    </xf>
    <xf numFmtId="242" fontId="6" fillId="0" borderId="0"/>
    <xf numFmtId="0" fontId="6" fillId="0" borderId="0">
      <protection locked="0"/>
    </xf>
    <xf numFmtId="243" fontId="31" fillId="0" borderId="0" applyFont="0" applyFill="0" applyBorder="0" applyProtection="0"/>
    <xf numFmtId="185" fontId="74" fillId="0" borderId="0" applyNumberFormat="0" applyFill="0" applyBorder="0" applyAlignment="0" applyProtection="0"/>
    <xf numFmtId="0" fontId="75" fillId="0" borderId="0" applyFill="0" applyBorder="0" applyProtection="0">
      <alignment horizontal="left"/>
    </xf>
    <xf numFmtId="195" fontId="6" fillId="0" borderId="0"/>
    <xf numFmtId="0" fontId="76" fillId="0" borderId="0"/>
    <xf numFmtId="0" fontId="77" fillId="0" borderId="0"/>
    <xf numFmtId="38" fontId="31" fillId="8" borderId="0" applyNumberFormat="0" applyBorder="0" applyAlignment="0" applyProtection="0"/>
    <xf numFmtId="0" fontId="6" fillId="22" borderId="14" applyNumberFormat="0" applyFont="0" applyAlignment="0"/>
    <xf numFmtId="0" fontId="36" fillId="22" borderId="14" applyNumberFormat="0" applyFont="0" applyAlignment="0"/>
    <xf numFmtId="0" fontId="36" fillId="0" borderId="0" applyFont="0" applyFill="0" applyBorder="0" applyAlignment="0" applyProtection="0">
      <alignment horizontal="right"/>
    </xf>
    <xf numFmtId="237" fontId="78" fillId="23" borderId="15">
      <alignment horizontal="centerContinuous"/>
    </xf>
    <xf numFmtId="0" fontId="79" fillId="0" borderId="0" applyProtection="0">
      <alignment horizontal="right" vertical="top"/>
    </xf>
    <xf numFmtId="0" fontId="80" fillId="0" borderId="34" applyNumberFormat="0" applyAlignment="0" applyProtection="0">
      <alignment horizontal="left" vertical="center"/>
    </xf>
    <xf numFmtId="0" fontId="80" fillId="0" borderId="27">
      <alignment horizontal="left" vertical="center"/>
    </xf>
    <xf numFmtId="0" fontId="81" fillId="0" borderId="0" applyNumberFormat="0" applyFill="0" applyBorder="0" applyAlignment="0" applyProtection="0"/>
    <xf numFmtId="0" fontId="82" fillId="0" borderId="0" applyProtection="0">
      <alignment horizontal="left"/>
    </xf>
    <xf numFmtId="0" fontId="83" fillId="0" borderId="0" applyProtection="0">
      <alignment horizontal="left"/>
    </xf>
    <xf numFmtId="0" fontId="84" fillId="0" borderId="0">
      <protection locked="0"/>
    </xf>
    <xf numFmtId="0" fontId="84" fillId="0" borderId="0">
      <protection locked="0"/>
    </xf>
    <xf numFmtId="0" fontId="61" fillId="0" borderId="27" applyNumberFormat="0" applyFill="0" applyProtection="0">
      <alignment horizontal="center" vertical="center" wrapText="1"/>
    </xf>
    <xf numFmtId="0" fontId="6" fillId="24" borderId="0" applyNumberFormat="0" applyBorder="0" applyAlignment="0" applyProtection="0"/>
    <xf numFmtId="244" fontId="6" fillId="0" borderId="0" applyFont="0" applyFill="0" applyBorder="0" applyAlignment="0"/>
    <xf numFmtId="181" fontId="33" fillId="12" borderId="14" applyNumberFormat="0" applyAlignment="0" applyProtection="0"/>
    <xf numFmtId="0" fontId="7" fillId="0" borderId="0" applyNumberFormat="0" applyFill="0" applyBorder="0" applyAlignment="0" applyProtection="0">
      <alignment vertical="top"/>
      <protection locked="0"/>
    </xf>
    <xf numFmtId="10" fontId="31" fillId="22" borderId="14" applyNumberFormat="0" applyBorder="0" applyAlignment="0" applyProtection="0"/>
    <xf numFmtId="0" fontId="85" fillId="25" borderId="14" applyNumberFormat="0" applyFont="0" applyBorder="0" applyAlignment="0">
      <protection locked="0"/>
    </xf>
    <xf numFmtId="0" fontId="85" fillId="25" borderId="14" applyNumberFormat="0" applyFont="0" applyBorder="0" applyAlignment="0">
      <protection locked="0"/>
    </xf>
    <xf numFmtId="0" fontId="85" fillId="25" borderId="14" applyNumberFormat="0" applyFont="0" applyBorder="0" applyAlignment="0">
      <protection locked="0"/>
    </xf>
    <xf numFmtId="0" fontId="85" fillId="25" borderId="14" applyNumberFormat="0" applyFont="0" applyBorder="0" applyAlignment="0">
      <protection locked="0"/>
    </xf>
    <xf numFmtId="0" fontId="85" fillId="25" borderId="14" applyNumberFormat="0" applyFont="0" applyBorder="0" applyAlignment="0">
      <protection locked="0"/>
    </xf>
    <xf numFmtId="0" fontId="85" fillId="25" borderId="14" applyNumberFormat="0" applyFont="0" applyBorder="0" applyAlignment="0">
      <protection locked="0"/>
    </xf>
    <xf numFmtId="0" fontId="85" fillId="25" borderId="14" applyNumberFormat="0" applyFont="0" applyBorder="0" applyAlignment="0">
      <protection locked="0"/>
    </xf>
    <xf numFmtId="0" fontId="85" fillId="25" borderId="14" applyNumberFormat="0" applyFont="0" applyBorder="0" applyAlignment="0">
      <protection locked="0"/>
    </xf>
    <xf numFmtId="0" fontId="85" fillId="25" borderId="14" applyNumberFormat="0" applyFont="0" applyBorder="0" applyAlignment="0">
      <protection locked="0"/>
    </xf>
    <xf numFmtId="0" fontId="85" fillId="25" borderId="14" applyNumberFormat="0" applyFont="0" applyBorder="0" applyAlignment="0">
      <protection locked="0"/>
    </xf>
    <xf numFmtId="0" fontId="85" fillId="25" borderId="14" applyNumberFormat="0" applyFont="0" applyBorder="0" applyAlignment="0">
      <protection locked="0"/>
    </xf>
    <xf numFmtId="0" fontId="85" fillId="25" borderId="14" applyNumberFormat="0" applyFont="0" applyBorder="0" applyAlignment="0">
      <protection locked="0"/>
    </xf>
    <xf numFmtId="0" fontId="85" fillId="25" borderId="14" applyNumberFormat="0" applyFont="0" applyBorder="0" applyAlignment="0">
      <protection locked="0"/>
    </xf>
    <xf numFmtId="0" fontId="85" fillId="25" borderId="14" applyNumberFormat="0" applyFont="0" applyBorder="0" applyAlignment="0">
      <protection locked="0"/>
    </xf>
    <xf numFmtId="0" fontId="85" fillId="25" borderId="14" applyNumberFormat="0" applyFont="0" applyBorder="0" applyAlignment="0">
      <protection locked="0"/>
    </xf>
    <xf numFmtId="0" fontId="85" fillId="25" borderId="14" applyNumberFormat="0" applyFont="0" applyBorder="0" applyAlignment="0">
      <protection locked="0"/>
    </xf>
    <xf numFmtId="216" fontId="54" fillId="0" borderId="0" applyFill="0" applyBorder="0" applyAlignment="0" applyProtection="0"/>
    <xf numFmtId="0" fontId="86" fillId="0" borderId="0" applyNumberFormat="0" applyFill="0" applyBorder="0" applyAlignment="0">
      <protection locked="0"/>
    </xf>
    <xf numFmtId="37" fontId="86" fillId="0" borderId="0" applyNumberFormat="0" applyFill="0" applyBorder="0" applyAlignment="0" applyProtection="0"/>
    <xf numFmtId="245" fontId="45" fillId="0" borderId="0" applyFill="0" applyBorder="0">
      <alignment horizontal="right"/>
      <protection locked="0"/>
    </xf>
    <xf numFmtId="0" fontId="18" fillId="25" borderId="35">
      <alignment horizontal="left" vertical="center" wrapText="1"/>
    </xf>
    <xf numFmtId="246" fontId="6" fillId="0" borderId="0" applyFont="0" applyFill="0" applyBorder="0" applyAlignment="0" applyProtection="0"/>
    <xf numFmtId="247" fontId="6" fillId="0" borderId="0" applyFont="0" applyFill="0" applyBorder="0" applyAlignment="0" applyProtection="0"/>
    <xf numFmtId="216" fontId="19" fillId="0" borderId="19" applyNumberFormat="0" applyFont="0" applyFill="0" applyAlignment="0" applyProtection="0"/>
    <xf numFmtId="0" fontId="87" fillId="0" borderId="19" applyNumberFormat="0" applyFont="0" applyAlignment="0" applyProtection="0">
      <alignment horizontal="center"/>
      <protection locked="0"/>
    </xf>
    <xf numFmtId="0" fontId="88" fillId="0" borderId="0" applyNumberFormat="0" applyFill="0" applyBorder="0" applyAlignment="0" applyProtection="0">
      <alignment vertical="top"/>
      <protection locked="0"/>
    </xf>
    <xf numFmtId="0" fontId="89" fillId="0" borderId="0" applyNumberFormat="0" applyFill="0" applyBorder="0" applyAlignment="0" applyProtection="0">
      <alignment vertical="top"/>
      <protection locked="0"/>
    </xf>
    <xf numFmtId="0" fontId="6" fillId="0" borderId="0" applyNumberFormat="0" applyFill="0" applyBorder="0" applyAlignment="0" applyProtection="0">
      <alignment vertical="top"/>
      <protection locked="0"/>
    </xf>
    <xf numFmtId="0" fontId="90" fillId="26" borderId="0" applyNumberFormat="0" applyFont="0" applyBorder="0" applyProtection="0"/>
    <xf numFmtId="248" fontId="19" fillId="0" borderId="0" applyFont="0" applyFill="0" applyBorder="0" applyAlignment="0" applyProtection="0"/>
    <xf numFmtId="249" fontId="19" fillId="0" borderId="0" applyFill="0" applyBorder="0" applyAlignment="0" applyProtection="0"/>
    <xf numFmtId="249" fontId="19" fillId="0" borderId="0" applyFill="0" applyBorder="0" applyAlignment="0" applyProtection="0"/>
    <xf numFmtId="249" fontId="19" fillId="0" borderId="0" applyFill="0" applyBorder="0" applyAlignment="0" applyProtection="0"/>
    <xf numFmtId="225" fontId="6" fillId="6" borderId="0" applyFont="0" applyFill="0" applyBorder="0" applyAlignment="0" applyProtection="0">
      <alignment horizontal="right"/>
    </xf>
    <xf numFmtId="0" fontId="91" fillId="0" borderId="22">
      <alignment horizontal="left"/>
      <protection locked="0"/>
    </xf>
    <xf numFmtId="250" fontId="6" fillId="22" borderId="36" applyFont="0" applyFill="0" applyBorder="0" applyAlignment="0" applyProtection="0">
      <alignment horizontal="right"/>
    </xf>
    <xf numFmtId="1" fontId="92" fillId="0" borderId="0"/>
    <xf numFmtId="0" fontId="93" fillId="0" borderId="0" applyNumberFormat="0" applyFill="0" applyBorder="0" applyAlignment="0" applyProtection="0">
      <alignment vertical="center"/>
    </xf>
    <xf numFmtId="0" fontId="94" fillId="0" borderId="0" applyNumberFormat="0" applyFill="0" applyBorder="0" applyAlignment="0" applyProtection="0">
      <alignment vertical="center"/>
    </xf>
    <xf numFmtId="0" fontId="95" fillId="0" borderId="0" applyNumberFormat="0" applyFill="0" applyBorder="0" applyAlignment="0" applyProtection="0">
      <alignment vertical="center"/>
    </xf>
    <xf numFmtId="0" fontId="96" fillId="0" borderId="0" applyNumberFormat="0" applyFill="0" applyBorder="0" applyAlignment="0" applyProtection="0">
      <alignment vertical="center"/>
    </xf>
    <xf numFmtId="209" fontId="30" fillId="0" borderId="0">
      <alignment horizontal="center"/>
    </xf>
    <xf numFmtId="0" fontId="97" fillId="0" borderId="0" applyBorder="0"/>
    <xf numFmtId="251" fontId="6" fillId="0" borderId="0" applyFont="0" applyFill="0" applyBorder="0" applyAlignment="0" applyProtection="0"/>
    <xf numFmtId="252" fontId="6" fillId="0" borderId="0" applyFont="0" applyFill="0" applyBorder="0" applyAlignment="0" applyProtection="0"/>
    <xf numFmtId="253" fontId="6" fillId="0" borderId="0" applyFont="0" applyFill="0" applyBorder="0" applyAlignment="0" applyProtection="0"/>
    <xf numFmtId="254" fontId="6" fillId="0" borderId="0" applyFont="0" applyFill="0" applyBorder="0" applyAlignment="0" applyProtection="0"/>
    <xf numFmtId="0" fontId="53" fillId="0" borderId="0" applyFont="0" applyFill="0" applyBorder="0" applyAlignment="0" applyProtection="0">
      <alignment horizontal="right"/>
    </xf>
    <xf numFmtId="0" fontId="53" fillId="0" borderId="0" applyFill="0" applyProtection="0">
      <alignment horizontal="right"/>
    </xf>
    <xf numFmtId="3" fontId="68" fillId="0" borderId="0" applyFont="0" applyFill="0" applyBorder="0" applyAlignment="0" applyProtection="0">
      <alignment horizontal="center"/>
    </xf>
    <xf numFmtId="255" fontId="6" fillId="0" borderId="0" applyFont="0" applyFill="0" applyBorder="0" applyAlignment="0" applyProtection="0">
      <alignment horizontal="right"/>
    </xf>
    <xf numFmtId="0" fontId="98" fillId="0" borderId="0"/>
    <xf numFmtId="0" fontId="90" fillId="0" borderId="37" applyNumberFormat="0" applyAlignment="0">
      <alignment horizontal="left"/>
    </xf>
    <xf numFmtId="256" fontId="6" fillId="0" borderId="0" applyFont="0" applyFill="0" applyBorder="0" applyAlignment="0" applyProtection="0"/>
    <xf numFmtId="257" fontId="6" fillId="0" borderId="0" applyFont="0" applyFill="0" applyBorder="0" applyAlignment="0" applyProtection="0"/>
    <xf numFmtId="258" fontId="6" fillId="0" borderId="0" applyFont="0" applyFill="0" applyBorder="0" applyAlignment="0" applyProtection="0"/>
    <xf numFmtId="259" fontId="6" fillId="0" borderId="0" applyFont="0" applyFill="0" applyBorder="0" applyAlignment="0" applyProtection="0"/>
    <xf numFmtId="17" fontId="30" fillId="0" borderId="0" applyFont="0" applyFill="0" applyBorder="0" applyAlignment="0" applyProtection="0">
      <alignment horizontal="center"/>
    </xf>
    <xf numFmtId="260" fontId="19" fillId="0" borderId="0" applyFont="0" applyFill="0" applyBorder="0" applyAlignment="0" applyProtection="0"/>
    <xf numFmtId="0" fontId="36" fillId="0" borderId="0" applyFont="0" applyFill="0" applyBorder="0" applyAlignment="0" applyProtection="0">
      <alignment horizontal="right"/>
    </xf>
    <xf numFmtId="0" fontId="36" fillId="0" borderId="0" applyFont="0" applyFill="0" applyBorder="0" applyAlignment="0" applyProtection="0">
      <alignment horizontal="right"/>
    </xf>
    <xf numFmtId="225" fontId="6" fillId="0" borderId="0" applyFont="0" applyFill="0" applyBorder="0" applyAlignment="0" applyProtection="0"/>
    <xf numFmtId="216" fontId="19" fillId="0" borderId="0" applyFont="0" applyFill="0" applyBorder="0" applyAlignment="0" applyProtection="0"/>
    <xf numFmtId="0" fontId="6" fillId="0" borderId="0">
      <alignment horizontal="right"/>
    </xf>
    <xf numFmtId="0" fontId="62" fillId="0" borderId="0" applyNumberFormat="0" applyBorder="0" applyAlignment="0"/>
    <xf numFmtId="37" fontId="99" fillId="0" borderId="0"/>
    <xf numFmtId="0" fontId="53" fillId="0" borderId="0"/>
    <xf numFmtId="261" fontId="19" fillId="0" borderId="0"/>
    <xf numFmtId="0" fontId="19" fillId="0" borderId="0" applyNumberFormat="0" applyFont="0" applyBorder="0" applyAlignment="0"/>
    <xf numFmtId="215" fontId="53" fillId="0" borderId="0"/>
    <xf numFmtId="0" fontId="56" fillId="0" borderId="0"/>
    <xf numFmtId="40" fontId="31" fillId="0" borderId="0" applyFon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19" fillId="0" borderId="0"/>
    <xf numFmtId="0" fontId="100" fillId="0" borderId="0"/>
    <xf numFmtId="0" fontId="101" fillId="0" borderId="22"/>
    <xf numFmtId="0" fontId="6" fillId="0" borderId="0"/>
    <xf numFmtId="14" fontId="31" fillId="0" borderId="0" applyFont="0" applyFill="0" applyBorder="0" applyAlignment="0" applyProtection="0"/>
    <xf numFmtId="0" fontId="21" fillId="0" borderId="0">
      <alignment horizontal="center"/>
    </xf>
    <xf numFmtId="37" fontId="6" fillId="0" borderId="0" applyFont="0" applyFill="0" applyBorder="0" applyAlignment="0" applyProtection="0"/>
    <xf numFmtId="30" fontId="6" fillId="0" borderId="0" applyNumberFormat="0" applyFill="0" applyBorder="0" applyAlignment="0" applyProtection="0"/>
    <xf numFmtId="262" fontId="102" fillId="16" borderId="14"/>
    <xf numFmtId="0" fontId="6" fillId="27" borderId="0" applyNumberFormat="0" applyFont="0" applyBorder="0" applyAlignment="0"/>
    <xf numFmtId="0" fontId="19" fillId="0" borderId="0" applyFill="0" applyBorder="0" applyProtection="0"/>
    <xf numFmtId="263" fontId="19" fillId="0" borderId="0" applyFont="0" applyFill="0" applyBorder="0" applyProtection="0"/>
    <xf numFmtId="264" fontId="102" fillId="16" borderId="14" applyFont="0" applyFill="0" applyBorder="0" applyAlignment="0" applyProtection="0"/>
    <xf numFmtId="40" fontId="103" fillId="6" borderId="0">
      <alignment horizontal="right"/>
    </xf>
    <xf numFmtId="0" fontId="104" fillId="6" borderId="0">
      <alignment horizontal="right"/>
    </xf>
    <xf numFmtId="0" fontId="105" fillId="6" borderId="20"/>
    <xf numFmtId="0" fontId="105" fillId="0" borderId="0" applyBorder="0">
      <alignment horizontal="centerContinuous"/>
    </xf>
    <xf numFmtId="0" fontId="106" fillId="0" borderId="0" applyBorder="0">
      <alignment horizontal="centerContinuous"/>
    </xf>
    <xf numFmtId="216" fontId="44" fillId="0" borderId="0" applyFill="0" applyBorder="0" applyAlignment="0" applyProtection="0"/>
    <xf numFmtId="0" fontId="6" fillId="0" borderId="0" applyFont="0" applyFill="0" applyBorder="0" applyAlignment="0" applyProtection="0"/>
    <xf numFmtId="215" fontId="19" fillId="0" borderId="0" applyFont="0" applyFill="0" applyBorder="0" applyAlignment="0" applyProtection="0"/>
    <xf numFmtId="188" fontId="19" fillId="0" borderId="0" applyFont="0" applyFill="0" applyBorder="0" applyAlignment="0" applyProtection="0"/>
    <xf numFmtId="0" fontId="107" fillId="0" borderId="0" applyProtection="0">
      <alignment horizontal="left"/>
    </xf>
    <xf numFmtId="1" fontId="108" fillId="0" borderId="0" applyProtection="0">
      <alignment horizontal="right" vertical="center"/>
    </xf>
    <xf numFmtId="265" fontId="30" fillId="0" borderId="0">
      <alignment horizontal="center"/>
    </xf>
    <xf numFmtId="185" fontId="31" fillId="28" borderId="0" applyNumberFormat="0" applyFont="0" applyBorder="0" applyAlignment="0" applyProtection="0"/>
    <xf numFmtId="0" fontId="6" fillId="0" borderId="34" applyNumberFormat="0">
      <alignment vertical="center"/>
    </xf>
    <xf numFmtId="0" fontId="6" fillId="0" borderId="0" applyFont="0" applyFill="0" applyBorder="0" applyAlignment="0" applyProtection="0"/>
    <xf numFmtId="2" fontId="56" fillId="0" borderId="0"/>
    <xf numFmtId="195" fontId="20" fillId="0" borderId="22">
      <alignment horizontal="right"/>
    </xf>
    <xf numFmtId="10"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9" fontId="6" fillId="0" borderId="0" applyFont="0" applyFill="0" applyBorder="0" applyAlignment="0" applyProtection="0"/>
    <xf numFmtId="266" fontId="30" fillId="0" borderId="0" applyFont="0" applyFill="0" applyBorder="0" applyAlignment="0" applyProtection="0">
      <alignment horizontal="center"/>
    </xf>
    <xf numFmtId="30" fontId="6" fillId="0" borderId="0" applyFill="0" applyBorder="0">
      <alignment horizontal="right"/>
      <protection locked="0"/>
    </xf>
    <xf numFmtId="0" fontId="19" fillId="0" borderId="0"/>
    <xf numFmtId="267" fontId="56" fillId="0" borderId="0" applyFont="0" applyFill="0" applyBorder="0" applyAlignment="0" applyProtection="0"/>
    <xf numFmtId="216" fontId="19" fillId="0" borderId="0"/>
    <xf numFmtId="3" fontId="6" fillId="0" borderId="0"/>
    <xf numFmtId="10" fontId="56" fillId="0" borderId="0"/>
    <xf numFmtId="10" fontId="56" fillId="25" borderId="0"/>
    <xf numFmtId="9" fontId="56" fillId="0" borderId="0" applyFont="0" applyFill="0" applyBorder="0" applyAlignment="0" applyProtection="0"/>
    <xf numFmtId="0" fontId="62" fillId="0" borderId="0" applyNumberFormat="0" applyFont="0" applyFill="0" applyBorder="0" applyAlignment="0" applyProtection="0">
      <alignment horizontal="left"/>
    </xf>
    <xf numFmtId="15" fontId="62" fillId="0" borderId="0" applyFont="0" applyFill="0" applyBorder="0" applyAlignment="0" applyProtection="0"/>
    <xf numFmtId="4" fontId="62" fillId="0" borderId="0" applyFont="0" applyFill="0" applyBorder="0" applyAlignment="0" applyProtection="0"/>
    <xf numFmtId="0" fontId="18" fillId="0" borderId="30">
      <alignment horizontal="center"/>
    </xf>
    <xf numFmtId="3" fontId="62" fillId="0" borderId="0" applyFont="0" applyFill="0" applyBorder="0" applyAlignment="0" applyProtection="0"/>
    <xf numFmtId="0" fontId="62" fillId="29" borderId="0" applyNumberFormat="0" applyFont="0" applyBorder="0" applyAlignment="0" applyProtection="0"/>
    <xf numFmtId="268" fontId="45" fillId="0" borderId="0" applyFont="0" applyFill="0" applyBorder="0" applyAlignment="0" applyProtection="0">
      <alignment horizontal="right"/>
    </xf>
    <xf numFmtId="216" fontId="109" fillId="0" borderId="36" applyNumberFormat="0" applyFill="0" applyBorder="0" applyAlignment="0" applyProtection="0"/>
    <xf numFmtId="0" fontId="110" fillId="0" borderId="22" applyNumberFormat="0" applyFill="0" applyBorder="0" applyAlignment="0" applyProtection="0">
      <protection hidden="1"/>
    </xf>
    <xf numFmtId="216" fontId="111" fillId="0" borderId="0">
      <alignment horizontal="right"/>
    </xf>
    <xf numFmtId="0" fontId="61" fillId="0" borderId="0" applyNumberFormat="0" applyFill="0" applyBorder="0">
      <alignment vertical="top"/>
    </xf>
    <xf numFmtId="177" fontId="19" fillId="0" borderId="0" applyFont="0" applyFill="0" applyBorder="0" applyAlignment="0" applyProtection="0"/>
    <xf numFmtId="188" fontId="6" fillId="0" borderId="0">
      <alignment horizontal="right"/>
    </xf>
    <xf numFmtId="0" fontId="6" fillId="0" borderId="0"/>
    <xf numFmtId="269" fontId="6" fillId="0" borderId="0" applyFill="0" applyBorder="0">
      <alignment horizontal="right"/>
      <protection hidden="1"/>
    </xf>
    <xf numFmtId="0" fontId="112" fillId="19" borderId="14">
      <alignment horizontal="center" vertical="center" wrapText="1"/>
      <protection hidden="1"/>
    </xf>
    <xf numFmtId="38" fontId="113" fillId="0" borderId="0" applyFont="0" applyFill="0" applyBorder="0" applyAlignment="0" applyProtection="0"/>
    <xf numFmtId="270" fontId="6" fillId="0" borderId="0">
      <alignment horizontal="right"/>
    </xf>
    <xf numFmtId="271" fontId="6" fillId="0" borderId="0">
      <alignment horizontal="right"/>
    </xf>
    <xf numFmtId="177" fontId="19" fillId="0" borderId="0" applyFont="0" applyFill="0" applyBorder="0" applyAlignment="0" applyProtection="0"/>
    <xf numFmtId="0" fontId="114" fillId="0" borderId="0" applyNumberFormat="0" applyFill="0" applyBorder="0" applyAlignment="0" applyProtection="0"/>
    <xf numFmtId="0" fontId="81" fillId="0" borderId="0" applyNumberFormat="0" applyFill="0" applyBorder="0" applyAlignment="0" applyProtection="0"/>
    <xf numFmtId="0" fontId="78" fillId="0" borderId="0" applyNumberFormat="0" applyFill="0" applyBorder="0" applyAlignment="0" applyProtection="0"/>
    <xf numFmtId="0" fontId="115" fillId="30" borderId="0" applyNumberFormat="0" applyBorder="0" applyAlignment="0" applyProtection="0">
      <alignment horizontal="center" wrapText="1"/>
    </xf>
    <xf numFmtId="0" fontId="33" fillId="0" borderId="0" applyNumberFormat="0" applyFill="0" applyBorder="0" applyAlignment="0" applyProtection="0"/>
    <xf numFmtId="0" fontId="116" fillId="30" borderId="0" applyNumberFormat="0" applyBorder="0" applyAlignment="0" applyProtection="0"/>
    <xf numFmtId="0" fontId="19" fillId="0" borderId="0"/>
    <xf numFmtId="0" fontId="114" fillId="0" borderId="0" applyNumberFormat="0" applyFill="0" applyBorder="0" applyAlignment="0"/>
    <xf numFmtId="188" fontId="6" fillId="0" borderId="0">
      <alignment horizontal="right"/>
    </xf>
    <xf numFmtId="179" fontId="58" fillId="0" borderId="0" applyFill="0" applyBorder="0" applyAlignment="0" applyProtection="0"/>
    <xf numFmtId="0" fontId="6" fillId="0" borderId="0"/>
    <xf numFmtId="0" fontId="100" fillId="0" borderId="0"/>
    <xf numFmtId="0" fontId="33" fillId="0" borderId="0" applyNumberFormat="0"/>
    <xf numFmtId="188" fontId="6" fillId="0" borderId="0">
      <alignment horizontal="right"/>
    </xf>
    <xf numFmtId="0" fontId="6" fillId="0" borderId="0"/>
    <xf numFmtId="0" fontId="6" fillId="0" borderId="0"/>
    <xf numFmtId="270" fontId="6" fillId="0" borderId="0">
      <alignment horizontal="right"/>
    </xf>
    <xf numFmtId="0" fontId="6" fillId="0" borderId="0"/>
    <xf numFmtId="0" fontId="33" fillId="0" borderId="0" applyNumberFormat="0" applyFill="0" applyBorder="0" applyAlignment="0" applyProtection="0"/>
    <xf numFmtId="0" fontId="117" fillId="0" borderId="0" applyNumberFormat="0" applyFill="0" applyBorder="0" applyProtection="0"/>
    <xf numFmtId="0" fontId="118" fillId="31" borderId="0" applyNumberFormat="0" applyBorder="0" applyProtection="0"/>
    <xf numFmtId="0" fontId="119" fillId="32" borderId="0" applyNumberFormat="0" applyBorder="0" applyProtection="0"/>
    <xf numFmtId="0" fontId="120" fillId="0" borderId="0" applyNumberFormat="0" applyFill="0" applyBorder="0" applyProtection="0"/>
    <xf numFmtId="0" fontId="121" fillId="0" borderId="0" applyNumberFormat="0" applyFill="0" applyBorder="0" applyProtection="0"/>
    <xf numFmtId="0" fontId="122" fillId="0" borderId="0" applyNumberFormat="0" applyFill="0" applyBorder="0" applyProtection="0"/>
    <xf numFmtId="0" fontId="31" fillId="0" borderId="0" applyFill="0" applyBorder="0" applyProtection="0">
      <alignment horizontal="right" wrapText="1"/>
    </xf>
    <xf numFmtId="0" fontId="123" fillId="0" borderId="0" applyNumberFormat="0" applyFill="0" applyBorder="0" applyProtection="0"/>
    <xf numFmtId="0" fontId="41" fillId="0" borderId="0">
      <alignment vertical="top"/>
    </xf>
    <xf numFmtId="180" fontId="6" fillId="0" borderId="0" applyFont="0" applyFill="0" applyBorder="0" applyAlignment="0" applyProtection="0"/>
    <xf numFmtId="180" fontId="6" fillId="0" borderId="0" applyFont="0" applyFill="0" applyBorder="0" applyAlignment="0" applyProtection="0"/>
    <xf numFmtId="180" fontId="6" fillId="0" borderId="0" applyFont="0" applyFill="0" applyBorder="0" applyAlignment="0" applyProtection="0"/>
    <xf numFmtId="180" fontId="6" fillId="0" borderId="0" applyFont="0" applyFill="0" applyBorder="0" applyAlignment="0" applyProtection="0"/>
    <xf numFmtId="265" fontId="6" fillId="8" borderId="0">
      <alignment horizontal="center"/>
    </xf>
    <xf numFmtId="201" fontId="6" fillId="8" borderId="0">
      <alignment horizontal="center"/>
    </xf>
    <xf numFmtId="37" fontId="6" fillId="0" borderId="18" applyNumberFormat="0" applyFont="0" applyFill="0" applyAlignment="0" applyProtection="0"/>
    <xf numFmtId="272" fontId="6" fillId="0" borderId="0">
      <alignment horizontal="right"/>
    </xf>
    <xf numFmtId="0" fontId="124" fillId="0" borderId="0" applyBorder="0" applyProtection="0">
      <alignment vertical="center"/>
    </xf>
    <xf numFmtId="0" fontId="36" fillId="0" borderId="36" applyBorder="0" applyProtection="0">
      <alignment horizontal="right" vertical="center"/>
    </xf>
    <xf numFmtId="0" fontId="125" fillId="18" borderId="0" applyBorder="0" applyProtection="0">
      <alignment horizontal="centerContinuous" vertical="center"/>
    </xf>
    <xf numFmtId="0" fontId="125" fillId="33" borderId="36" applyBorder="0" applyProtection="0">
      <alignment horizontal="centerContinuous" vertical="center"/>
    </xf>
    <xf numFmtId="0" fontId="57" fillId="0" borderId="0" applyFill="0" applyBorder="0" applyProtection="0"/>
    <xf numFmtId="0" fontId="126" fillId="0" borderId="0" applyFill="0" applyBorder="0" applyProtection="0">
      <alignment horizontal="left"/>
    </xf>
    <xf numFmtId="0" fontId="75" fillId="0" borderId="19" applyFill="0" applyBorder="0" applyProtection="0">
      <alignment horizontal="left" vertical="top"/>
    </xf>
    <xf numFmtId="0" fontId="6" fillId="34" borderId="38" applyNumberFormat="0" applyFont="0">
      <alignment horizontal="center" vertical="center"/>
    </xf>
    <xf numFmtId="0" fontId="33" fillId="0" borderId="0" applyNumberFormat="0" applyFill="0" applyBorder="0" applyAlignment="0" applyProtection="0"/>
    <xf numFmtId="0" fontId="127" fillId="0" borderId="0"/>
    <xf numFmtId="0" fontId="90" fillId="0" borderId="0" applyNumberFormat="0" applyFill="0" applyBorder="0" applyAlignment="0" applyProtection="0"/>
    <xf numFmtId="0" fontId="29" fillId="0" borderId="0" applyNumberFormat="0" applyFill="0" applyBorder="0" applyAlignment="0" applyProtection="0"/>
    <xf numFmtId="40" fontId="6" fillId="0" borderId="0"/>
    <xf numFmtId="0" fontId="55" fillId="0" borderId="0" applyNumberFormat="0" applyFill="0" applyBorder="0" applyAlignment="0" applyProtection="0"/>
    <xf numFmtId="0" fontId="62" fillId="0" borderId="0" applyBorder="0"/>
    <xf numFmtId="0" fontId="6" fillId="0" borderId="0"/>
    <xf numFmtId="273" fontId="6" fillId="0" borderId="0"/>
    <xf numFmtId="0" fontId="128" fillId="15" borderId="22"/>
    <xf numFmtId="0" fontId="129" fillId="0" borderId="39">
      <protection locked="0"/>
    </xf>
    <xf numFmtId="0" fontId="130" fillId="35" borderId="40" applyNumberFormat="0" applyAlignment="0" applyProtection="0"/>
    <xf numFmtId="0" fontId="130" fillId="0" borderId="0" applyNumberFormat="0" applyAlignment="0" applyProtection="0"/>
    <xf numFmtId="0" fontId="131" fillId="4" borderId="0" applyNumberFormat="0" applyAlignment="0" applyProtection="0"/>
    <xf numFmtId="0" fontId="6" fillId="0" borderId="41" applyNumberFormat="0" applyFont="0" applyFill="0" applyAlignment="0"/>
    <xf numFmtId="274" fontId="19" fillId="0" borderId="0" applyFill="0" applyBorder="0" applyProtection="0"/>
    <xf numFmtId="275" fontId="19" fillId="0" borderId="0" applyFill="0" applyBorder="0" applyProtection="0"/>
    <xf numFmtId="216" fontId="19" fillId="0" borderId="13" applyNumberFormat="0" applyFont="0" applyFill="0" applyAlignment="0" applyProtection="0"/>
    <xf numFmtId="195" fontId="132" fillId="22" borderId="0">
      <protection locked="0"/>
    </xf>
    <xf numFmtId="276" fontId="6" fillId="0" borderId="0" applyFont="0" applyFill="0" applyBorder="0" applyAlignment="0" applyProtection="0"/>
    <xf numFmtId="277" fontId="6" fillId="0" borderId="0" applyFont="0" applyFill="0" applyBorder="0" applyAlignment="0" applyProtection="0"/>
    <xf numFmtId="0" fontId="133" fillId="0" borderId="0"/>
    <xf numFmtId="0" fontId="134" fillId="0" borderId="0"/>
    <xf numFmtId="1" fontId="134" fillId="0" borderId="0"/>
    <xf numFmtId="0" fontId="36" fillId="0" borderId="0"/>
    <xf numFmtId="186" fontId="90"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186" fontId="90" fillId="0" borderId="0">
      <protection locked="0"/>
    </xf>
    <xf numFmtId="278" fontId="90" fillId="0" borderId="0" applyFont="0" applyFill="0" applyBorder="0" applyAlignment="0" applyProtection="0">
      <alignment horizontal="right"/>
    </xf>
    <xf numFmtId="0" fontId="36" fillId="0" borderId="0" applyFont="0" applyFill="0" applyBorder="0" applyAlignment="0" applyProtection="0">
      <alignment horizontal="right"/>
    </xf>
    <xf numFmtId="279" fontId="45" fillId="0" borderId="0"/>
    <xf numFmtId="0" fontId="58" fillId="0" borderId="0" applyFont="0" applyFill="0" applyBorder="0" applyAlignment="0" applyProtection="0"/>
    <xf numFmtId="262" fontId="135" fillId="16" borderId="0" applyFont="0" applyFill="0" applyBorder="0" applyAlignment="0" applyProtection="0">
      <alignment horizontal="center"/>
    </xf>
    <xf numFmtId="0" fontId="137" fillId="36" borderId="0" applyNumberFormat="0" applyAlignment="0" applyProtection="0"/>
    <xf numFmtId="0" fontId="138" fillId="5" borderId="0" applyNumberFormat="0" applyAlignment="0" applyProtection="0"/>
    <xf numFmtId="41" fontId="4" fillId="0" borderId="0" applyFont="0" applyFill="0" applyBorder="0" applyAlignment="0" applyProtection="0">
      <alignment vertical="center"/>
    </xf>
    <xf numFmtId="9" fontId="4" fillId="0" borderId="0" applyFont="0" applyFill="0" applyBorder="0" applyAlignment="0" applyProtection="0">
      <alignment vertical="center"/>
    </xf>
  </cellStyleXfs>
  <cellXfs count="146">
    <xf numFmtId="0" fontId="0" fillId="0" borderId="0" xfId="0"/>
    <xf numFmtId="0" fontId="0" fillId="3" borderId="0" xfId="0" applyFill="1"/>
    <xf numFmtId="183" fontId="0" fillId="3" borderId="0" xfId="0" applyNumberFormat="1" applyFill="1"/>
    <xf numFmtId="2" fontId="0" fillId="3" borderId="0" xfId="0" applyNumberFormat="1" applyFill="1"/>
    <xf numFmtId="14" fontId="0" fillId="3" borderId="0" xfId="0" applyNumberFormat="1" applyFill="1"/>
    <xf numFmtId="184" fontId="0" fillId="3" borderId="0" xfId="0" applyNumberFormat="1" applyFill="1"/>
    <xf numFmtId="0" fontId="5" fillId="3" borderId="0" xfId="0" applyFont="1" applyFill="1"/>
    <xf numFmtId="0" fontId="0" fillId="3" borderId="2" xfId="0" applyFill="1" applyBorder="1"/>
    <xf numFmtId="0" fontId="0" fillId="3" borderId="4" xfId="0" applyFill="1" applyBorder="1"/>
    <xf numFmtId="0" fontId="0" fillId="3" borderId="7" xfId="0" applyFill="1" applyBorder="1"/>
    <xf numFmtId="0" fontId="0" fillId="2" borderId="10" xfId="0" applyFill="1" applyBorder="1"/>
    <xf numFmtId="183" fontId="1" fillId="2" borderId="11" xfId="0" applyNumberFormat="1" applyFont="1" applyFill="1" applyBorder="1"/>
    <xf numFmtId="183" fontId="9" fillId="2" borderId="12" xfId="0" applyNumberFormat="1" applyFont="1" applyFill="1" applyBorder="1"/>
    <xf numFmtId="0" fontId="10" fillId="3" borderId="0" xfId="0" applyFont="1" applyFill="1"/>
    <xf numFmtId="2" fontId="0" fillId="3" borderId="0" xfId="0" applyNumberFormat="1" applyFill="1" applyBorder="1"/>
    <xf numFmtId="2" fontId="2" fillId="3" borderId="0" xfId="0" applyNumberFormat="1" applyFont="1" applyFill="1" applyBorder="1"/>
    <xf numFmtId="183" fontId="5" fillId="3" borderId="0" xfId="0" applyNumberFormat="1" applyFont="1" applyFill="1"/>
    <xf numFmtId="0" fontId="8" fillId="0" borderId="0" xfId="2" applyFont="1" applyAlignment="1" applyProtection="1">
      <alignment vertical="center"/>
    </xf>
    <xf numFmtId="0" fontId="0" fillId="3" borderId="0" xfId="0" applyFill="1" applyAlignment="1">
      <alignment horizontal="center"/>
    </xf>
    <xf numFmtId="186" fontId="0" fillId="3" borderId="8" xfId="0" applyNumberFormat="1" applyFill="1" applyBorder="1"/>
    <xf numFmtId="186" fontId="0" fillId="3" borderId="1" xfId="0" applyNumberFormat="1" applyFill="1" applyBorder="1"/>
    <xf numFmtId="186" fontId="0" fillId="3" borderId="5" xfId="0" applyNumberFormat="1" applyFill="1" applyBorder="1"/>
    <xf numFmtId="0" fontId="11" fillId="0" borderId="0" xfId="0" applyFont="1" applyFill="1"/>
    <xf numFmtId="0" fontId="12" fillId="3" borderId="0" xfId="0" applyFont="1" applyFill="1"/>
    <xf numFmtId="0" fontId="5" fillId="3" borderId="0" xfId="0" applyFont="1" applyFill="1" applyAlignment="1">
      <alignment horizontal="center"/>
    </xf>
    <xf numFmtId="3" fontId="12" fillId="3" borderId="0" xfId="0" applyNumberFormat="1" applyFont="1" applyFill="1"/>
    <xf numFmtId="0" fontId="1" fillId="3" borderId="0" xfId="0" applyFont="1" applyFill="1" applyAlignment="1">
      <alignment horizontal="centerContinuous"/>
    </xf>
    <xf numFmtId="183" fontId="9" fillId="2" borderId="21" xfId="0" applyNumberFormat="1" applyFont="1" applyFill="1" applyBorder="1"/>
    <xf numFmtId="0" fontId="16" fillId="5" borderId="0" xfId="0" applyFont="1" applyFill="1" applyBorder="1" applyAlignment="1">
      <alignment vertical="center"/>
    </xf>
    <xf numFmtId="0" fontId="17" fillId="0" borderId="0" xfId="0" applyFont="1"/>
    <xf numFmtId="0" fontId="130" fillId="0" borderId="42" xfId="906" applyBorder="1" applyAlignment="1">
      <alignment vertical="center"/>
    </xf>
    <xf numFmtId="0" fontId="130" fillId="0" borderId="43" xfId="906" applyBorder="1" applyAlignment="1">
      <alignment vertical="center"/>
    </xf>
    <xf numFmtId="0" fontId="130" fillId="0" borderId="44" xfId="906" applyBorder="1" applyAlignment="1">
      <alignment vertical="center"/>
    </xf>
    <xf numFmtId="183" fontId="130" fillId="0" borderId="44" xfId="906" applyNumberFormat="1" applyBorder="1" applyAlignment="1">
      <alignment vertical="center"/>
    </xf>
    <xf numFmtId="0" fontId="131" fillId="4" borderId="0" xfId="907" applyAlignment="1">
      <alignment vertical="center"/>
    </xf>
    <xf numFmtId="0" fontId="138" fillId="5" borderId="0" xfId="984" applyAlignment="1">
      <alignment vertical="center"/>
    </xf>
    <xf numFmtId="183" fontId="136" fillId="5" borderId="0" xfId="984" applyNumberFormat="1" applyFont="1" applyAlignment="1">
      <alignment horizontal="right" vertical="center"/>
    </xf>
    <xf numFmtId="0" fontId="130" fillId="0" borderId="43" xfId="906" quotePrefix="1" applyBorder="1" applyAlignment="1">
      <alignment vertical="center"/>
    </xf>
    <xf numFmtId="3" fontId="130" fillId="0" borderId="43" xfId="906" applyNumberFormat="1" applyBorder="1" applyAlignment="1">
      <alignment vertical="center"/>
    </xf>
    <xf numFmtId="0" fontId="130" fillId="0" borderId="44" xfId="906" applyBorder="1" applyAlignment="1">
      <alignment horizontal="right" vertical="center"/>
    </xf>
    <xf numFmtId="3" fontId="130" fillId="0" borderId="44" xfId="906" applyNumberFormat="1" applyBorder="1" applyAlignment="1">
      <alignment vertical="center"/>
    </xf>
    <xf numFmtId="0" fontId="130" fillId="0" borderId="44" xfId="906" quotePrefix="1" applyBorder="1" applyAlignment="1">
      <alignment vertical="center"/>
    </xf>
    <xf numFmtId="3" fontId="139" fillId="0" borderId="44" xfId="906" applyNumberFormat="1" applyFont="1" applyBorder="1" applyAlignment="1">
      <alignment vertical="center"/>
    </xf>
    <xf numFmtId="186" fontId="2" fillId="3" borderId="1" xfId="0" quotePrefix="1" applyNumberFormat="1" applyFont="1" applyFill="1" applyBorder="1" applyAlignment="1">
      <alignment horizontal="right" vertical="center"/>
    </xf>
    <xf numFmtId="186" fontId="2" fillId="3" borderId="1" xfId="0" applyNumberFormat="1" applyFont="1" applyFill="1" applyBorder="1" applyAlignment="1">
      <alignment horizontal="right" vertical="center"/>
    </xf>
    <xf numFmtId="186" fontId="2" fillId="3" borderId="9" xfId="0" applyNumberFormat="1" applyFont="1" applyFill="1" applyBorder="1" applyAlignment="1">
      <alignment horizontal="right"/>
    </xf>
    <xf numFmtId="186" fontId="2" fillId="3" borderId="3" xfId="0" applyNumberFormat="1" applyFont="1" applyFill="1" applyBorder="1" applyAlignment="1">
      <alignment horizontal="right"/>
    </xf>
    <xf numFmtId="186" fontId="2" fillId="3" borderId="5" xfId="0" applyNumberFormat="1" applyFont="1" applyFill="1" applyBorder="1" applyAlignment="1">
      <alignment horizontal="right"/>
    </xf>
    <xf numFmtId="186" fontId="2" fillId="3" borderId="6" xfId="0" applyNumberFormat="1" applyFont="1" applyFill="1" applyBorder="1" applyAlignment="1">
      <alignment horizontal="right"/>
    </xf>
    <xf numFmtId="0" fontId="131" fillId="4" borderId="0" xfId="907" applyAlignment="1">
      <alignment horizontal="center" vertical="center"/>
    </xf>
    <xf numFmtId="186" fontId="0" fillId="3" borderId="1" xfId="0" applyNumberFormat="1" applyFill="1" applyBorder="1" applyAlignment="1">
      <alignment horizontal="right"/>
    </xf>
    <xf numFmtId="188" fontId="130" fillId="0" borderId="44" xfId="906" applyNumberFormat="1" applyBorder="1" applyAlignment="1">
      <alignment vertical="center"/>
    </xf>
    <xf numFmtId="2" fontId="130" fillId="0" borderId="44" xfId="906" applyNumberFormat="1" applyBorder="1" applyAlignment="1">
      <alignment vertical="center"/>
    </xf>
    <xf numFmtId="183" fontId="131" fillId="4" borderId="0" xfId="907" applyNumberFormat="1" applyAlignment="1">
      <alignment vertical="center"/>
    </xf>
    <xf numFmtId="188" fontId="130" fillId="0" borderId="43" xfId="906" applyNumberFormat="1" applyBorder="1" applyAlignment="1">
      <alignment vertical="center"/>
    </xf>
    <xf numFmtId="183" fontId="136" fillId="36" borderId="0" xfId="983" applyNumberFormat="1" applyFont="1" applyAlignment="1">
      <alignment vertical="center"/>
    </xf>
    <xf numFmtId="0" fontId="3" fillId="3" borderId="0" xfId="0" applyFont="1" applyFill="1"/>
    <xf numFmtId="0" fontId="130" fillId="0" borderId="42" xfId="906" quotePrefix="1" applyBorder="1" applyAlignment="1">
      <alignment vertical="center"/>
    </xf>
    <xf numFmtId="14" fontId="130" fillId="0" borderId="42" xfId="906" applyNumberFormat="1" applyBorder="1" applyAlignment="1">
      <alignment horizontal="center" vertical="center"/>
    </xf>
    <xf numFmtId="14" fontId="130" fillId="0" borderId="42" xfId="906" applyNumberFormat="1" applyBorder="1" applyAlignment="1">
      <alignment vertical="center"/>
    </xf>
    <xf numFmtId="2" fontId="130" fillId="0" borderId="42" xfId="906" applyNumberFormat="1" applyBorder="1" applyAlignment="1">
      <alignment horizontal="right" vertical="center"/>
    </xf>
    <xf numFmtId="3" fontId="130" fillId="0" borderId="42" xfId="906" applyNumberFormat="1" applyBorder="1" applyAlignment="1">
      <alignment horizontal="right" vertical="center"/>
    </xf>
    <xf numFmtId="187" fontId="130" fillId="0" borderId="42" xfId="906" applyNumberFormat="1" applyBorder="1" applyAlignment="1">
      <alignment vertical="center"/>
    </xf>
    <xf numFmtId="187" fontId="130" fillId="0" borderId="42" xfId="906" applyNumberFormat="1" applyBorder="1" applyAlignment="1">
      <alignment horizontal="right" vertical="center"/>
    </xf>
    <xf numFmtId="185" fontId="130" fillId="0" borderId="42" xfId="906" applyNumberFormat="1" applyBorder="1" applyAlignment="1">
      <alignment horizontal="right" vertical="center"/>
    </xf>
    <xf numFmtId="188" fontId="130" fillId="0" borderId="42" xfId="906" applyNumberFormat="1" applyBorder="1" applyAlignment="1">
      <alignment horizontal="right" vertical="center"/>
    </xf>
    <xf numFmtId="14" fontId="130" fillId="0" borderId="44" xfId="906" applyNumberFormat="1" applyBorder="1" applyAlignment="1">
      <alignment horizontal="center" vertical="center"/>
    </xf>
    <xf numFmtId="3" fontId="130" fillId="0" borderId="44" xfId="906" applyNumberFormat="1" applyBorder="1" applyAlignment="1">
      <alignment horizontal="right" vertical="center"/>
    </xf>
    <xf numFmtId="187" fontId="130" fillId="0" borderId="44" xfId="906" applyNumberFormat="1" applyBorder="1" applyAlignment="1">
      <alignment vertical="center"/>
    </xf>
    <xf numFmtId="187" fontId="130" fillId="0" borderId="44" xfId="906" applyNumberFormat="1" applyBorder="1" applyAlignment="1">
      <alignment horizontal="right" vertical="center"/>
    </xf>
    <xf numFmtId="185" fontId="130" fillId="0" borderId="44" xfId="906" applyNumberFormat="1" applyBorder="1" applyAlignment="1">
      <alignment horizontal="right" vertical="center"/>
    </xf>
    <xf numFmtId="188" fontId="130" fillId="0" borderId="44" xfId="906" applyNumberFormat="1" applyBorder="1" applyAlignment="1">
      <alignment horizontal="right" vertical="center"/>
    </xf>
    <xf numFmtId="4" fontId="130" fillId="0" borderId="44" xfId="906" applyNumberFormat="1" applyBorder="1" applyAlignment="1">
      <alignment horizontal="right" vertical="center"/>
    </xf>
    <xf numFmtId="14" fontId="130" fillId="0" borderId="43" xfId="906" applyNumberFormat="1" applyBorder="1" applyAlignment="1">
      <alignment horizontal="center" vertical="center"/>
    </xf>
    <xf numFmtId="3" fontId="130" fillId="0" borderId="43" xfId="906" applyNumberFormat="1" applyBorder="1" applyAlignment="1">
      <alignment horizontal="right" vertical="center"/>
    </xf>
    <xf numFmtId="187" fontId="130" fillId="0" borderId="43" xfId="906" applyNumberFormat="1" applyBorder="1" applyAlignment="1">
      <alignment vertical="center"/>
    </xf>
    <xf numFmtId="187" fontId="130" fillId="0" borderId="43" xfId="906" applyNumberFormat="1" applyBorder="1" applyAlignment="1">
      <alignment horizontal="right" vertical="center"/>
    </xf>
    <xf numFmtId="185" fontId="130" fillId="0" borderId="43" xfId="906" applyNumberFormat="1" applyBorder="1" applyAlignment="1">
      <alignment horizontal="right" vertical="center"/>
    </xf>
    <xf numFmtId="188" fontId="130" fillId="0" borderId="43" xfId="906" applyNumberFormat="1" applyBorder="1" applyAlignment="1">
      <alignment horizontal="right" vertical="center"/>
    </xf>
    <xf numFmtId="4" fontId="130" fillId="0" borderId="44" xfId="906" applyNumberFormat="1" applyBorder="1" applyAlignment="1">
      <alignment vertical="center"/>
    </xf>
    <xf numFmtId="185" fontId="130" fillId="0" borderId="44" xfId="906" applyNumberFormat="1" applyBorder="1" applyAlignment="1">
      <alignment vertical="center"/>
    </xf>
    <xf numFmtId="14" fontId="130" fillId="0" borderId="43" xfId="906" applyNumberFormat="1" applyBorder="1" applyAlignment="1">
      <alignment vertical="center"/>
    </xf>
    <xf numFmtId="4" fontId="130" fillId="0" borderId="43" xfId="906" applyNumberFormat="1" applyBorder="1" applyAlignment="1">
      <alignment horizontal="right" vertical="center"/>
    </xf>
    <xf numFmtId="0" fontId="139" fillId="0" borderId="44" xfId="906" applyFont="1" applyBorder="1" applyAlignment="1">
      <alignment vertical="center"/>
    </xf>
    <xf numFmtId="0" fontId="139" fillId="0" borderId="44" xfId="906" applyFont="1" applyBorder="1" applyAlignment="1">
      <alignment horizontal="center" vertical="center"/>
    </xf>
    <xf numFmtId="2" fontId="139" fillId="0" borderId="44" xfId="906" applyNumberFormat="1" applyFont="1" applyBorder="1" applyAlignment="1">
      <alignment vertical="center"/>
    </xf>
    <xf numFmtId="3" fontId="139" fillId="0" borderId="44" xfId="906" applyNumberFormat="1" applyFont="1" applyBorder="1" applyAlignment="1">
      <alignment horizontal="right" vertical="center"/>
    </xf>
    <xf numFmtId="187" fontId="139" fillId="0" borderId="44" xfId="906" applyNumberFormat="1" applyFont="1" applyBorder="1" applyAlignment="1">
      <alignment vertical="center"/>
    </xf>
    <xf numFmtId="187" fontId="139" fillId="0" borderId="44" xfId="906" applyNumberFormat="1" applyFont="1" applyBorder="1" applyAlignment="1">
      <alignment horizontal="right" vertical="center"/>
    </xf>
    <xf numFmtId="185" fontId="139" fillId="0" borderId="44" xfId="906" applyNumberFormat="1" applyFont="1" applyBorder="1" applyAlignment="1">
      <alignment horizontal="right" vertical="center"/>
    </xf>
    <xf numFmtId="188" fontId="139" fillId="0" borderId="44" xfId="906" applyNumberFormat="1" applyFont="1" applyBorder="1" applyAlignment="1">
      <alignment horizontal="right" vertical="center"/>
    </xf>
    <xf numFmtId="185" fontId="139" fillId="0" borderId="44" xfId="906" applyNumberFormat="1" applyFont="1" applyBorder="1" applyAlignment="1">
      <alignment vertical="center"/>
    </xf>
    <xf numFmtId="4" fontId="139" fillId="0" borderId="44" xfId="906" applyNumberFormat="1" applyFont="1" applyBorder="1" applyAlignment="1">
      <alignment vertical="center"/>
    </xf>
    <xf numFmtId="0" fontId="3" fillId="3" borderId="0" xfId="0" quotePrefix="1" applyFont="1" applyFill="1"/>
    <xf numFmtId="0" fontId="139" fillId="0" borderId="0" xfId="906" applyFont="1" applyBorder="1" applyAlignment="1">
      <alignment vertical="center"/>
    </xf>
    <xf numFmtId="183" fontId="9" fillId="2" borderId="45" xfId="0" applyNumberFormat="1" applyFont="1" applyFill="1" applyBorder="1"/>
    <xf numFmtId="0" fontId="1" fillId="2" borderId="12" xfId="0" applyFont="1" applyFill="1" applyBorder="1"/>
    <xf numFmtId="0" fontId="5" fillId="0" borderId="0" xfId="0" applyFont="1" applyFill="1"/>
    <xf numFmtId="0" fontId="1" fillId="3" borderId="0" xfId="0" applyFont="1" applyFill="1" applyAlignment="1">
      <alignment horizontal="right"/>
    </xf>
    <xf numFmtId="0" fontId="0" fillId="6" borderId="0" xfId="0" applyFill="1"/>
    <xf numFmtId="3" fontId="130" fillId="0" borderId="44" xfId="906" applyNumberFormat="1" applyFont="1" applyBorder="1" applyAlignment="1">
      <alignment vertical="center"/>
    </xf>
    <xf numFmtId="2" fontId="130" fillId="0" borderId="44" xfId="906" applyNumberFormat="1" applyFont="1" applyBorder="1" applyAlignment="1">
      <alignment vertical="center"/>
    </xf>
    <xf numFmtId="0" fontId="0" fillId="3" borderId="0" xfId="0" applyFont="1" applyFill="1"/>
    <xf numFmtId="0" fontId="15" fillId="37" borderId="46" xfId="0" applyFont="1" applyFill="1" applyBorder="1" applyAlignment="1">
      <alignment vertical="center"/>
    </xf>
    <xf numFmtId="0" fontId="140" fillId="11" borderId="47" xfId="905" applyFont="1" applyFill="1" applyBorder="1" applyAlignment="1">
      <alignment vertical="center"/>
    </xf>
    <xf numFmtId="0" fontId="130" fillId="0" borderId="0" xfId="906" applyBorder="1" applyAlignment="1">
      <alignment vertical="center"/>
    </xf>
    <xf numFmtId="183" fontId="130" fillId="0" borderId="43" xfId="906" applyNumberFormat="1" applyBorder="1" applyAlignment="1">
      <alignment vertical="center"/>
    </xf>
    <xf numFmtId="3" fontId="130" fillId="0" borderId="0" xfId="906" applyNumberFormat="1" applyBorder="1" applyAlignment="1">
      <alignment horizontal="right" vertical="center"/>
    </xf>
    <xf numFmtId="0" fontId="140" fillId="11" borderId="47" xfId="0" applyFont="1" applyFill="1" applyBorder="1"/>
    <xf numFmtId="0" fontId="140" fillId="11" borderId="48" xfId="0" applyFont="1" applyFill="1" applyBorder="1"/>
    <xf numFmtId="185" fontId="130" fillId="0" borderId="0" xfId="906" applyNumberFormat="1" applyBorder="1" applyAlignment="1">
      <alignment horizontal="right" vertical="center"/>
    </xf>
    <xf numFmtId="4" fontId="130" fillId="0" borderId="0" xfId="906" applyNumberFormat="1" applyBorder="1" applyAlignment="1">
      <alignment horizontal="right" vertical="center"/>
    </xf>
    <xf numFmtId="0" fontId="140" fillId="11" borderId="49" xfId="905" applyFont="1" applyFill="1" applyBorder="1" applyAlignment="1">
      <alignment vertical="center"/>
    </xf>
    <xf numFmtId="0" fontId="0" fillId="0" borderId="0" xfId="0" applyFont="1"/>
    <xf numFmtId="0" fontId="0" fillId="0" borderId="0" xfId="0" quotePrefix="1"/>
    <xf numFmtId="0" fontId="143" fillId="0" borderId="0" xfId="0" applyFont="1"/>
    <xf numFmtId="0" fontId="142" fillId="0" borderId="0" xfId="0" applyFont="1"/>
    <xf numFmtId="0" fontId="144" fillId="0" borderId="0" xfId="0" applyFont="1"/>
    <xf numFmtId="0" fontId="145" fillId="0" borderId="0" xfId="0" applyFont="1"/>
    <xf numFmtId="0" fontId="146" fillId="0" borderId="0" xfId="0" applyFont="1"/>
    <xf numFmtId="0" fontId="147" fillId="0" borderId="0" xfId="0" applyFont="1"/>
    <xf numFmtId="0" fontId="148" fillId="0" borderId="0" xfId="0" applyFont="1"/>
    <xf numFmtId="0" fontId="149" fillId="0" borderId="0" xfId="0" applyFont="1"/>
    <xf numFmtId="0" fontId="0" fillId="0" borderId="50" xfId="0" applyBorder="1"/>
    <xf numFmtId="0" fontId="0" fillId="0" borderId="18" xfId="0" applyBorder="1"/>
    <xf numFmtId="0" fontId="0" fillId="0" borderId="51" xfId="0" applyBorder="1"/>
    <xf numFmtId="0" fontId="0" fillId="0" borderId="19" xfId="0" applyBorder="1"/>
    <xf numFmtId="0" fontId="0" fillId="0" borderId="0" xfId="0" applyBorder="1"/>
    <xf numFmtId="0" fontId="0" fillId="0" borderId="20" xfId="0" applyBorder="1"/>
    <xf numFmtId="0" fontId="0" fillId="0" borderId="52" xfId="0" applyBorder="1"/>
    <xf numFmtId="0" fontId="0" fillId="0" borderId="36" xfId="0" applyBorder="1"/>
    <xf numFmtId="0" fontId="0" fillId="0" borderId="53" xfId="0" applyBorder="1"/>
    <xf numFmtId="0" fontId="143" fillId="0" borderId="16" xfId="0" applyFont="1" applyBorder="1"/>
    <xf numFmtId="0" fontId="143" fillId="0" borderId="27" xfId="0" applyFont="1" applyBorder="1"/>
    <xf numFmtId="0" fontId="143" fillId="0" borderId="17" xfId="0" applyFont="1" applyBorder="1"/>
    <xf numFmtId="0" fontId="143" fillId="0" borderId="0" xfId="0" quotePrefix="1" applyFont="1"/>
    <xf numFmtId="0" fontId="150" fillId="11" borderId="47" xfId="905" applyFont="1" applyFill="1" applyBorder="1" applyAlignment="1">
      <alignment horizontal="center" vertical="center"/>
    </xf>
    <xf numFmtId="0" fontId="140" fillId="11" borderId="48" xfId="905" applyFont="1" applyFill="1" applyBorder="1" applyAlignment="1">
      <alignment horizontal="center" vertical="center"/>
    </xf>
    <xf numFmtId="41" fontId="151" fillId="11" borderId="54" xfId="985" applyFont="1" applyFill="1" applyBorder="1" applyAlignment="1">
      <alignment horizontal="center" vertical="center"/>
    </xf>
    <xf numFmtId="0" fontId="143" fillId="38" borderId="55" xfId="0" applyFont="1" applyFill="1" applyBorder="1" applyAlignment="1">
      <alignment horizontal="left"/>
    </xf>
    <xf numFmtId="0" fontId="143" fillId="38" borderId="56" xfId="0" applyFont="1" applyFill="1" applyBorder="1" applyAlignment="1">
      <alignment horizontal="center"/>
    </xf>
    <xf numFmtId="0" fontId="130" fillId="0" borderId="16" xfId="906" applyBorder="1" applyAlignment="1">
      <alignment horizontal="left" vertical="center" wrapText="1"/>
    </xf>
    <xf numFmtId="0" fontId="130" fillId="0" borderId="27" xfId="906" applyBorder="1" applyAlignment="1">
      <alignment horizontal="left" vertical="center" wrapText="1"/>
    </xf>
    <xf numFmtId="0" fontId="130" fillId="0" borderId="17" xfId="906" applyBorder="1" applyAlignment="1">
      <alignment horizontal="left" vertical="center" wrapText="1"/>
    </xf>
    <xf numFmtId="0" fontId="0" fillId="3" borderId="0" xfId="0" quotePrefix="1" applyFill="1"/>
    <xf numFmtId="281" fontId="0" fillId="3" borderId="0" xfId="986" applyNumberFormat="1" applyFont="1" applyFill="1" applyAlignment="1"/>
  </cellXfs>
  <cellStyles count="987">
    <cellStyle name="_x000a_386grabber=M" xfId="5" xr:uid="{00000000-0005-0000-0000-000000000000}"/>
    <cellStyle name="#" xfId="6" xr:uid="{00000000-0005-0000-0000-000001000000}"/>
    <cellStyle name="#-" xfId="7" xr:uid="{00000000-0005-0000-0000-000002000000}"/>
    <cellStyle name="$" xfId="8" xr:uid="{00000000-0005-0000-0000-000003000000}"/>
    <cellStyle name="$-" xfId="9" xr:uid="{00000000-0005-0000-0000-000004000000}"/>
    <cellStyle name="$0.00" xfId="10" xr:uid="{00000000-0005-0000-0000-000005000000}"/>
    <cellStyle name="%" xfId="11" xr:uid="{00000000-0005-0000-0000-000006000000}"/>
    <cellStyle name="%-" xfId="12" xr:uid="{00000000-0005-0000-0000-000007000000}"/>
    <cellStyle name="," xfId="13" xr:uid="{00000000-0005-0000-0000-000008000000}"/>
    <cellStyle name="[ercemt" xfId="14" xr:uid="{00000000-0005-0000-0000-000009000000}"/>
    <cellStyle name="_%(SignOnly)" xfId="15" xr:uid="{00000000-0005-0000-0000-00000A000000}"/>
    <cellStyle name="_%(SignSpaceOnly)" xfId="16" xr:uid="{00000000-0005-0000-0000-00000B000000}"/>
    <cellStyle name="_5jny0144" xfId="17" xr:uid="{00000000-0005-0000-0000-00000C000000}"/>
    <cellStyle name="_5jny1296" xfId="18" xr:uid="{00000000-0005-0000-0000-00000D000000}"/>
    <cellStyle name="_6bny1016" xfId="19" xr:uid="{00000000-0005-0000-0000-00000E000000}"/>
    <cellStyle name="_Adam_Comps" xfId="20" xr:uid="{00000000-0005-0000-0000-00000F000000}"/>
    <cellStyle name="_Asia Retail FB Trading Comps (Output &amp; Consoli. List)" xfId="21" xr:uid="{00000000-0005-0000-0000-000010000000}"/>
    <cellStyle name="_Chattem Mgmt Case v8" xfId="22" xr:uid="{00000000-0005-0000-0000-000011000000}"/>
    <cellStyle name="_Comma" xfId="23" xr:uid="{00000000-0005-0000-0000-000012000000}"/>
    <cellStyle name="_Currency" xfId="24" xr:uid="{00000000-0005-0000-0000-000013000000}"/>
    <cellStyle name="_CurrencySpace" xfId="25" xr:uid="{00000000-0005-0000-0000-000014000000}"/>
    <cellStyle name="_Euro" xfId="26" xr:uid="{00000000-0005-0000-0000-000015000000}"/>
    <cellStyle name="_Heading" xfId="27" xr:uid="{00000000-0005-0000-0000-000016000000}"/>
    <cellStyle name="_Highlight" xfId="28" xr:uid="{00000000-0005-0000-0000-000017000000}"/>
    <cellStyle name="_Luxury Goods Comps latest" xfId="29" xr:uid="{00000000-0005-0000-0000-000018000000}"/>
    <cellStyle name="_Multiple" xfId="30" xr:uid="{00000000-0005-0000-0000-000019000000}"/>
    <cellStyle name="_MultipleSpace" xfId="31" xr:uid="{00000000-0005-0000-0000-00001A000000}"/>
    <cellStyle name="_Project Cup model 6-21-04" xfId="32" xr:uid="{00000000-0005-0000-0000-00001B000000}"/>
    <cellStyle name="_SubHeading" xfId="33" xr:uid="{00000000-0005-0000-0000-00001C000000}"/>
    <cellStyle name="_Table" xfId="34" xr:uid="{00000000-0005-0000-0000-00001D000000}"/>
    <cellStyle name="_TableHead" xfId="35" xr:uid="{00000000-0005-0000-0000-00001E000000}"/>
    <cellStyle name="_TableRowHead" xfId="36" xr:uid="{00000000-0005-0000-0000-00001F000000}"/>
    <cellStyle name="_TableSuperHead" xfId="37" xr:uid="{00000000-0005-0000-0000-000020000000}"/>
    <cellStyle name="_TDH001 Consumer comps 070130" xfId="38" xr:uid="{00000000-0005-0000-0000-000021000000}"/>
    <cellStyle name="_TDI1602 Non-Food Retail Historic Transactions 060428" xfId="39" xr:uid="{00000000-0005-0000-0000-000022000000}"/>
    <cellStyle name="_TDN517 Aluminium Comps Database 060610" xfId="40" xr:uid="{00000000-0005-0000-0000-000023000000}"/>
    <cellStyle name="_TDN883 Trading comps 061101" xfId="41" xr:uid="{00000000-0005-0000-0000-000024000000}"/>
    <cellStyle name="_TDU649 Utilities Trading Comps 070216" xfId="42" xr:uid="{00000000-0005-0000-0000-000025000000}"/>
    <cellStyle name="_Technology Trading Comps 090327" xfId="43" xr:uid="{00000000-0005-0000-0000-000026000000}"/>
    <cellStyle name="_Vikash Asia Retail FB Trading Comps-Output-Vikash Verma" xfId="44" xr:uid="{00000000-0005-0000-0000-000027000000}"/>
    <cellStyle name="£ BP" xfId="45" xr:uid="{00000000-0005-0000-0000-000028000000}"/>
    <cellStyle name="¥ JY" xfId="46" xr:uid="{00000000-0005-0000-0000-000029000000}"/>
    <cellStyle name="+/-" xfId="47" xr:uid="{00000000-0005-0000-0000-00002A000000}"/>
    <cellStyle name="=C:\WINNT\SYSTEM32\COMMAND.COM" xfId="48" xr:uid="{00000000-0005-0000-0000-00002B000000}"/>
    <cellStyle name="0,0" xfId="49" xr:uid="{00000000-0005-0000-0000-00002C000000}"/>
    <cellStyle name="0,0 F" xfId="50" xr:uid="{00000000-0005-0000-0000-00002D000000}"/>
    <cellStyle name="0,0%" xfId="51" xr:uid="{00000000-0005-0000-0000-00002E000000}"/>
    <cellStyle name="0,0_Co&amp;Lo180800" xfId="52" xr:uid="{00000000-0005-0000-0000-00002F000000}"/>
    <cellStyle name="0,00x" xfId="53" xr:uid="{00000000-0005-0000-0000-000030000000}"/>
    <cellStyle name="0,0x" xfId="54" xr:uid="{00000000-0005-0000-0000-000031000000}"/>
    <cellStyle name="0.0 aligned" xfId="55" xr:uid="{00000000-0005-0000-0000-000032000000}"/>
    <cellStyle name="0.00 aligned" xfId="56" xr:uid="{00000000-0005-0000-0000-000033000000}"/>
    <cellStyle name="000" xfId="57" xr:uid="{00000000-0005-0000-0000-000034000000}"/>
    <cellStyle name="000 MF" xfId="58" xr:uid="{00000000-0005-0000-0000-000035000000}"/>
    <cellStyle name="000,0" xfId="59" xr:uid="{00000000-0005-0000-0000-000036000000}"/>
    <cellStyle name="000_Halloween version SPV" xfId="60" xr:uid="{00000000-0005-0000-0000-000037000000}"/>
    <cellStyle name="1,comma" xfId="61" xr:uid="{00000000-0005-0000-0000-000038000000}"/>
    <cellStyle name="2 Decimal Places" xfId="62" xr:uid="{00000000-0005-0000-0000-000039000000}"/>
    <cellStyle name="2-units" xfId="63" xr:uid="{00000000-0005-0000-0000-00003A000000}"/>
    <cellStyle name="A" xfId="64" xr:uid="{00000000-0005-0000-0000-00003B000000}"/>
    <cellStyle name="A_Block Space" xfId="65" xr:uid="{00000000-0005-0000-0000-00003C000000}"/>
    <cellStyle name="A_Do not Change" xfId="66" xr:uid="{00000000-0005-0000-0000-00003D000000}"/>
    <cellStyle name="A_Estimate" xfId="67" xr:uid="{00000000-0005-0000-0000-00003E000000}"/>
    <cellStyle name="A_Memo" xfId="68" xr:uid="{00000000-0005-0000-0000-00003F000000}"/>
    <cellStyle name="A_Normal" xfId="69" xr:uid="{00000000-0005-0000-0000-000040000000}"/>
    <cellStyle name="A_Normal Forecast" xfId="70" xr:uid="{00000000-0005-0000-0000-000041000000}"/>
    <cellStyle name="A_Normal Forecast_EVEBITDA" xfId="71" xr:uid="{00000000-0005-0000-0000-000042000000}"/>
    <cellStyle name="A_Normal Forecast_Indgen-specialty5" xfId="72" xr:uid="{00000000-0005-0000-0000-000043000000}"/>
    <cellStyle name="A_Normal Forecast_Indgen-specialty5.xls Chart 1" xfId="73" xr:uid="{00000000-0005-0000-0000-000044000000}"/>
    <cellStyle name="A_Normal Forecast_Indgen-specialty5.xls Chart 3" xfId="74" xr:uid="{00000000-0005-0000-0000-000045000000}"/>
    <cellStyle name="A_Normal Forecast_Specialty.xls Chart 1" xfId="75" xr:uid="{00000000-0005-0000-0000-000046000000}"/>
    <cellStyle name="A_Normal Forecast_Specialty.xls Chart 1-1" xfId="76" xr:uid="{00000000-0005-0000-0000-000047000000}"/>
    <cellStyle name="A_Normal Forecast_Specialty.xls Chart 1-2" xfId="77" xr:uid="{00000000-0005-0000-0000-000048000000}"/>
    <cellStyle name="A_Normal Forecast_Specialty.xls Chart 1-3" xfId="78" xr:uid="{00000000-0005-0000-0000-000049000000}"/>
    <cellStyle name="A_Normal Forecast_Specialty.xls Chart 1-4" xfId="79" xr:uid="{00000000-0005-0000-0000-00004A000000}"/>
    <cellStyle name="A_Normal Forecast_Specialty.xls Chart 1-5" xfId="80" xr:uid="{00000000-0005-0000-0000-00004B000000}"/>
    <cellStyle name="A_Normal Historical" xfId="81" xr:uid="{00000000-0005-0000-0000-00004C000000}"/>
    <cellStyle name="A_Normal Historical_EVEBITDA" xfId="82" xr:uid="{00000000-0005-0000-0000-00004D000000}"/>
    <cellStyle name="A_Normal Historical_Indgen-specialty5" xfId="83" xr:uid="{00000000-0005-0000-0000-00004E000000}"/>
    <cellStyle name="A_Normal Historical_Indgen-specialty5.xls Chart 1" xfId="84" xr:uid="{00000000-0005-0000-0000-00004F000000}"/>
    <cellStyle name="A_Normal Historical_Indgen-specialty5.xls Chart 3" xfId="85" xr:uid="{00000000-0005-0000-0000-000050000000}"/>
    <cellStyle name="A_Normal Historical_Specialty.xls Chart 1" xfId="86" xr:uid="{00000000-0005-0000-0000-000051000000}"/>
    <cellStyle name="A_Normal Historical_Specialty.xls Chart 1-1" xfId="87" xr:uid="{00000000-0005-0000-0000-000052000000}"/>
    <cellStyle name="A_Normal Historical_Specialty.xls Chart 1-2" xfId="88" xr:uid="{00000000-0005-0000-0000-000053000000}"/>
    <cellStyle name="A_Normal Historical_Specialty.xls Chart 1-3" xfId="89" xr:uid="{00000000-0005-0000-0000-000054000000}"/>
    <cellStyle name="A_Normal Historical_Specialty.xls Chart 1-4" xfId="90" xr:uid="{00000000-0005-0000-0000-000055000000}"/>
    <cellStyle name="A_Normal Historical_Specialty.xls Chart 1-5" xfId="91" xr:uid="{00000000-0005-0000-0000-000056000000}"/>
    <cellStyle name="A_Rate_Data" xfId="92" xr:uid="{00000000-0005-0000-0000-000057000000}"/>
    <cellStyle name="A_Rate_Data Historical" xfId="93" xr:uid="{00000000-0005-0000-0000-000058000000}"/>
    <cellStyle name="A_Rate_Data Historical_2aCH0068_2" xfId="94" xr:uid="{00000000-0005-0000-0000-000059000000}"/>
    <cellStyle name="A_Rate_Data Historical_2cCH0074.xls Chart 1" xfId="95" xr:uid="{00000000-0005-0000-0000-00005A000000}"/>
    <cellStyle name="A_Rate_Data Historical_2cCH0074.xls Chart 1-1" xfId="96" xr:uid="{00000000-0005-0000-0000-00005B000000}"/>
    <cellStyle name="A_Rate_Data_2aCH0068_2" xfId="97" xr:uid="{00000000-0005-0000-0000-00005C000000}"/>
    <cellStyle name="A_Rate_Data_2cCH0074.xls Chart 1" xfId="98" xr:uid="{00000000-0005-0000-0000-00005D000000}"/>
    <cellStyle name="A_Rate_Data_2cCH0074.xls Chart 1-1" xfId="99" xr:uid="{00000000-0005-0000-0000-00005E000000}"/>
    <cellStyle name="A_Rate_Title" xfId="100" xr:uid="{00000000-0005-0000-0000-00005F000000}"/>
    <cellStyle name="A_Sum" xfId="101" xr:uid="{00000000-0005-0000-0000-000060000000}"/>
    <cellStyle name="A_SUM_Row Major" xfId="102" xr:uid="{00000000-0005-0000-0000-000061000000}"/>
    <cellStyle name="A_SUM_Row Major_EVEBITDA" xfId="103" xr:uid="{00000000-0005-0000-0000-000062000000}"/>
    <cellStyle name="A_SUM_Row Major_Indgen-specialty5" xfId="104" xr:uid="{00000000-0005-0000-0000-000063000000}"/>
    <cellStyle name="A_SUM_Row Major_Indgen-specialty5.xls Chart 1" xfId="105" xr:uid="{00000000-0005-0000-0000-000064000000}"/>
    <cellStyle name="A_SUM_Row Major_Indgen-specialty5.xls Chart 3" xfId="106" xr:uid="{00000000-0005-0000-0000-000065000000}"/>
    <cellStyle name="A_SUM_Row Major_Specialty.xls Chart 1" xfId="107" xr:uid="{00000000-0005-0000-0000-000066000000}"/>
    <cellStyle name="A_SUM_Row Major_Specialty.xls Chart 1-1" xfId="108" xr:uid="{00000000-0005-0000-0000-000067000000}"/>
    <cellStyle name="A_SUM_Row Major_Specialty.xls Chart 1-2" xfId="109" xr:uid="{00000000-0005-0000-0000-000068000000}"/>
    <cellStyle name="A_SUM_Row Major_Specialty.xls Chart 1-3" xfId="110" xr:uid="{00000000-0005-0000-0000-000069000000}"/>
    <cellStyle name="A_SUM_Row Major_Specialty.xls Chart 1-4" xfId="111" xr:uid="{00000000-0005-0000-0000-00006A000000}"/>
    <cellStyle name="A_SUM_Row Major_Specialty.xls Chart 1-5" xfId="112" xr:uid="{00000000-0005-0000-0000-00006B000000}"/>
    <cellStyle name="A_SUM_Row Minor" xfId="113" xr:uid="{00000000-0005-0000-0000-00006C000000}"/>
    <cellStyle name="A_SUM_Row Minor_EVEBITDA" xfId="114" xr:uid="{00000000-0005-0000-0000-00006D000000}"/>
    <cellStyle name="A_SUM_Row Minor_Indgen-specialty5" xfId="115" xr:uid="{00000000-0005-0000-0000-00006E000000}"/>
    <cellStyle name="A_SUM_Row Minor_Indgen-specialty5.xls Chart 1" xfId="116" xr:uid="{00000000-0005-0000-0000-00006F000000}"/>
    <cellStyle name="A_SUM_Row Minor_Indgen-specialty5.xls Chart 3" xfId="117" xr:uid="{00000000-0005-0000-0000-000070000000}"/>
    <cellStyle name="A_SUM_Row Minor_Specialty.xls Chart 1" xfId="118" xr:uid="{00000000-0005-0000-0000-000071000000}"/>
    <cellStyle name="A_SUM_Row Minor_Specialty.xls Chart 1-1" xfId="119" xr:uid="{00000000-0005-0000-0000-000072000000}"/>
    <cellStyle name="A_SUM_Row Minor_Specialty.xls Chart 1-2" xfId="120" xr:uid="{00000000-0005-0000-0000-000073000000}"/>
    <cellStyle name="A_SUM_Row Minor_Specialty.xls Chart 1-3" xfId="121" xr:uid="{00000000-0005-0000-0000-000074000000}"/>
    <cellStyle name="A_SUM_Row Minor_Specialty.xls Chart 1-4" xfId="122" xr:uid="{00000000-0005-0000-0000-000075000000}"/>
    <cellStyle name="A_SUM_Row Minor_Specialty.xls Chart 1-5" xfId="123" xr:uid="{00000000-0005-0000-0000-000076000000}"/>
    <cellStyle name="A_Title" xfId="124" xr:uid="{00000000-0005-0000-0000-000077000000}"/>
    <cellStyle name="A_YearHeadings" xfId="125" xr:uid="{00000000-0005-0000-0000-000078000000}"/>
    <cellStyle name="Accounting" xfId="126" xr:uid="{00000000-0005-0000-0000-000079000000}"/>
    <cellStyle name="Accounting [0]" xfId="127" xr:uid="{00000000-0005-0000-0000-00007A000000}"/>
    <cellStyle name="Accounting [1]" xfId="128" xr:uid="{00000000-0005-0000-0000-00007B000000}"/>
    <cellStyle name="Accounting[0]" xfId="129" xr:uid="{00000000-0005-0000-0000-00007C000000}"/>
    <cellStyle name="Actual" xfId="130" xr:uid="{00000000-0005-0000-0000-00007D000000}"/>
    <cellStyle name="AFE" xfId="131" xr:uid="{00000000-0005-0000-0000-00007E000000}"/>
    <cellStyle name="Agara" xfId="132" xr:uid="{00000000-0005-0000-0000-00007F000000}"/>
    <cellStyle name="Alert" xfId="133" xr:uid="{00000000-0005-0000-0000-000080000000}"/>
    <cellStyle name="ar" xfId="134" xr:uid="{00000000-0005-0000-0000-000081000000}"/>
    <cellStyle name="Arial 10" xfId="135" xr:uid="{00000000-0005-0000-0000-000082000000}"/>
    <cellStyle name="Arial 12" xfId="136" xr:uid="{00000000-0005-0000-0000-000083000000}"/>
    <cellStyle name="Array" xfId="137" xr:uid="{00000000-0005-0000-0000-000084000000}"/>
    <cellStyle name="Array Enter" xfId="138" xr:uid="{00000000-0005-0000-0000-000085000000}"/>
    <cellStyle name="A-Título" xfId="139" xr:uid="{00000000-0005-0000-0000-000086000000}"/>
    <cellStyle name="b" xfId="140" xr:uid="{00000000-0005-0000-0000-000087000000}"/>
    <cellStyle name="b." xfId="141" xr:uid="{00000000-0005-0000-0000-000088000000}"/>
    <cellStyle name="b_6bny1016" xfId="142" xr:uid="{00000000-0005-0000-0000-000089000000}"/>
    <cellStyle name="b_Adam_Comps" xfId="143" xr:uid="{00000000-0005-0000-0000-00008A000000}"/>
    <cellStyle name="b_BSY_Emory_PGTV comps 02_18_03" xfId="144" xr:uid="{00000000-0005-0000-0000-00008B000000}"/>
    <cellStyle name="b_CoreCableSatellite_comps_Media v.2" xfId="145" xr:uid="{00000000-0005-0000-0000-00008C000000}"/>
    <cellStyle name="b_JNY model 6-6-2006" xfId="146" xr:uid="{00000000-0005-0000-0000-00008D000000}"/>
    <cellStyle name="b_Master Utilities Comps 060210 with IBES links" xfId="147" xr:uid="{00000000-0005-0000-0000-00008E000000}"/>
    <cellStyle name="b_MMC trading comp" xfId="148" xr:uid="{00000000-0005-0000-0000-00008F000000}"/>
    <cellStyle name="b_Project World Series Financials" xfId="149" xr:uid="{00000000-0005-0000-0000-000090000000}"/>
    <cellStyle name="b_TDH001 Consumer comps 070130" xfId="150" xr:uid="{00000000-0005-0000-0000-000091000000}"/>
    <cellStyle name="b_WACC" xfId="151" xr:uid="{00000000-0005-0000-0000-000092000000}"/>
    <cellStyle name="-Bas de tableau" xfId="152" xr:uid="{00000000-0005-0000-0000-000093000000}"/>
    <cellStyle name="blank" xfId="153" xr:uid="{00000000-0005-0000-0000-000094000000}"/>
    <cellStyle name="Blue" xfId="154" xr:uid="{00000000-0005-0000-0000-000095000000}"/>
    <cellStyle name="blue$00" xfId="155" xr:uid="{00000000-0005-0000-0000-000096000000}"/>
    <cellStyle name="Bold/Border" xfId="156" xr:uid="{00000000-0005-0000-0000-000097000000}"/>
    <cellStyle name="Boolean" xfId="157" xr:uid="{00000000-0005-0000-0000-000098000000}"/>
    <cellStyle name="Border Heavy" xfId="158" xr:uid="{00000000-0005-0000-0000-000099000000}"/>
    <cellStyle name="Border Thin" xfId="159" xr:uid="{00000000-0005-0000-0000-00009A000000}"/>
    <cellStyle name="British Pound" xfId="160" xr:uid="{00000000-0005-0000-0000-00009B000000}"/>
    <cellStyle name="B-Título" xfId="161" xr:uid="{00000000-0005-0000-0000-00009C000000}"/>
    <cellStyle name="Bullet" xfId="162" xr:uid="{00000000-0005-0000-0000-00009D000000}"/>
    <cellStyle name="c" xfId="163" xr:uid="{00000000-0005-0000-0000-00009E000000}"/>
    <cellStyle name="Case" xfId="164" xr:uid="{00000000-0005-0000-0000-00009F000000}"/>
    <cellStyle name="CenterHead" xfId="165" xr:uid="{00000000-0005-0000-0000-0000A0000000}"/>
    <cellStyle name="Col_head1" xfId="166" xr:uid="{00000000-0005-0000-0000-0000A1000000}"/>
    <cellStyle name="ColHeader" xfId="167" xr:uid="{00000000-0005-0000-0000-0000A2000000}"/>
    <cellStyle name="ColHeading" xfId="168" xr:uid="{00000000-0005-0000-0000-0000A3000000}"/>
    <cellStyle name="Comma  - Style1" xfId="169" xr:uid="{00000000-0005-0000-0000-0000A4000000}"/>
    <cellStyle name="Comma  - Style2" xfId="170" xr:uid="{00000000-0005-0000-0000-0000A5000000}"/>
    <cellStyle name="Comma  - Style3" xfId="171" xr:uid="{00000000-0005-0000-0000-0000A6000000}"/>
    <cellStyle name="Comma  - Style4" xfId="172" xr:uid="{00000000-0005-0000-0000-0000A7000000}"/>
    <cellStyle name="Comma  - Style5" xfId="173" xr:uid="{00000000-0005-0000-0000-0000A8000000}"/>
    <cellStyle name="Comma  - Style6" xfId="174" xr:uid="{00000000-0005-0000-0000-0000A9000000}"/>
    <cellStyle name="Comma  - Style7" xfId="175" xr:uid="{00000000-0005-0000-0000-0000AA000000}"/>
    <cellStyle name="Comma  - Style8" xfId="176" xr:uid="{00000000-0005-0000-0000-0000AB000000}"/>
    <cellStyle name="Comma (1)_cedar model v2" xfId="177" xr:uid="{00000000-0005-0000-0000-0000AC000000}"/>
    <cellStyle name="Comma ," xfId="178" xr:uid="{00000000-0005-0000-0000-0000AD000000}"/>
    <cellStyle name="Comma [1]" xfId="179" xr:uid="{00000000-0005-0000-0000-0000AE000000}"/>
    <cellStyle name="Comma 0" xfId="180" xr:uid="{00000000-0005-0000-0000-0000AF000000}"/>
    <cellStyle name="Comma 0*" xfId="181" xr:uid="{00000000-0005-0000-0000-0000B0000000}"/>
    <cellStyle name="Comma 0_6bny1016" xfId="182" xr:uid="{00000000-0005-0000-0000-0000B1000000}"/>
    <cellStyle name="Comma 2" xfId="183" xr:uid="{00000000-0005-0000-0000-0000B2000000}"/>
    <cellStyle name="Comma 2*" xfId="184" xr:uid="{00000000-0005-0000-0000-0000B3000000}"/>
    <cellStyle name="Comma 2_6bny1016" xfId="185" xr:uid="{00000000-0005-0000-0000-0000B4000000}"/>
    <cellStyle name="Comma 3*" xfId="186" xr:uid="{00000000-0005-0000-0000-0000B5000000}"/>
    <cellStyle name="Comma, 0 Dec, Parens, Zero -" xfId="187" xr:uid="{00000000-0005-0000-0000-0000B6000000}"/>
    <cellStyle name="Comma0" xfId="188" xr:uid="{00000000-0005-0000-0000-0000B7000000}"/>
    <cellStyle name="comma3" xfId="189" xr:uid="{00000000-0005-0000-0000-0000B8000000}"/>
    <cellStyle name="Company" xfId="190" xr:uid="{00000000-0005-0000-0000-0000B9000000}"/>
    <cellStyle name="comps" xfId="191" xr:uid="{00000000-0005-0000-0000-0000BA000000}"/>
    <cellStyle name="COVERAGE" xfId="192" xr:uid="{00000000-0005-0000-0000-0000BB000000}"/>
    <cellStyle name="CS" xfId="193" xr:uid="{00000000-0005-0000-0000-0000BC000000}"/>
    <cellStyle name="CurRatio" xfId="194" xr:uid="{00000000-0005-0000-0000-0000BD000000}"/>
    <cellStyle name="Currency (no dec.)" xfId="195" xr:uid="{00000000-0005-0000-0000-0000BE000000}"/>
    <cellStyle name="Currency [00]" xfId="196" xr:uid="{00000000-0005-0000-0000-0000BF000000}"/>
    <cellStyle name="Currency [1]" xfId="197" xr:uid="{00000000-0005-0000-0000-0000C0000000}"/>
    <cellStyle name="Currency 0" xfId="198" xr:uid="{00000000-0005-0000-0000-0000C1000000}"/>
    <cellStyle name="Currency 2" xfId="199" xr:uid="{00000000-0005-0000-0000-0000C2000000}"/>
    <cellStyle name="Currency 2*" xfId="200" xr:uid="{00000000-0005-0000-0000-0000C3000000}"/>
    <cellStyle name="Currency 2_6bny1016" xfId="201" xr:uid="{00000000-0005-0000-0000-0000C4000000}"/>
    <cellStyle name="Currency 3*" xfId="202" xr:uid="{00000000-0005-0000-0000-0000C5000000}"/>
    <cellStyle name="Currency0" xfId="203" xr:uid="{00000000-0005-0000-0000-0000C6000000}"/>
    <cellStyle name="Currency2" xfId="204" xr:uid="{00000000-0005-0000-0000-0000C7000000}"/>
    <cellStyle name="currnecy" xfId="205" xr:uid="{00000000-0005-0000-0000-0000C8000000}"/>
    <cellStyle name="d" xfId="206" xr:uid="{00000000-0005-0000-0000-0000C9000000}"/>
    <cellStyle name="D_050117 CCA EW - CCA - 11 Jan 05 (DB adj)" xfId="207" xr:uid="{00000000-0005-0000-0000-0000CA000000}"/>
    <cellStyle name="D_050204 CCA EW - CCA - 11 Jan 05 (DB adj) - 4" xfId="208" xr:uid="{00000000-0005-0000-0000-0000CB000000}"/>
    <cellStyle name="D_15 Nov 2004_CCA Jason" xfId="209" xr:uid="{00000000-0005-0000-0000-0000CC000000}"/>
    <cellStyle name="D_22 Nov 2004_CCA Jason" xfId="210" xr:uid="{00000000-0005-0000-0000-0000CD000000}"/>
    <cellStyle name="D_5 Nov 2004_CCA Jason_revised.xls dlgChart" xfId="211" xr:uid="{00000000-0005-0000-0000-0000CE000000}"/>
    <cellStyle name="D_8 Nov 2004_CCA Jason" xfId="212" xr:uid="{00000000-0005-0000-0000-0000CF000000}"/>
    <cellStyle name="D_8 Nov 2004_CCA Jason.xls Chart 1" xfId="213" xr:uid="{00000000-0005-0000-0000-0000D0000000}"/>
    <cellStyle name="D_Adam_Comps" xfId="214" xr:uid="{00000000-0005-0000-0000-0000D1000000}"/>
    <cellStyle name="D_Comps File Generic Media" xfId="215" xr:uid="{00000000-0005-0000-0000-0000D2000000}"/>
    <cellStyle name="D_Copy of DMT496 Professional Publishing Comps 050714 Abhas" xfId="216" xr:uid="{00000000-0005-0000-0000-0000D3000000}"/>
    <cellStyle name="D_Copy of TDI1183 Template 051219 II Mili v1" xfId="217" xr:uid="{00000000-0005-0000-0000-0000D4000000}"/>
    <cellStyle name="D_Copy of TDI1183 Template 051219 II Neeraj" xfId="218" xr:uid="{00000000-0005-0000-0000-0000D5000000}"/>
    <cellStyle name="D_Copy of TDI1183 Template 051219 II Neeraj QC1 ILUKA Babneet" xfId="219" xr:uid="{00000000-0005-0000-0000-0000D6000000}"/>
    <cellStyle name="D_Copy of TDI1183 Template 051219 Nikunj" xfId="220" xr:uid="{00000000-0005-0000-0000-0000D7000000}"/>
    <cellStyle name="D_Directories Trading Multiples 10Jan2005" xfId="221" xr:uid="{00000000-0005-0000-0000-0000D8000000}"/>
    <cellStyle name="D_DMT448 Comps 050622 Ankur" xfId="222" xr:uid="{00000000-0005-0000-0000-0000D9000000}"/>
    <cellStyle name="D_DMT448 Comps 050622 Puneet" xfId="223" xr:uid="{00000000-0005-0000-0000-0000DA000000}"/>
    <cellStyle name="D_DMT448 Comps 050622 Puneet QC Sumit" xfId="224" xr:uid="{00000000-0005-0000-0000-0000DB000000}"/>
    <cellStyle name="D_DMT458 Comps 050628 Abhishek" xfId="225" xr:uid="{00000000-0005-0000-0000-0000DC000000}"/>
    <cellStyle name="D_DMT458 Comps 050628 Abhishek QC Beasley and Chrysalis" xfId="226" xr:uid="{00000000-0005-0000-0000-0000DD000000}"/>
    <cellStyle name="D_DMT458 Comps 050628 Abhishek Radio and Emmis QCD" xfId="227" xr:uid="{00000000-0005-0000-0000-0000DE000000}"/>
    <cellStyle name="D_DMT458 Comps 050628 Manish QC Ulster" xfId="228" xr:uid="{00000000-0005-0000-0000-0000DF000000}"/>
    <cellStyle name="D_DMT458 Comps 050628 Puneet" xfId="229" xr:uid="{00000000-0005-0000-0000-0000E0000000}"/>
    <cellStyle name="D_DMT458 Comps 050628 Puneet vQC" xfId="230" xr:uid="{00000000-0005-0000-0000-0000E1000000}"/>
    <cellStyle name="D_DMT458 Comps 050628 Rajan" xfId="231" xr:uid="{00000000-0005-0000-0000-0000E2000000}"/>
    <cellStyle name="D_DMT458 Comps 050628 Rajan 5 Cos Final vQC Anish" xfId="232" xr:uid="{00000000-0005-0000-0000-0000E3000000}"/>
    <cellStyle name="D_DMT458 Comps 050628 Rajan SMG QCd" xfId="233" xr:uid="{00000000-0005-0000-0000-0000E4000000}"/>
    <cellStyle name="D_DMT458 Comps 050630 Abhishek" xfId="234" xr:uid="{00000000-0005-0000-0000-0000E5000000}"/>
    <cellStyle name="D_DMT458 Comps 050630 Abhishek QC Sumit" xfId="235" xr:uid="{00000000-0005-0000-0000-0000E6000000}"/>
    <cellStyle name="D_DMT458 Comps 050630 Ankur" xfId="236" xr:uid="{00000000-0005-0000-0000-0000E7000000}"/>
    <cellStyle name="D_DMT458 Comps 050630 Ankur QC Sumit" xfId="237" xr:uid="{00000000-0005-0000-0000-0000E8000000}"/>
    <cellStyle name="D_DMT458 Comps 050630 SUMIT for Reed Elsevier from 462" xfId="238" xr:uid="{00000000-0005-0000-0000-0000E9000000}"/>
    <cellStyle name="D_DMT462 Comps 050628 Ankur" xfId="239" xr:uid="{00000000-0005-0000-0000-0000EA000000}"/>
    <cellStyle name="D_DMT462 Comps 050628 Ankur Arbitron QC" xfId="240" xr:uid="{00000000-0005-0000-0000-0000EB000000}"/>
    <cellStyle name="D_DMT462 Comps 050629 Abhishek" xfId="241" xr:uid="{00000000-0005-0000-0000-0000EC000000}"/>
    <cellStyle name="D_DMT462 Comps 050629 Abhishek QCd" xfId="242" xr:uid="{00000000-0005-0000-0000-0000ED000000}"/>
    <cellStyle name="D_DMT462 Comps 050629 Ankur Ipsos QC" xfId="243" xr:uid="{00000000-0005-0000-0000-0000EE000000}"/>
    <cellStyle name="D_DMT462 Comps 050629 Puneet" xfId="244" xr:uid="{00000000-0005-0000-0000-0000EF000000}"/>
    <cellStyle name="D_DMT462 Comps 050629 Puneet QC Reuters" xfId="245" xr:uid="{00000000-0005-0000-0000-0000F0000000}"/>
    <cellStyle name="D_DMT462 Comps 050629 Rajan" xfId="246" xr:uid="{00000000-0005-0000-0000-0000F1000000}"/>
    <cellStyle name="D_DMT462 Comps 050629 Rajan QCd" xfId="247" xr:uid="{00000000-0005-0000-0000-0000F2000000}"/>
    <cellStyle name="D_DMT482 Consumer Comps 050707 Puneet" xfId="248" xr:uid="{00000000-0005-0000-0000-0000F3000000}"/>
    <cellStyle name="D_DMT482 Consumer Publishing Comps 050707 Puneet" xfId="249" xr:uid="{00000000-0005-0000-0000-0000F4000000}"/>
    <cellStyle name="D_DMT482 Consumer Publishing Comps 050708 Amit" xfId="250" xr:uid="{00000000-0005-0000-0000-0000F5000000}"/>
    <cellStyle name="D_DMT482 Consumer Publishing Comps 050709" xfId="251" xr:uid="{00000000-0005-0000-0000-0000F6000000}"/>
    <cellStyle name="D_DMT482 Newspaper Comps 050709" xfId="252" xr:uid="{00000000-0005-0000-0000-0000F7000000}"/>
    <cellStyle name="D_DMT482 Newspapers Comps 050708" xfId="253" xr:uid="{00000000-0005-0000-0000-0000F8000000}"/>
    <cellStyle name="D_DMT482 Newspapers Comps 050708 Manas" xfId="254" xr:uid="{00000000-0005-0000-0000-0000F9000000}"/>
    <cellStyle name="D_DMT482 Newspapers Comps 050708 Pankaj" xfId="255" xr:uid="{00000000-0005-0000-0000-0000FA000000}"/>
    <cellStyle name="D_DMT482 Professional Publishing Comps 050708 Puneet" xfId="256" xr:uid="{00000000-0005-0000-0000-0000FB000000}"/>
    <cellStyle name="D_DMT482 Professional Publishing Comps 050708 Rajesh" xfId="257" xr:uid="{00000000-0005-0000-0000-0000FC000000}"/>
    <cellStyle name="D_DMT482 Professional Publishing Comps 050712" xfId="258" xr:uid="{00000000-0005-0000-0000-0000FD000000}"/>
    <cellStyle name="D_DMT482 Radio Comps 050709 Pankaj" xfId="259" xr:uid="{00000000-0005-0000-0000-0000FE000000}"/>
    <cellStyle name="D_DMT482 Radio Comps 050712" xfId="260" xr:uid="{00000000-0005-0000-0000-0000FF000000}"/>
    <cellStyle name="D_DMT489 Comps 050716" xfId="261" xr:uid="{00000000-0005-0000-0000-000000010000}"/>
    <cellStyle name="D_DMT493 Media Comps 050714" xfId="262" xr:uid="{00000000-0005-0000-0000-000001010000}"/>
    <cellStyle name="D_DMT493 Media Comps 050714 Puneet" xfId="263" xr:uid="{00000000-0005-0000-0000-000002010000}"/>
    <cellStyle name="D_DMT496 Comps 050714" xfId="264" xr:uid="{00000000-0005-0000-0000-000003010000}"/>
    <cellStyle name="D_DMT496 Professional Publishing Comps 050714" xfId="265" xr:uid="{00000000-0005-0000-0000-000004010000}"/>
    <cellStyle name="D_DMT496 Professional Publishing Comps 050714 Abhishek" xfId="266" xr:uid="{00000000-0005-0000-0000-000005010000}"/>
    <cellStyle name="D_DMT496 Professional Publishing Comps 050714 Amit" xfId="267" xr:uid="{00000000-0005-0000-0000-000006010000}"/>
    <cellStyle name="D_DMT496 Professional Publishing Comps 050714 Ankur" xfId="268" xr:uid="{00000000-0005-0000-0000-000007010000}"/>
    <cellStyle name="D_DMT496 Professional Publishing Comps 050714 Manish" xfId="269" xr:uid="{00000000-0005-0000-0000-000008010000}"/>
    <cellStyle name="D_DMT496 Professional Publishing Comps 050714 Pankaj" xfId="270" xr:uid="{00000000-0005-0000-0000-000009010000}"/>
    <cellStyle name="D_DMT496A Comps 050715 Abhas" xfId="271" xr:uid="{00000000-0005-0000-0000-00000A010000}"/>
    <cellStyle name="D_DMT496A Comps 050715 Abhishek" xfId="272" xr:uid="{00000000-0005-0000-0000-00000B010000}"/>
    <cellStyle name="D_DMT496A Comps 050715 Amit" xfId="273" xr:uid="{00000000-0005-0000-0000-00000C010000}"/>
    <cellStyle name="D_DMT496A Comps 050715 Manas" xfId="274" xr:uid="{00000000-0005-0000-0000-00000D010000}"/>
    <cellStyle name="D_DMT496A Comps 050715 Pankaj" xfId="275" xr:uid="{00000000-0005-0000-0000-00000E010000}"/>
    <cellStyle name="D_DMT496A Comps 050715 QC 2 Pankaj" xfId="276" xr:uid="{00000000-0005-0000-0000-00000F010000}"/>
    <cellStyle name="D_DMT496A Comps 050715 QC Antena Amit" xfId="277" xr:uid="{00000000-0005-0000-0000-000010010000}"/>
    <cellStyle name="D_DMT496A Comps 050715 QC BEC Pankaj" xfId="278" xr:uid="{00000000-0005-0000-0000-000011010000}"/>
    <cellStyle name="D_DMT496A Comps 050715 QC Disney Amit" xfId="279" xr:uid="{00000000-0005-0000-0000-000012010000}"/>
    <cellStyle name="D_DMT496A Comps 050715 QC EMI Abhas" xfId="280" xr:uid="{00000000-0005-0000-0000-000013010000}"/>
    <cellStyle name="D_DMT496A Comps 050715 QC M6 metro Amit" xfId="281" xr:uid="{00000000-0005-0000-0000-000014010000}"/>
    <cellStyle name="D_DMT496A Comps 050715 QC Mediaset Abhishek" xfId="282" xr:uid="{00000000-0005-0000-0000-000015010000}"/>
    <cellStyle name="D_DMT496A Comps 050715 QC Newscorp Abhishek" xfId="283" xr:uid="{00000000-0005-0000-0000-000016010000}"/>
    <cellStyle name="D_DMT496A Comps 050715 QC Premiere Amit" xfId="284" xr:uid="{00000000-0005-0000-0000-000017010000}"/>
    <cellStyle name="D_DMT496A Comps 050715 QC Prosieben Abhas" xfId="285" xr:uid="{00000000-0005-0000-0000-000018010000}"/>
    <cellStyle name="D_DMT496A Comps 050715 QC RTL Abhishek" xfId="286" xr:uid="{00000000-0005-0000-0000-000019010000}"/>
    <cellStyle name="D_DMT496A Comps 050715 QC Sogecable Manas" xfId="287" xr:uid="{00000000-0005-0000-0000-00001A010000}"/>
    <cellStyle name="D_DMT496A Comps 050715 QC Telecinco Amit" xfId="288" xr:uid="{00000000-0005-0000-0000-00001B010000}"/>
    <cellStyle name="D_DMT496A Comps 050715 QC TF1 Rajan" xfId="289" xr:uid="{00000000-0005-0000-0000-00001C010000}"/>
    <cellStyle name="D_DMT496A Comps 050715 QC Time warner Abhas" xfId="290" xr:uid="{00000000-0005-0000-0000-00001D010000}"/>
    <cellStyle name="D_DMT496A Comps 050715 QC TVN Srilatha" xfId="291" xr:uid="{00000000-0005-0000-0000-00001E010000}"/>
    <cellStyle name="D_DMT496A Comps 050715 QC Viacom Abhas" xfId="292" xr:uid="{00000000-0005-0000-0000-00001F010000}"/>
    <cellStyle name="D_DMT496A Comps 050715 QC WMG Pankaj" xfId="293" xr:uid="{00000000-0005-0000-0000-000020010000}"/>
    <cellStyle name="D_DMT496A Comps 050715 Rajan" xfId="294" xr:uid="{00000000-0005-0000-0000-000021010000}"/>
    <cellStyle name="D_DMT496A Comps 050715 Srilatha" xfId="295" xr:uid="{00000000-0005-0000-0000-000022010000}"/>
    <cellStyle name="D_DMT496B Comps 050715 4Kids Sorabh" xfId="296" xr:uid="{00000000-0005-0000-0000-000023010000}"/>
    <cellStyle name="D_DMT496B Comps 050715 Abhishek" xfId="297" xr:uid="{00000000-0005-0000-0000-000024010000}"/>
    <cellStyle name="D_DMT496B Comps 050716 Amit" xfId="298" xr:uid="{00000000-0005-0000-0000-000025010000}"/>
    <cellStyle name="D_DMT496B Comps 050716 Jetix Sorabh" xfId="299" xr:uid="{00000000-0005-0000-0000-000026010000}"/>
    <cellStyle name="D_DMT503 Media Comps 050721 Puneet" xfId="300" xr:uid="{00000000-0005-0000-0000-000027010000}"/>
    <cellStyle name="D_DMT505 Media Comps 050722 Puneet" xfId="301" xr:uid="{00000000-0005-0000-0000-000028010000}"/>
    <cellStyle name="D_DMT505 Media Comps 050722 Rajan" xfId="302" xr:uid="{00000000-0005-0000-0000-000029010000}"/>
    <cellStyle name="D_DMT506 Media Comps 050722 Manas" xfId="303" xr:uid="{00000000-0005-0000-0000-00002A010000}"/>
    <cellStyle name="D_DMT506 Media Comps 050723 Himanshu" xfId="304" xr:uid="{00000000-0005-0000-0000-00002B010000}"/>
    <cellStyle name="D_DMT506 Media Comps 050723 Saurabh" xfId="305" xr:uid="{00000000-0005-0000-0000-00002C010000}"/>
    <cellStyle name="D_DMT506 QC SUMIT Media Comps 050722 Amazon" xfId="306" xr:uid="{00000000-0005-0000-0000-00002D010000}"/>
    <cellStyle name="D_DMT506 QC SUMIT Media Comps 050723" xfId="307" xr:uid="{00000000-0005-0000-0000-00002E010000}"/>
    <cellStyle name="D_DMT507 Media Comps 050725" xfId="308" xr:uid="{00000000-0005-0000-0000-00002F010000}"/>
    <cellStyle name="D_DMT507 Media Comps 050725 Electronics Arts Sorabh" xfId="309" xr:uid="{00000000-0005-0000-0000-000030010000}"/>
    <cellStyle name="D_DMT507 Media Comps 050725 Himanshu" xfId="310" xr:uid="{00000000-0005-0000-0000-000031010000}"/>
    <cellStyle name="D_DMT507 Media Comps 050725 Manas" xfId="311" xr:uid="{00000000-0005-0000-0000-000032010000}"/>
    <cellStyle name="D_DMT507 Media Comps 050725 Manish" xfId="312" xr:uid="{00000000-0005-0000-0000-000033010000}"/>
    <cellStyle name="D_DMT507 Media Comps 050725 Pankaj" xfId="313" xr:uid="{00000000-0005-0000-0000-000034010000}"/>
    <cellStyle name="D_DMT507 Media Comps 050725 Pixar Sorabh" xfId="314" xr:uid="{00000000-0005-0000-0000-000035010000}"/>
    <cellStyle name="D_DMT507 Media Comps 050725 reamworks Sorabh" xfId="315" xr:uid="{00000000-0005-0000-0000-000036010000}"/>
    <cellStyle name="D_DMT507 Media Comps 050725 THQ Sorabh" xfId="316" xr:uid="{00000000-0005-0000-0000-000037010000}"/>
    <cellStyle name="D_DMT507 Media Comps Template" xfId="317" xr:uid="{00000000-0005-0000-0000-000038010000}"/>
    <cellStyle name="D_DMT562 Software Games Comps 050830" xfId="318" xr:uid="{00000000-0005-0000-0000-000039010000}"/>
    <cellStyle name="D_DMT562 Software Games Comps 050830 Infogrames" xfId="319" xr:uid="{00000000-0005-0000-0000-00003A010000}"/>
    <cellStyle name="D_DMT562 Software Games Comps 050830 Pankaj" xfId="320" xr:uid="{00000000-0005-0000-0000-00003B010000}"/>
    <cellStyle name="D_DMT562 Software Games Comps 050830 Puneet" xfId="321" xr:uid="{00000000-0005-0000-0000-00003C010000}"/>
    <cellStyle name="D_DMT568 Media Comps 050902 Set 4 Puneet" xfId="322" xr:uid="{00000000-0005-0000-0000-00003D010000}"/>
    <cellStyle name="D_DMT591 Media Comps 050916" xfId="323" xr:uid="{00000000-0005-0000-0000-00003E010000}"/>
    <cellStyle name="D_DMT591 Media Comps 050916 Avneesh" xfId="324" xr:uid="{00000000-0005-0000-0000-00003F010000}"/>
    <cellStyle name="D_DMT591 Media Comps 050916 Avneesh Qc" xfId="325" xr:uid="{00000000-0005-0000-0000-000040010000}"/>
    <cellStyle name="D_DMT591 Media Comps 050916 Himanshu" xfId="326" xr:uid="{00000000-0005-0000-0000-000041010000}"/>
    <cellStyle name="D_DMT591 Media Comps 050916 Manas" xfId="327" xr:uid="{00000000-0005-0000-0000-000042010000}"/>
    <cellStyle name="D_DMT591 Media Comps 050916 Manish" xfId="328" xr:uid="{00000000-0005-0000-0000-000043010000}"/>
    <cellStyle name="D_DMT591 Media Comps 050916 Rajesh" xfId="329" xr:uid="{00000000-0005-0000-0000-000044010000}"/>
    <cellStyle name="D_DMT607 Agencies Comps 051005 Jitesh (New Template)" xfId="330" xr:uid="{00000000-0005-0000-0000-000045010000}"/>
    <cellStyle name="D_DMT607 Agencies Comps 051005 Manas (New Template)" xfId="331" xr:uid="{00000000-0005-0000-0000-000046010000}"/>
    <cellStyle name="D_DMT629 Media Comps 051024 Kapil" xfId="332" xr:uid="{00000000-0005-0000-0000-000047010000}"/>
    <cellStyle name="D_DMT629 Media Comps 051024 Nikunj" xfId="333" xr:uid="{00000000-0005-0000-0000-000048010000}"/>
    <cellStyle name="D_DMT629 Media Comps 051024 Rajesh" xfId="334" xr:uid="{00000000-0005-0000-0000-000049010000}"/>
    <cellStyle name="D_DMT629 Media Comps 051024 Ubisoft Kapil QC" xfId="335" xr:uid="{00000000-0005-0000-0000-00004A010000}"/>
    <cellStyle name="D_DMT629 Media Comps 051024 vishal ii" xfId="336" xr:uid="{00000000-0005-0000-0000-00004B010000}"/>
    <cellStyle name="D_DMT629 Media Comps 051024 Yogesh" xfId="337" xr:uid="{00000000-0005-0000-0000-00004C010000}"/>
    <cellStyle name="D_DMT629 Media Comps 051025 Electronics Arts QC Anish" xfId="338" xr:uid="{00000000-0005-0000-0000-00004D010000}"/>
    <cellStyle name="D_DMT629 Media Comps 051025 Himanshu" xfId="339" xr:uid="{00000000-0005-0000-0000-00004E010000}"/>
    <cellStyle name="D_DMT629 Media Comps 051025 Pankaj" xfId="340" xr:uid="{00000000-0005-0000-0000-00004F010000}"/>
    <cellStyle name="D_DMT629 Media Comps 051025 vishal THQ QC" xfId="341" xr:uid="{00000000-0005-0000-0000-000050010000}"/>
    <cellStyle name="D_DMT667 Media Comps 051118  Anish" xfId="342" xr:uid="{00000000-0005-0000-0000-000051010000}"/>
    <cellStyle name="D_DMT667 Media Comps 051118 Charanjeet" xfId="343" xr:uid="{00000000-0005-0000-0000-000052010000}"/>
    <cellStyle name="D_DMT667 Media Comps 051118 Gaurav" xfId="344" xr:uid="{00000000-0005-0000-0000-000053010000}"/>
    <cellStyle name="D_DMT667 Media Comps 051118 Madhur" xfId="345" xr:uid="{00000000-0005-0000-0000-000054010000}"/>
    <cellStyle name="D_DMT667 Media Comps 051118 Rajan" xfId="346" xr:uid="{00000000-0005-0000-0000-000055010000}"/>
    <cellStyle name="D_DMT667 Media Comps 051118 Sweta" xfId="347" xr:uid="{00000000-0005-0000-0000-000056010000}"/>
    <cellStyle name="D_DMT667 Media Comps 051118 Vaibhav" xfId="348" xr:uid="{00000000-0005-0000-0000-000057010000}"/>
    <cellStyle name="D_DMT667 Media Comps 051118 Varun" xfId="349" xr:uid="{00000000-0005-0000-0000-000058010000}"/>
    <cellStyle name="D_DMT667 Media Comps 051118 Vimal" xfId="350" xr:uid="{00000000-0005-0000-0000-000059010000}"/>
    <cellStyle name="D_DMT708 Video_Wireless Comps 051209 Avneesh" xfId="351" xr:uid="{00000000-0005-0000-0000-00005A010000}"/>
    <cellStyle name="D_graph synthèse des valos Circuit A" xfId="352" xr:uid="{00000000-0005-0000-0000-00005B010000}"/>
    <cellStyle name="D_graph synthèse des valos Circuit A_050117 CCA EW - CCA - 11 Jan 05 (DB adj)" xfId="353" xr:uid="{00000000-0005-0000-0000-00005C010000}"/>
    <cellStyle name="D_graph synthèse des valos Circuit A_050204 CCA EW - CCA - 11 Jan 05 (DB adj) - 4" xfId="354" xr:uid="{00000000-0005-0000-0000-00005D010000}"/>
    <cellStyle name="D_graph synthèse des valos Circuit A_15 Nov 2004_CCA Jason" xfId="355" xr:uid="{00000000-0005-0000-0000-00005E010000}"/>
    <cellStyle name="D_graph synthèse des valos Circuit A_22 Nov 2004_CCA Jason" xfId="356" xr:uid="{00000000-0005-0000-0000-00005F010000}"/>
    <cellStyle name="D_graph synthèse des valos Circuit A_5 Nov 2004_CCA Jason_revised.xls dlgChart" xfId="357" xr:uid="{00000000-0005-0000-0000-000060010000}"/>
    <cellStyle name="D_graph synthèse des valos Circuit A_8 Nov 2004_CCA Jason" xfId="358" xr:uid="{00000000-0005-0000-0000-000061010000}"/>
    <cellStyle name="D_graph synthèse des valos Circuit A_8 Nov 2004_CCA Jason.xls Chart 1" xfId="359" xr:uid="{00000000-0005-0000-0000-000062010000}"/>
    <cellStyle name="D_graph synthèse des valos Circuit A_Comps File Generic Media" xfId="360" xr:uid="{00000000-0005-0000-0000-000063010000}"/>
    <cellStyle name="D_graph synthèse des valos Circuit A_Copy of DMT496 Professional Publishing Comps 050714 Abhas" xfId="361" xr:uid="{00000000-0005-0000-0000-000064010000}"/>
    <cellStyle name="D_graph synthèse des valos Circuit A_Copy of TDI1183 Template 051219 II Mili v1" xfId="362" xr:uid="{00000000-0005-0000-0000-000065010000}"/>
    <cellStyle name="D_graph synthèse des valos Circuit A_Copy of TDI1183 Template 051219 II Neeraj" xfId="363" xr:uid="{00000000-0005-0000-0000-000066010000}"/>
    <cellStyle name="D_graph synthèse des valos Circuit A_Copy of TDI1183 Template 051219 II Neeraj QC1 ILUKA Babneet" xfId="364" xr:uid="{00000000-0005-0000-0000-000067010000}"/>
    <cellStyle name="D_graph synthèse des valos Circuit A_Copy of TDI1183 Template 051219 Nikunj" xfId="365" xr:uid="{00000000-0005-0000-0000-000068010000}"/>
    <cellStyle name="D_graph synthèse des valos Circuit A_Directories Trading Multiples 10Jan2005" xfId="366" xr:uid="{00000000-0005-0000-0000-000069010000}"/>
    <cellStyle name="D_graph synthèse des valos Circuit A_DMT448 Comps 050622 Ankur" xfId="367" xr:uid="{00000000-0005-0000-0000-00006A010000}"/>
    <cellStyle name="D_graph synthèse des valos Circuit A_DMT448 Comps 050622 Puneet" xfId="368" xr:uid="{00000000-0005-0000-0000-00006B010000}"/>
    <cellStyle name="D_graph synthèse des valos Circuit A_DMT448 Comps 050622 Puneet QC Sumit" xfId="369" xr:uid="{00000000-0005-0000-0000-00006C010000}"/>
    <cellStyle name="D_graph synthèse des valos Circuit A_DMT458 Comps 050628 Abhishek" xfId="370" xr:uid="{00000000-0005-0000-0000-00006D010000}"/>
    <cellStyle name="D_graph synthèse des valos Circuit A_DMT458 Comps 050628 Abhishek QC Beasley and Chrysalis" xfId="371" xr:uid="{00000000-0005-0000-0000-00006E010000}"/>
    <cellStyle name="D_graph synthèse des valos Circuit A_DMT458 Comps 050628 Abhishek Radio and Emmis QCD" xfId="372" xr:uid="{00000000-0005-0000-0000-00006F010000}"/>
    <cellStyle name="D_graph synthèse des valos Circuit A_DMT458 Comps 050628 Manish QC Ulster" xfId="373" xr:uid="{00000000-0005-0000-0000-000070010000}"/>
    <cellStyle name="D_graph synthèse des valos Circuit A_DMT458 Comps 050628 Puneet" xfId="374" xr:uid="{00000000-0005-0000-0000-000071010000}"/>
    <cellStyle name="D_graph synthèse des valos Circuit A_DMT458 Comps 050628 Puneet vQC" xfId="375" xr:uid="{00000000-0005-0000-0000-000072010000}"/>
    <cellStyle name="D_graph synthèse des valos Circuit A_DMT458 Comps 050628 Rajan" xfId="376" xr:uid="{00000000-0005-0000-0000-000073010000}"/>
    <cellStyle name="D_graph synthèse des valos Circuit A_DMT458 Comps 050628 Rajan 5 Cos Final vQC Anish" xfId="377" xr:uid="{00000000-0005-0000-0000-000074010000}"/>
    <cellStyle name="D_graph synthèse des valos Circuit A_DMT458 Comps 050628 Rajan SMG QCd" xfId="378" xr:uid="{00000000-0005-0000-0000-000075010000}"/>
    <cellStyle name="D_graph synthèse des valos Circuit A_DMT458 Comps 050630 Abhishek" xfId="379" xr:uid="{00000000-0005-0000-0000-000076010000}"/>
    <cellStyle name="D_graph synthèse des valos Circuit A_DMT458 Comps 050630 Abhishek QC Sumit" xfId="380" xr:uid="{00000000-0005-0000-0000-000077010000}"/>
    <cellStyle name="D_graph synthèse des valos Circuit A_DMT458 Comps 050630 Ankur" xfId="381" xr:uid="{00000000-0005-0000-0000-000078010000}"/>
    <cellStyle name="D_graph synthèse des valos Circuit A_DMT458 Comps 050630 Ankur QC Sumit" xfId="382" xr:uid="{00000000-0005-0000-0000-000079010000}"/>
    <cellStyle name="D_graph synthèse des valos Circuit A_DMT458 Comps 050630 SUMIT for Reed Elsevier from 462" xfId="383" xr:uid="{00000000-0005-0000-0000-00007A010000}"/>
    <cellStyle name="D_graph synthèse des valos Circuit A_DMT462 Comps 050628 Ankur" xfId="384" xr:uid="{00000000-0005-0000-0000-00007B010000}"/>
    <cellStyle name="D_graph synthèse des valos Circuit A_DMT462 Comps 050628 Ankur Arbitron QC" xfId="385" xr:uid="{00000000-0005-0000-0000-00007C010000}"/>
    <cellStyle name="D_graph synthèse des valos Circuit A_DMT462 Comps 050629 Abhishek" xfId="386" xr:uid="{00000000-0005-0000-0000-00007D010000}"/>
    <cellStyle name="D_graph synthèse des valos Circuit A_DMT462 Comps 050629 Abhishek QCd" xfId="387" xr:uid="{00000000-0005-0000-0000-00007E010000}"/>
    <cellStyle name="D_graph synthèse des valos Circuit A_DMT462 Comps 050629 Ankur Ipsos QC" xfId="388" xr:uid="{00000000-0005-0000-0000-00007F010000}"/>
    <cellStyle name="D_graph synthèse des valos Circuit A_DMT462 Comps 050629 Puneet" xfId="389" xr:uid="{00000000-0005-0000-0000-000080010000}"/>
    <cellStyle name="D_graph synthèse des valos Circuit A_DMT462 Comps 050629 Puneet QC Reuters" xfId="390" xr:uid="{00000000-0005-0000-0000-000081010000}"/>
    <cellStyle name="D_graph synthèse des valos Circuit A_DMT462 Comps 050629 Rajan" xfId="391" xr:uid="{00000000-0005-0000-0000-000082010000}"/>
    <cellStyle name="D_graph synthèse des valos Circuit A_DMT462 Comps 050629 Rajan QCd" xfId="392" xr:uid="{00000000-0005-0000-0000-000083010000}"/>
    <cellStyle name="D_graph synthèse des valos Circuit A_DMT482 Consumer Comps 050707 Puneet" xfId="393" xr:uid="{00000000-0005-0000-0000-000084010000}"/>
    <cellStyle name="D_graph synthèse des valos Circuit A_DMT482 Consumer Publishing Comps 050707 Puneet" xfId="394" xr:uid="{00000000-0005-0000-0000-000085010000}"/>
    <cellStyle name="D_graph synthèse des valos Circuit A_DMT482 Consumer Publishing Comps 050708 Amit" xfId="395" xr:uid="{00000000-0005-0000-0000-000086010000}"/>
    <cellStyle name="D_graph synthèse des valos Circuit A_DMT482 Consumer Publishing Comps 050709" xfId="396" xr:uid="{00000000-0005-0000-0000-000087010000}"/>
    <cellStyle name="D_graph synthèse des valos Circuit A_DMT482 Newspaper Comps 050709" xfId="397" xr:uid="{00000000-0005-0000-0000-000088010000}"/>
    <cellStyle name="D_graph synthèse des valos Circuit A_DMT482 Newspapers Comps 050708" xfId="398" xr:uid="{00000000-0005-0000-0000-000089010000}"/>
    <cellStyle name="D_graph synthèse des valos Circuit A_DMT482 Newspapers Comps 050708 Manas" xfId="399" xr:uid="{00000000-0005-0000-0000-00008A010000}"/>
    <cellStyle name="D_graph synthèse des valos Circuit A_DMT482 Newspapers Comps 050708 Pankaj" xfId="400" xr:uid="{00000000-0005-0000-0000-00008B010000}"/>
    <cellStyle name="D_graph synthèse des valos Circuit A_DMT482 Professional Publishing Comps 050708 Puneet" xfId="401" xr:uid="{00000000-0005-0000-0000-00008C010000}"/>
    <cellStyle name="D_graph synthèse des valos Circuit A_DMT482 Professional Publishing Comps 050708 Rajesh" xfId="402" xr:uid="{00000000-0005-0000-0000-00008D010000}"/>
    <cellStyle name="D_graph synthèse des valos Circuit A_DMT482 Professional Publishing Comps 050712" xfId="403" xr:uid="{00000000-0005-0000-0000-00008E010000}"/>
    <cellStyle name="D_graph synthèse des valos Circuit A_DMT482 Radio Comps 050709 Pankaj" xfId="404" xr:uid="{00000000-0005-0000-0000-00008F010000}"/>
    <cellStyle name="D_graph synthèse des valos Circuit A_DMT482 Radio Comps 050712" xfId="405" xr:uid="{00000000-0005-0000-0000-000090010000}"/>
    <cellStyle name="D_graph synthèse des valos Circuit A_DMT489 Comps 050716" xfId="406" xr:uid="{00000000-0005-0000-0000-000091010000}"/>
    <cellStyle name="D_graph synthèse des valos Circuit A_DMT493 Media Comps 050714" xfId="407" xr:uid="{00000000-0005-0000-0000-000092010000}"/>
    <cellStyle name="D_graph synthèse des valos Circuit A_DMT493 Media Comps 050714 Puneet" xfId="408" xr:uid="{00000000-0005-0000-0000-000093010000}"/>
    <cellStyle name="D_graph synthèse des valos Circuit A_DMT496 Comps 050714" xfId="409" xr:uid="{00000000-0005-0000-0000-000094010000}"/>
    <cellStyle name="D_graph synthèse des valos Circuit A_DMT496 Professional Publishing Comps 050714" xfId="410" xr:uid="{00000000-0005-0000-0000-000095010000}"/>
    <cellStyle name="D_graph synthèse des valos Circuit A_DMT496 Professional Publishing Comps 050714 Abhishek" xfId="411" xr:uid="{00000000-0005-0000-0000-000096010000}"/>
    <cellStyle name="D_graph synthèse des valos Circuit A_DMT496 Professional Publishing Comps 050714 Amit" xfId="412" xr:uid="{00000000-0005-0000-0000-000097010000}"/>
    <cellStyle name="D_graph synthèse des valos Circuit A_DMT496 Professional Publishing Comps 050714 Ankur" xfId="413" xr:uid="{00000000-0005-0000-0000-000098010000}"/>
    <cellStyle name="D_graph synthèse des valos Circuit A_DMT496 Professional Publishing Comps 050714 Manish" xfId="414" xr:uid="{00000000-0005-0000-0000-000099010000}"/>
    <cellStyle name="D_graph synthèse des valos Circuit A_DMT496 Professional Publishing Comps 050714 Pankaj" xfId="415" xr:uid="{00000000-0005-0000-0000-00009A010000}"/>
    <cellStyle name="D_graph synthèse des valos Circuit A_DMT496A Comps 050715 Abhas" xfId="416" xr:uid="{00000000-0005-0000-0000-00009B010000}"/>
    <cellStyle name="D_graph synthèse des valos Circuit A_DMT496A Comps 050715 Abhishek" xfId="417" xr:uid="{00000000-0005-0000-0000-00009C010000}"/>
    <cellStyle name="D_graph synthèse des valos Circuit A_DMT496A Comps 050715 Amit" xfId="418" xr:uid="{00000000-0005-0000-0000-00009D010000}"/>
    <cellStyle name="D_graph synthèse des valos Circuit A_DMT496A Comps 050715 Manas" xfId="419" xr:uid="{00000000-0005-0000-0000-00009E010000}"/>
    <cellStyle name="D_graph synthèse des valos Circuit A_DMT496A Comps 050715 Pankaj" xfId="420" xr:uid="{00000000-0005-0000-0000-00009F010000}"/>
    <cellStyle name="D_graph synthèse des valos Circuit A_DMT496A Comps 050715 QC 2 Pankaj" xfId="421" xr:uid="{00000000-0005-0000-0000-0000A0010000}"/>
    <cellStyle name="D_graph synthèse des valos Circuit A_DMT496A Comps 050715 QC Antena Amit" xfId="422" xr:uid="{00000000-0005-0000-0000-0000A1010000}"/>
    <cellStyle name="D_graph synthèse des valos Circuit A_DMT496A Comps 050715 QC BEC Pankaj" xfId="423" xr:uid="{00000000-0005-0000-0000-0000A2010000}"/>
    <cellStyle name="D_graph synthèse des valos Circuit A_DMT496A Comps 050715 QC Disney Amit" xfId="424" xr:uid="{00000000-0005-0000-0000-0000A3010000}"/>
    <cellStyle name="D_graph synthèse des valos Circuit A_DMT496A Comps 050715 QC EMI Abhas" xfId="425" xr:uid="{00000000-0005-0000-0000-0000A4010000}"/>
    <cellStyle name="D_graph synthèse des valos Circuit A_DMT496A Comps 050715 QC M6 metro Amit" xfId="426" xr:uid="{00000000-0005-0000-0000-0000A5010000}"/>
    <cellStyle name="D_graph synthèse des valos Circuit A_DMT496A Comps 050715 QC Mediaset Abhishek" xfId="427" xr:uid="{00000000-0005-0000-0000-0000A6010000}"/>
    <cellStyle name="D_graph synthèse des valos Circuit A_DMT496A Comps 050715 QC Newscorp Abhishek" xfId="428" xr:uid="{00000000-0005-0000-0000-0000A7010000}"/>
    <cellStyle name="D_graph synthèse des valos Circuit A_DMT496A Comps 050715 QC Premiere Amit" xfId="429" xr:uid="{00000000-0005-0000-0000-0000A8010000}"/>
    <cellStyle name="D_graph synthèse des valos Circuit A_DMT496A Comps 050715 QC Prosieben Abhas" xfId="430" xr:uid="{00000000-0005-0000-0000-0000A9010000}"/>
    <cellStyle name="D_graph synthèse des valos Circuit A_DMT496A Comps 050715 QC RTL Abhishek" xfId="431" xr:uid="{00000000-0005-0000-0000-0000AA010000}"/>
    <cellStyle name="D_graph synthèse des valos Circuit A_DMT496A Comps 050715 QC Sogecable Manas" xfId="432" xr:uid="{00000000-0005-0000-0000-0000AB010000}"/>
    <cellStyle name="D_graph synthèse des valos Circuit A_DMT496A Comps 050715 QC Telecinco Amit" xfId="433" xr:uid="{00000000-0005-0000-0000-0000AC010000}"/>
    <cellStyle name="D_graph synthèse des valos Circuit A_DMT496A Comps 050715 QC TF1 Rajan" xfId="434" xr:uid="{00000000-0005-0000-0000-0000AD010000}"/>
    <cellStyle name="D_graph synthèse des valos Circuit A_DMT496A Comps 050715 QC Time warner Abhas" xfId="435" xr:uid="{00000000-0005-0000-0000-0000AE010000}"/>
    <cellStyle name="D_graph synthèse des valos Circuit A_DMT496A Comps 050715 QC TVN Srilatha" xfId="436" xr:uid="{00000000-0005-0000-0000-0000AF010000}"/>
    <cellStyle name="D_graph synthèse des valos Circuit A_DMT496A Comps 050715 QC Viacom Abhas" xfId="437" xr:uid="{00000000-0005-0000-0000-0000B0010000}"/>
    <cellStyle name="D_graph synthèse des valos Circuit A_DMT496A Comps 050715 QC WMG Pankaj" xfId="438" xr:uid="{00000000-0005-0000-0000-0000B1010000}"/>
    <cellStyle name="D_graph synthèse des valos Circuit A_DMT496A Comps 050715 Rajan" xfId="439" xr:uid="{00000000-0005-0000-0000-0000B2010000}"/>
    <cellStyle name="D_graph synthèse des valos Circuit A_DMT496A Comps 050715 Srilatha" xfId="440" xr:uid="{00000000-0005-0000-0000-0000B3010000}"/>
    <cellStyle name="D_graph synthèse des valos Circuit A_DMT496B Comps 050715 4Kids Sorabh" xfId="441" xr:uid="{00000000-0005-0000-0000-0000B4010000}"/>
    <cellStyle name="D_graph synthèse des valos Circuit A_DMT496B Comps 050715 Abhishek" xfId="442" xr:uid="{00000000-0005-0000-0000-0000B5010000}"/>
    <cellStyle name="D_graph synthèse des valos Circuit A_DMT496B Comps 050716 Amit" xfId="443" xr:uid="{00000000-0005-0000-0000-0000B6010000}"/>
    <cellStyle name="D_graph synthèse des valos Circuit A_DMT496B Comps 050716 Jetix Sorabh" xfId="444" xr:uid="{00000000-0005-0000-0000-0000B7010000}"/>
    <cellStyle name="D_graph synthèse des valos Circuit A_DMT503 Media Comps 050721 Puneet" xfId="445" xr:uid="{00000000-0005-0000-0000-0000B8010000}"/>
    <cellStyle name="D_graph synthèse des valos Circuit A_DMT505 Media Comps 050722 Puneet" xfId="446" xr:uid="{00000000-0005-0000-0000-0000B9010000}"/>
    <cellStyle name="D_graph synthèse des valos Circuit A_DMT505 Media Comps 050722 Rajan" xfId="447" xr:uid="{00000000-0005-0000-0000-0000BA010000}"/>
    <cellStyle name="D_graph synthèse des valos Circuit A_DMT506 Media Comps 050722 Manas" xfId="448" xr:uid="{00000000-0005-0000-0000-0000BB010000}"/>
    <cellStyle name="D_graph synthèse des valos Circuit A_DMT506 Media Comps 050723 Himanshu" xfId="449" xr:uid="{00000000-0005-0000-0000-0000BC010000}"/>
    <cellStyle name="D_graph synthèse des valos Circuit A_DMT506 Media Comps 050723 Saurabh" xfId="450" xr:uid="{00000000-0005-0000-0000-0000BD010000}"/>
    <cellStyle name="D_graph synthèse des valos Circuit A_DMT506 QC SUMIT Media Comps 050722 Amazon" xfId="451" xr:uid="{00000000-0005-0000-0000-0000BE010000}"/>
    <cellStyle name="D_graph synthèse des valos Circuit A_DMT506 QC SUMIT Media Comps 050723" xfId="452" xr:uid="{00000000-0005-0000-0000-0000BF010000}"/>
    <cellStyle name="D_graph synthèse des valos Circuit A_DMT507 Media Comps 050725" xfId="453" xr:uid="{00000000-0005-0000-0000-0000C0010000}"/>
    <cellStyle name="D_graph synthèse des valos Circuit A_DMT507 Media Comps 050725 Electronics Arts Sorabh" xfId="454" xr:uid="{00000000-0005-0000-0000-0000C1010000}"/>
    <cellStyle name="D_graph synthèse des valos Circuit A_DMT507 Media Comps 050725 Himanshu" xfId="455" xr:uid="{00000000-0005-0000-0000-0000C2010000}"/>
    <cellStyle name="D_graph synthèse des valos Circuit A_DMT507 Media Comps 050725 Manas" xfId="456" xr:uid="{00000000-0005-0000-0000-0000C3010000}"/>
    <cellStyle name="D_graph synthèse des valos Circuit A_DMT507 Media Comps 050725 Manish" xfId="457" xr:uid="{00000000-0005-0000-0000-0000C4010000}"/>
    <cellStyle name="D_graph synthèse des valos Circuit A_DMT507 Media Comps 050725 Pankaj" xfId="458" xr:uid="{00000000-0005-0000-0000-0000C5010000}"/>
    <cellStyle name="D_graph synthèse des valos Circuit A_DMT507 Media Comps 050725 Pixar Sorabh" xfId="459" xr:uid="{00000000-0005-0000-0000-0000C6010000}"/>
    <cellStyle name="D_graph synthèse des valos Circuit A_DMT507 Media Comps 050725 reamworks Sorabh" xfId="460" xr:uid="{00000000-0005-0000-0000-0000C7010000}"/>
    <cellStyle name="D_graph synthèse des valos Circuit A_DMT507 Media Comps 050725 THQ Sorabh" xfId="461" xr:uid="{00000000-0005-0000-0000-0000C8010000}"/>
    <cellStyle name="D_graph synthèse des valos Circuit A_DMT507 Media Comps Template" xfId="462" xr:uid="{00000000-0005-0000-0000-0000C9010000}"/>
    <cellStyle name="D_graph synthèse des valos Circuit A_DMT562 Software Games Comps 050830" xfId="463" xr:uid="{00000000-0005-0000-0000-0000CA010000}"/>
    <cellStyle name="D_graph synthèse des valos Circuit A_DMT562 Software Games Comps 050830 Infogrames" xfId="464" xr:uid="{00000000-0005-0000-0000-0000CB010000}"/>
    <cellStyle name="D_graph synthèse des valos Circuit A_DMT562 Software Games Comps 050830 Pankaj" xfId="465" xr:uid="{00000000-0005-0000-0000-0000CC010000}"/>
    <cellStyle name="D_graph synthèse des valos Circuit A_DMT562 Software Games Comps 050830 Puneet" xfId="466" xr:uid="{00000000-0005-0000-0000-0000CD010000}"/>
    <cellStyle name="D_graph synthèse des valos Circuit A_DMT568 Media Comps 050902 Set 4 Puneet" xfId="467" xr:uid="{00000000-0005-0000-0000-0000CE010000}"/>
    <cellStyle name="D_graph synthèse des valos Circuit A_DMT591 Media Comps 050916" xfId="468" xr:uid="{00000000-0005-0000-0000-0000CF010000}"/>
    <cellStyle name="D_graph synthèse des valos Circuit A_DMT591 Media Comps 050916 Avneesh" xfId="469" xr:uid="{00000000-0005-0000-0000-0000D0010000}"/>
    <cellStyle name="D_graph synthèse des valos Circuit A_DMT591 Media Comps 050916 Avneesh Qc" xfId="470" xr:uid="{00000000-0005-0000-0000-0000D1010000}"/>
    <cellStyle name="D_graph synthèse des valos Circuit A_DMT591 Media Comps 050916 Himanshu" xfId="471" xr:uid="{00000000-0005-0000-0000-0000D2010000}"/>
    <cellStyle name="D_graph synthèse des valos Circuit A_DMT591 Media Comps 050916 Manas" xfId="472" xr:uid="{00000000-0005-0000-0000-0000D3010000}"/>
    <cellStyle name="D_graph synthèse des valos Circuit A_DMT591 Media Comps 050916 Manish" xfId="473" xr:uid="{00000000-0005-0000-0000-0000D4010000}"/>
    <cellStyle name="D_graph synthèse des valos Circuit A_DMT591 Media Comps 050916 Rajesh" xfId="474" xr:uid="{00000000-0005-0000-0000-0000D5010000}"/>
    <cellStyle name="D_graph synthèse des valos Circuit A_DMT607 Agencies Comps 051005 Jitesh (New Template)" xfId="475" xr:uid="{00000000-0005-0000-0000-0000D6010000}"/>
    <cellStyle name="D_graph synthèse des valos Circuit A_DMT607 Agencies Comps 051005 Manas (New Template)" xfId="476" xr:uid="{00000000-0005-0000-0000-0000D7010000}"/>
    <cellStyle name="D_graph synthèse des valos Circuit A_DMT629 Media Comps 051024 Kapil" xfId="477" xr:uid="{00000000-0005-0000-0000-0000D8010000}"/>
    <cellStyle name="D_graph synthèse des valos Circuit A_DMT629 Media Comps 051024 Nikunj" xfId="478" xr:uid="{00000000-0005-0000-0000-0000D9010000}"/>
    <cellStyle name="D_graph synthèse des valos Circuit A_DMT629 Media Comps 051024 Rajesh" xfId="479" xr:uid="{00000000-0005-0000-0000-0000DA010000}"/>
    <cellStyle name="D_graph synthèse des valos Circuit A_DMT629 Media Comps 051024 Ubisoft Kapil QC" xfId="480" xr:uid="{00000000-0005-0000-0000-0000DB010000}"/>
    <cellStyle name="D_graph synthèse des valos Circuit A_DMT629 Media Comps 051024 vishal ii" xfId="481" xr:uid="{00000000-0005-0000-0000-0000DC010000}"/>
    <cellStyle name="D_graph synthèse des valos Circuit A_DMT629 Media Comps 051024 Yogesh" xfId="482" xr:uid="{00000000-0005-0000-0000-0000DD010000}"/>
    <cellStyle name="D_graph synthèse des valos Circuit A_DMT629 Media Comps 051025 Electronics Arts QC Anish" xfId="483" xr:uid="{00000000-0005-0000-0000-0000DE010000}"/>
    <cellStyle name="D_graph synthèse des valos Circuit A_DMT629 Media Comps 051025 Himanshu" xfId="484" xr:uid="{00000000-0005-0000-0000-0000DF010000}"/>
    <cellStyle name="D_graph synthèse des valos Circuit A_DMT629 Media Comps 051025 Pankaj" xfId="485" xr:uid="{00000000-0005-0000-0000-0000E0010000}"/>
    <cellStyle name="D_graph synthèse des valos Circuit A_DMT629 Media Comps 051025 vishal THQ QC" xfId="486" xr:uid="{00000000-0005-0000-0000-0000E1010000}"/>
    <cellStyle name="D_graph synthèse des valos Circuit A_DMT667 Media Comps 051118  Anish" xfId="487" xr:uid="{00000000-0005-0000-0000-0000E2010000}"/>
    <cellStyle name="D_graph synthèse des valos Circuit A_DMT667 Media Comps 051118 Charanjeet" xfId="488" xr:uid="{00000000-0005-0000-0000-0000E3010000}"/>
    <cellStyle name="D_graph synthèse des valos Circuit A_DMT667 Media Comps 051118 Gaurav" xfId="489" xr:uid="{00000000-0005-0000-0000-0000E4010000}"/>
    <cellStyle name="D_graph synthèse des valos Circuit A_DMT667 Media Comps 051118 Madhur" xfId="490" xr:uid="{00000000-0005-0000-0000-0000E5010000}"/>
    <cellStyle name="D_graph synthèse des valos Circuit A_DMT667 Media Comps 051118 Rajan" xfId="491" xr:uid="{00000000-0005-0000-0000-0000E6010000}"/>
    <cellStyle name="D_graph synthèse des valos Circuit A_DMT667 Media Comps 051118 Sweta" xfId="492" xr:uid="{00000000-0005-0000-0000-0000E7010000}"/>
    <cellStyle name="D_graph synthèse des valos Circuit A_DMT667 Media Comps 051118 Vaibhav" xfId="493" xr:uid="{00000000-0005-0000-0000-0000E8010000}"/>
    <cellStyle name="D_graph synthèse des valos Circuit A_DMT667 Media Comps 051118 Varun" xfId="494" xr:uid="{00000000-0005-0000-0000-0000E9010000}"/>
    <cellStyle name="D_graph synthèse des valos Circuit A_DMT667 Media Comps 051118 Vimal" xfId="495" xr:uid="{00000000-0005-0000-0000-0000EA010000}"/>
    <cellStyle name="D_graph synthèse des valos Circuit A_DMT708 Video_Wireless Comps 051209 Avneesh" xfId="496" xr:uid="{00000000-0005-0000-0000-0000EB010000}"/>
    <cellStyle name="D_graph synthèse des valos Circuit A_M&amp;M Comps 060206 Part II (Precious &amp; Coal) 060214" xfId="497" xr:uid="{00000000-0005-0000-0000-0000EC010000}"/>
    <cellStyle name="D_graph synthèse des valos Circuit A_Market Research Comps 25 August 2005" xfId="498" xr:uid="{00000000-0005-0000-0000-0000ED010000}"/>
    <cellStyle name="D_graph synthèse des valos Circuit A_Springer CCA Oct 11 JMv14" xfId="499" xr:uid="{00000000-0005-0000-0000-0000EE010000}"/>
    <cellStyle name="D_graph synthèse des valos Circuit A_Springer CCA Oct 11 JMv15" xfId="500" xr:uid="{00000000-0005-0000-0000-0000EF010000}"/>
    <cellStyle name="D_graph synthèse des valos Circuit A_TDI1183 Comps  051219 II Vishal2" xfId="501" xr:uid="{00000000-0005-0000-0000-0000F0010000}"/>
    <cellStyle name="D_graph synthèse des valos Circuit A_TDI1183 Comps 051219 QC1 Pankaj" xfId="502" xr:uid="{00000000-0005-0000-0000-0000F1010000}"/>
    <cellStyle name="D_graph synthèse des valos Circuit A_TDI1183 Comps 051219 QC1 Pankaj V1" xfId="503" xr:uid="{00000000-0005-0000-0000-0000F2010000}"/>
    <cellStyle name="D_graph synthèse des valos Circuit A_TDI1183 Comps 051220 AbhasV1" xfId="504" xr:uid="{00000000-0005-0000-0000-0000F3010000}"/>
    <cellStyle name="D_graph synthèse des valos Circuit A_TDI1183 Comps 051220 Ainul" xfId="505" xr:uid="{00000000-0005-0000-0000-0000F4010000}"/>
    <cellStyle name="D_graph synthèse des valos Circuit A_TDI1183 Comps 051221 vQC Ankur" xfId="506" xr:uid="{00000000-0005-0000-0000-0000F5010000}"/>
    <cellStyle name="D_graph synthèse des valos Circuit A_TDI1183 Comps 051222 SorabhV2" xfId="507" xr:uid="{00000000-0005-0000-0000-0000F6010000}"/>
    <cellStyle name="D_graph synthèse des valos Circuit A_TDI1183 Comps 051222 SorabhV3" xfId="508" xr:uid="{00000000-0005-0000-0000-0000F7010000}"/>
    <cellStyle name="D_graph synthèse des valos Circuit A_TDI1183 M&amp;M Comps 051221 Vimal" xfId="509" xr:uid="{00000000-0005-0000-0000-0000F8010000}"/>
    <cellStyle name="D_graph synthèse des valos Circuit A_TDI1183 Media Comps 051219 Abhishek New" xfId="510" xr:uid="{00000000-0005-0000-0000-0000F9010000}"/>
    <cellStyle name="D_graph synthèse des valos Circuit A_TDI1183 Media Comps 051219 Ritesh New" xfId="511" xr:uid="{00000000-0005-0000-0000-0000FA010000}"/>
    <cellStyle name="D_graph synthèse des valos Circuit A_TDI1183 Metal &amp; Mining 051219 Anurag" xfId="512" xr:uid="{00000000-0005-0000-0000-0000FB010000}"/>
    <cellStyle name="D_graph synthèse des valos Circuit A_TDI1183 QC SUMIT Template 051222" xfId="513" xr:uid="{00000000-0005-0000-0000-0000FC010000}"/>
    <cellStyle name="D_graph synthèse des valos Circuit A_TDI1183 Template 051219  Ashish" xfId="514" xr:uid="{00000000-0005-0000-0000-0000FD010000}"/>
    <cellStyle name="D_graph synthèse des valos Circuit A_TDI1183 Template 051219  Ashish QC1 Buenaventura Babneet" xfId="515" xr:uid="{00000000-0005-0000-0000-0000FE010000}"/>
    <cellStyle name="D_graph synthèse des valos Circuit A_TDI1183 Template 051219 II Amit M" xfId="516" xr:uid="{00000000-0005-0000-0000-0000FF010000}"/>
    <cellStyle name="D_graph synthèse des valos Circuit A_TDI1183 Template 051219 II Amit M V1" xfId="517" xr:uid="{00000000-0005-0000-0000-000000020000}"/>
    <cellStyle name="D_graph synthèse des valos Circuit A_TDI1183 Template 051219 II Anurag" xfId="518" xr:uid="{00000000-0005-0000-0000-000001020000}"/>
    <cellStyle name="D_graph synthèse des valos Circuit A_TDI1183 Template 051219 II Atul" xfId="519" xr:uid="{00000000-0005-0000-0000-000002020000}"/>
    <cellStyle name="D_graph synthèse des valos Circuit A_TDI1183 Template 051219 II Celtic Qc1 Yogendra" xfId="520" xr:uid="{00000000-0005-0000-0000-000003020000}"/>
    <cellStyle name="D_graph synthèse des valos Circuit A_TDI1183 Template 051219 II Himanshu Sahai" xfId="521" xr:uid="{00000000-0005-0000-0000-000004020000}"/>
    <cellStyle name="D_graph synthèse des valos Circuit A_TDI1183 Template 051219 II Kamlesh" xfId="522" xr:uid="{00000000-0005-0000-0000-000005020000}"/>
    <cellStyle name="D_graph synthèse des valos Circuit A_TDI1183 Template 051219 II Kamlesh QC1 ASSMANG, PETER HAMBRO Babneet" xfId="523" xr:uid="{00000000-0005-0000-0000-000006020000}"/>
    <cellStyle name="D_graph synthèse des valos Circuit A_TDI1183 Template 051219 II Kamlesh QC1 MERAFE Babneet" xfId="524" xr:uid="{00000000-0005-0000-0000-000007020000}"/>
    <cellStyle name="D_graph synthèse des valos Circuit A_TDI1183 Template 051219 II Lalit" xfId="525" xr:uid="{00000000-0005-0000-0000-000008020000}"/>
    <cellStyle name="D_graph synthèse des valos Circuit A_TDI1183 Template 051219 II Mili" xfId="526" xr:uid="{00000000-0005-0000-0000-000009020000}"/>
    <cellStyle name="D_graph synthèse des valos Circuit A_TDI1183 Template 051219 II Nandini" xfId="527" xr:uid="{00000000-0005-0000-0000-00000A020000}"/>
    <cellStyle name="D_graph synthèse des valos Circuit A_TDI1183 Template 051219 II Nitin New" xfId="528" xr:uid="{00000000-0005-0000-0000-00000B020000}"/>
    <cellStyle name="D_graph synthèse des valos Circuit A_TDI1183 Template 051219 II Sachin" xfId="529" xr:uid="{00000000-0005-0000-0000-00000C020000}"/>
    <cellStyle name="D_graph synthèse des valos Circuit A_TDI1183 Template 051219 II Vishal" xfId="530" xr:uid="{00000000-0005-0000-0000-00000D020000}"/>
    <cellStyle name="D_graph synthèse des valos Circuit A_TDI1183 Template 051219 II Vishal2" xfId="531" xr:uid="{00000000-0005-0000-0000-00000E020000}"/>
    <cellStyle name="D_graph synthèse des valos Circuit A_TDI1183 Template 051219 II Yogesh Final" xfId="532" xr:uid="{00000000-0005-0000-0000-00000F020000}"/>
    <cellStyle name="D_graph synthèse des valos Circuit A_TDI1183 Template 051219 Mukesh Revised II" xfId="533" xr:uid="{00000000-0005-0000-0000-000010020000}"/>
    <cellStyle name="D_graph synthèse des valos Circuit A_TDI1183 Template 051219 QC1 Newcrest_Yogendra" xfId="534" xr:uid="{00000000-0005-0000-0000-000011020000}"/>
    <cellStyle name="D_graph synthèse des valos Circuit A_TDI1183 Template 051220 II Himanshu Sahai" xfId="535" xr:uid="{00000000-0005-0000-0000-000012020000}"/>
    <cellStyle name="D_graph synthèse des valos Circuit A_TDI1183 Template 051220 II QC1 Alcan_Yogendra" xfId="536" xr:uid="{00000000-0005-0000-0000-000013020000}"/>
    <cellStyle name="D_graph synthèse des valos Circuit A_TDI1183 Template 051220 II QC1 Assore _Yogendra" xfId="537" xr:uid="{00000000-0005-0000-0000-000014020000}"/>
    <cellStyle name="D_graph synthèse des valos Circuit A_TDI1183 Template 051220 II QC1 Consol_Yogendra" xfId="538" xr:uid="{00000000-0005-0000-0000-000015020000}"/>
    <cellStyle name="D_graph synthèse des valos Circuit A_TDI1183 Template 051220 II QC1 Peabody_Yogendra" xfId="539" xr:uid="{00000000-0005-0000-0000-000016020000}"/>
    <cellStyle name="D_graph synthèse des valos Circuit A_TDI1183 Template 051220 II QC1 Rio Tinto_Yogendra" xfId="540" xr:uid="{00000000-0005-0000-0000-000017020000}"/>
    <cellStyle name="D_graph synthèse des valos Circuit A_TDI1183 Template 051220 Qc1 Abhishek" xfId="541" xr:uid="{00000000-0005-0000-0000-000018020000}"/>
    <cellStyle name="D_graph synthèse des valos Circuit A_TDI1183 Template 051220 Qc1 Ritesh" xfId="542" xr:uid="{00000000-0005-0000-0000-000019020000}"/>
    <cellStyle name="D_graph synthèse des valos Circuit A_TDI1212 M&amp;M Comps 060104 Part 1 Ainul" xfId="543" xr:uid="{00000000-0005-0000-0000-00001A020000}"/>
    <cellStyle name="D_graph synthèse des valos Circuit A_TDI1212 M&amp;M Comps 060104 Part 1 QC Anish" xfId="544" xr:uid="{00000000-0005-0000-0000-00001B020000}"/>
    <cellStyle name="D_graph synthèse des valos Circuit A_TDI1212 M&amp;M Comps 060104 vQC Ankur" xfId="545" xr:uid="{00000000-0005-0000-0000-00001C020000}"/>
    <cellStyle name="D_graph synthèse des valos Circuit A_TDI1212 M&amp;M Comps 060105 Part 1" xfId="546" xr:uid="{00000000-0005-0000-0000-00001D020000}"/>
    <cellStyle name="D_graph synthèse des valos Circuit A_TDI1212 M&amp;M Comps 060105 Part 1 060121 Pankaj(inludes LionOre)" xfId="547" xr:uid="{00000000-0005-0000-0000-00001E020000}"/>
    <cellStyle name="D_graph synthèse des valos Circuit A_TDI1212 M&amp;M Comps 060105 Part II (Precious metals &amp; Coal) " xfId="548" xr:uid="{00000000-0005-0000-0000-00001F020000}"/>
    <cellStyle name="D_graph synthèse des valos Circuit A_TDI1252 M&amp;M Comps 060121 Part 1" xfId="549" xr:uid="{00000000-0005-0000-0000-000020020000}"/>
    <cellStyle name="D_graph synthèse des valos Circuit A_TDI1301 M&amp;M Comps 060125 Himanshu" xfId="550" xr:uid="{00000000-0005-0000-0000-000021020000}"/>
    <cellStyle name="D_graph synthèse des valos Circuit A_TDI1317 Steel Comps 060130 Rajesh Garg" xfId="551" xr:uid="{00000000-0005-0000-0000-000022020000}"/>
    <cellStyle name="D_graph synthèse des valos Circuit A_TDI1317 Steel Comps 060130 v Puneet" xfId="552" xr:uid="{00000000-0005-0000-0000-000023020000}"/>
    <cellStyle name="D_graph synthèse des valos Circuit A_TDI1317 Steel Comps 060201v QC Manish" xfId="553" xr:uid="{00000000-0005-0000-0000-000024020000}"/>
    <cellStyle name="D_graph synthèse des valos Circuit A_TDI1317 Steel Comps 060202 QC Anish" xfId="554" xr:uid="{00000000-0005-0000-0000-000025020000}"/>
    <cellStyle name="D_graph synthèse des valos Circuit A_TDI1317 Steel Comps 060202 QC Consolidated 060206v1" xfId="555" xr:uid="{00000000-0005-0000-0000-000026020000}"/>
    <cellStyle name="D_graph synthèse des valos Circuit A_TDI1317 Steel Comps 060202 QC Consolidated till 060204v1" xfId="556" xr:uid="{00000000-0005-0000-0000-000027020000}"/>
    <cellStyle name="D_graph synthèse des valos Circuit A_TDI1317 Steel Comps 060202 v Ainul" xfId="557" xr:uid="{00000000-0005-0000-0000-000028020000}"/>
    <cellStyle name="D_graph synthèse des valos Circuit A_TDI1317 Steel Comps 060203 vQC Ankur" xfId="558" xr:uid="{00000000-0005-0000-0000-000029020000}"/>
    <cellStyle name="D_graph synthèse des valos Circuit A_TDI1317 Steel Comps Template 060130 Nikunj" xfId="559" xr:uid="{00000000-0005-0000-0000-00002A020000}"/>
    <cellStyle name="D_graph synthèse des valos Circuit A_TDI1317 Steel Comps Template 060130 Sachin" xfId="560" xr:uid="{00000000-0005-0000-0000-00002B020000}"/>
    <cellStyle name="D_graph synthèse des valos Circuit A_TDI1317 Steel Comps Template 060131 Ashish" xfId="561" xr:uid="{00000000-0005-0000-0000-00002C020000}"/>
    <cellStyle name="D_graph synthèse des valos Circuit A_TDI1318 M&amp;M Comps 060204 Aquarius Platinum Mili" xfId="562" xr:uid="{00000000-0005-0000-0000-00002D020000}"/>
    <cellStyle name="D_graph synthèse des valos Circuit A_TDI659 Comps File Generic Media Abhas 050615" xfId="563" xr:uid="{00000000-0005-0000-0000-00002E020000}"/>
    <cellStyle name="D_M&amp;M Comps 060206 Part II (Precious &amp; Coal) 060214" xfId="564" xr:uid="{00000000-0005-0000-0000-00002F020000}"/>
    <cellStyle name="D_Market Research Comps 25 August 2005" xfId="565" xr:uid="{00000000-0005-0000-0000-000030020000}"/>
    <cellStyle name="D_Springer CCA Oct 11 JMv14" xfId="566" xr:uid="{00000000-0005-0000-0000-000031020000}"/>
    <cellStyle name="D_Springer CCA Oct 11 JMv15" xfId="567" xr:uid="{00000000-0005-0000-0000-000032020000}"/>
    <cellStyle name="D_TDI1183 Comps  051219 II Vishal2" xfId="568" xr:uid="{00000000-0005-0000-0000-000033020000}"/>
    <cellStyle name="D_TDI1183 Comps 051219 QC1 Pankaj" xfId="569" xr:uid="{00000000-0005-0000-0000-000034020000}"/>
    <cellStyle name="D_TDI1183 Comps 051219 QC1 Pankaj V1" xfId="570" xr:uid="{00000000-0005-0000-0000-000035020000}"/>
    <cellStyle name="D_TDI1183 Comps 051220 AbhasV1" xfId="571" xr:uid="{00000000-0005-0000-0000-000036020000}"/>
    <cellStyle name="D_TDI1183 Comps 051220 Ainul" xfId="572" xr:uid="{00000000-0005-0000-0000-000037020000}"/>
    <cellStyle name="D_TDI1183 Comps 051221 vQC Ankur" xfId="573" xr:uid="{00000000-0005-0000-0000-000038020000}"/>
    <cellStyle name="D_TDI1183 Comps 051222 SorabhV2" xfId="574" xr:uid="{00000000-0005-0000-0000-000039020000}"/>
    <cellStyle name="D_TDI1183 Comps 051222 SorabhV3" xfId="575" xr:uid="{00000000-0005-0000-0000-00003A020000}"/>
    <cellStyle name="D_TDI1183 M&amp;M Comps 051221 Vimal" xfId="576" xr:uid="{00000000-0005-0000-0000-00003B020000}"/>
    <cellStyle name="D_TDI1183 Media Comps 051219 Abhishek New" xfId="577" xr:uid="{00000000-0005-0000-0000-00003C020000}"/>
    <cellStyle name="D_TDI1183 Media Comps 051219 Ritesh New" xfId="578" xr:uid="{00000000-0005-0000-0000-00003D020000}"/>
    <cellStyle name="D_TDI1183 Metal &amp; Mining 051219 Anurag" xfId="579" xr:uid="{00000000-0005-0000-0000-00003E020000}"/>
    <cellStyle name="D_TDI1183 QC SUMIT Template 051222" xfId="580" xr:uid="{00000000-0005-0000-0000-00003F020000}"/>
    <cellStyle name="D_TDI1183 Template 051219  Ashish" xfId="581" xr:uid="{00000000-0005-0000-0000-000040020000}"/>
    <cellStyle name="D_TDI1183 Template 051219  Ashish QC1 Buenaventura Babneet" xfId="582" xr:uid="{00000000-0005-0000-0000-000041020000}"/>
    <cellStyle name="D_TDI1183 Template 051219 II Amit M" xfId="583" xr:uid="{00000000-0005-0000-0000-000042020000}"/>
    <cellStyle name="D_TDI1183 Template 051219 II Amit M V1" xfId="584" xr:uid="{00000000-0005-0000-0000-000043020000}"/>
    <cellStyle name="D_TDI1183 Template 051219 II Anurag" xfId="585" xr:uid="{00000000-0005-0000-0000-000044020000}"/>
    <cellStyle name="D_TDI1183 Template 051219 II Atul" xfId="586" xr:uid="{00000000-0005-0000-0000-000045020000}"/>
    <cellStyle name="D_TDI1183 Template 051219 II Celtic Qc1 Yogendra" xfId="587" xr:uid="{00000000-0005-0000-0000-000046020000}"/>
    <cellStyle name="D_TDI1183 Template 051219 II Himanshu Sahai" xfId="588" xr:uid="{00000000-0005-0000-0000-000047020000}"/>
    <cellStyle name="D_TDI1183 Template 051219 II Kamlesh" xfId="589" xr:uid="{00000000-0005-0000-0000-000048020000}"/>
    <cellStyle name="D_TDI1183 Template 051219 II Kamlesh QC1 ASSMANG, PETER HAMBRO Babneet" xfId="590" xr:uid="{00000000-0005-0000-0000-000049020000}"/>
    <cellStyle name="D_TDI1183 Template 051219 II Kamlesh QC1 MERAFE Babneet" xfId="591" xr:uid="{00000000-0005-0000-0000-00004A020000}"/>
    <cellStyle name="D_TDI1183 Template 051219 II Lalit" xfId="592" xr:uid="{00000000-0005-0000-0000-00004B020000}"/>
    <cellStyle name="D_TDI1183 Template 051219 II Mili" xfId="593" xr:uid="{00000000-0005-0000-0000-00004C020000}"/>
    <cellStyle name="D_TDI1183 Template 051219 II Nandini" xfId="594" xr:uid="{00000000-0005-0000-0000-00004D020000}"/>
    <cellStyle name="D_TDI1183 Template 051219 II Nitin New" xfId="595" xr:uid="{00000000-0005-0000-0000-00004E020000}"/>
    <cellStyle name="D_TDI1183 Template 051219 II Sachin" xfId="596" xr:uid="{00000000-0005-0000-0000-00004F020000}"/>
    <cellStyle name="D_TDI1183 Template 051219 II Vishal" xfId="597" xr:uid="{00000000-0005-0000-0000-000050020000}"/>
    <cellStyle name="D_TDI1183 Template 051219 II Vishal2" xfId="598" xr:uid="{00000000-0005-0000-0000-000051020000}"/>
    <cellStyle name="D_TDI1183 Template 051219 II Yogesh Final" xfId="599" xr:uid="{00000000-0005-0000-0000-000052020000}"/>
    <cellStyle name="D_TDI1183 Template 051219 Mukesh Revised II" xfId="600" xr:uid="{00000000-0005-0000-0000-000053020000}"/>
    <cellStyle name="D_TDI1183 Template 051219 QC1 Newcrest_Yogendra" xfId="601" xr:uid="{00000000-0005-0000-0000-000054020000}"/>
    <cellStyle name="D_TDI1183 Template 051220 II Himanshu Sahai" xfId="602" xr:uid="{00000000-0005-0000-0000-000055020000}"/>
    <cellStyle name="D_TDI1183 Template 051220 II QC1 Alcan_Yogendra" xfId="603" xr:uid="{00000000-0005-0000-0000-000056020000}"/>
    <cellStyle name="D_TDI1183 Template 051220 II QC1 Assore _Yogendra" xfId="604" xr:uid="{00000000-0005-0000-0000-000057020000}"/>
    <cellStyle name="D_TDI1183 Template 051220 II QC1 Consol_Yogendra" xfId="605" xr:uid="{00000000-0005-0000-0000-000058020000}"/>
    <cellStyle name="D_TDI1183 Template 051220 II QC1 Peabody_Yogendra" xfId="606" xr:uid="{00000000-0005-0000-0000-000059020000}"/>
    <cellStyle name="D_TDI1183 Template 051220 II QC1 Rio Tinto_Yogendra" xfId="607" xr:uid="{00000000-0005-0000-0000-00005A020000}"/>
    <cellStyle name="D_TDI1183 Template 051220 Qc1 Abhishek" xfId="608" xr:uid="{00000000-0005-0000-0000-00005B020000}"/>
    <cellStyle name="D_TDI1183 Template 051220 Qc1 Ritesh" xfId="609" xr:uid="{00000000-0005-0000-0000-00005C020000}"/>
    <cellStyle name="D_TDI1212 M&amp;M Comps 060104 Part 1 Ainul" xfId="610" xr:uid="{00000000-0005-0000-0000-00005D020000}"/>
    <cellStyle name="D_TDI1212 M&amp;M Comps 060104 Part 1 QC Anish" xfId="611" xr:uid="{00000000-0005-0000-0000-00005E020000}"/>
    <cellStyle name="D_TDI1212 M&amp;M Comps 060104 vQC Ankur" xfId="612" xr:uid="{00000000-0005-0000-0000-00005F020000}"/>
    <cellStyle name="D_TDI1212 M&amp;M Comps 060105 Part 1" xfId="613" xr:uid="{00000000-0005-0000-0000-000060020000}"/>
    <cellStyle name="D_TDI1212 M&amp;M Comps 060105 Part 1 060121 Pankaj(inludes LionOre)" xfId="614" xr:uid="{00000000-0005-0000-0000-000061020000}"/>
    <cellStyle name="D_TDI1212 M&amp;M Comps 060105 Part II (Precious metals &amp; Coal) " xfId="615" xr:uid="{00000000-0005-0000-0000-000062020000}"/>
    <cellStyle name="D_TDI1252 M&amp;M Comps 060121 Part 1" xfId="616" xr:uid="{00000000-0005-0000-0000-000063020000}"/>
    <cellStyle name="D_TDI1301 M&amp;M Comps 060125 Himanshu" xfId="617" xr:uid="{00000000-0005-0000-0000-000064020000}"/>
    <cellStyle name="D_TDI1317 Steel Comps 060130 Rajesh Garg" xfId="618" xr:uid="{00000000-0005-0000-0000-000065020000}"/>
    <cellStyle name="D_TDI1317 Steel Comps 060130 v Puneet" xfId="619" xr:uid="{00000000-0005-0000-0000-000066020000}"/>
    <cellStyle name="D_TDI1317 Steel Comps 060201v QC Manish" xfId="620" xr:uid="{00000000-0005-0000-0000-000067020000}"/>
    <cellStyle name="D_TDI1317 Steel Comps 060202 QC Anish" xfId="621" xr:uid="{00000000-0005-0000-0000-000068020000}"/>
    <cellStyle name="D_TDI1317 Steel Comps 060202 QC Consolidated 060206v1" xfId="622" xr:uid="{00000000-0005-0000-0000-000069020000}"/>
    <cellStyle name="D_TDI1317 Steel Comps 060202 QC Consolidated till 060204v1" xfId="623" xr:uid="{00000000-0005-0000-0000-00006A020000}"/>
    <cellStyle name="D_TDI1317 Steel Comps 060202 v Ainul" xfId="624" xr:uid="{00000000-0005-0000-0000-00006B020000}"/>
    <cellStyle name="D_TDI1317 Steel Comps 060203 vQC Ankur" xfId="625" xr:uid="{00000000-0005-0000-0000-00006C020000}"/>
    <cellStyle name="D_TDI1317 Steel Comps Template 060130 Nikunj" xfId="626" xr:uid="{00000000-0005-0000-0000-00006D020000}"/>
    <cellStyle name="D_TDI1317 Steel Comps Template 060130 Sachin" xfId="627" xr:uid="{00000000-0005-0000-0000-00006E020000}"/>
    <cellStyle name="D_TDI1317 Steel Comps Template 060131 Ashish" xfId="628" xr:uid="{00000000-0005-0000-0000-00006F020000}"/>
    <cellStyle name="D_TDI1318 M&amp;M Comps 060204 Aquarius Platinum Mili" xfId="629" xr:uid="{00000000-0005-0000-0000-000070020000}"/>
    <cellStyle name="D_TDI659 Comps File Generic Media Abhas 050615" xfId="630" xr:uid="{00000000-0005-0000-0000-000071020000}"/>
    <cellStyle name="Dash" xfId="631" xr:uid="{00000000-0005-0000-0000-000072020000}"/>
    <cellStyle name="Date" xfId="632" xr:uid="{00000000-0005-0000-0000-000073020000}"/>
    <cellStyle name="Date Aligned" xfId="633" xr:uid="{00000000-0005-0000-0000-000074020000}"/>
    <cellStyle name="Date Aligned*" xfId="634" xr:uid="{00000000-0005-0000-0000-000075020000}"/>
    <cellStyle name="Date Aligned_6bny1016" xfId="635" xr:uid="{00000000-0005-0000-0000-000076020000}"/>
    <cellStyle name="Date m/d/yy" xfId="636" xr:uid="{00000000-0005-0000-0000-000077020000}"/>
    <cellStyle name="Date_4cny0981.xls Chart 11" xfId="637" xr:uid="{00000000-0005-0000-0000-000078020000}"/>
    <cellStyle name="date2" xfId="638" xr:uid="{00000000-0005-0000-0000-000079020000}"/>
    <cellStyle name="Day-Mon-Yr" xfId="639" xr:uid="{00000000-0005-0000-0000-00007A020000}"/>
    <cellStyle name="days" xfId="640" xr:uid="{00000000-0005-0000-0000-00007B020000}"/>
    <cellStyle name="Decimal Number" xfId="641" xr:uid="{00000000-0005-0000-0000-00007C020000}"/>
    <cellStyle name="Déprotégé" xfId="642" xr:uid="{00000000-0005-0000-0000-00007D020000}"/>
    <cellStyle name="dollar" xfId="643" xr:uid="{00000000-0005-0000-0000-00007E020000}"/>
    <cellStyle name="Dotted Line" xfId="644" xr:uid="{00000000-0005-0000-0000-00007F020000}"/>
    <cellStyle name="Double Accounting" xfId="645" xr:uid="{00000000-0005-0000-0000-000080020000}"/>
    <cellStyle name="Duizenden" xfId="646" xr:uid="{00000000-0005-0000-0000-000081020000}"/>
    <cellStyle name="dunkel" xfId="647" xr:uid="{00000000-0005-0000-0000-000082020000}"/>
    <cellStyle name="Equity research inputs" xfId="648" xr:uid="{00000000-0005-0000-0000-000083020000}"/>
    <cellStyle name="Euro" xfId="649" xr:uid="{00000000-0005-0000-0000-000084020000}"/>
    <cellStyle name="Euro-" xfId="650" xr:uid="{00000000-0005-0000-0000-000085020000}"/>
    <cellStyle name="Euro_Adam_Comps" xfId="651" xr:uid="{00000000-0005-0000-0000-000086020000}"/>
    <cellStyle name="ex_ratio" xfId="652" xr:uid="{00000000-0005-0000-0000-000087020000}"/>
    <cellStyle name="F2" xfId="653" xr:uid="{00000000-0005-0000-0000-000088020000}"/>
    <cellStyle name="F3" xfId="654" xr:uid="{00000000-0005-0000-0000-000089020000}"/>
    <cellStyle name="F4" xfId="655" xr:uid="{00000000-0005-0000-0000-00008A020000}"/>
    <cellStyle name="F5" xfId="656" xr:uid="{00000000-0005-0000-0000-00008B020000}"/>
    <cellStyle name="F6" xfId="657" xr:uid="{00000000-0005-0000-0000-00008C020000}"/>
    <cellStyle name="F7" xfId="658" xr:uid="{00000000-0005-0000-0000-00008D020000}"/>
    <cellStyle name="F8" xfId="659" xr:uid="{00000000-0005-0000-0000-00008E020000}"/>
    <cellStyle name="fact" xfId="660" xr:uid="{00000000-0005-0000-0000-00008F020000}"/>
    <cellStyle name="Fig" xfId="661" xr:uid="{00000000-0005-0000-0000-000090020000}"/>
    <cellStyle name="Fixed" xfId="662" xr:uid="{00000000-0005-0000-0000-000091020000}"/>
    <cellStyle name="Fixed [0]" xfId="663" xr:uid="{00000000-0005-0000-0000-000092020000}"/>
    <cellStyle name="Font_Actual" xfId="664" xr:uid="{00000000-0005-0000-0000-000093020000}"/>
    <cellStyle name="Footnote" xfId="665" xr:uid="{00000000-0005-0000-0000-000094020000}"/>
    <cellStyle name="Form_Std" xfId="666" xr:uid="{00000000-0005-0000-0000-000095020000}"/>
    <cellStyle name="Gilsans" xfId="667" xr:uid="{00000000-0005-0000-0000-000096020000}"/>
    <cellStyle name="Gilsansl" xfId="668" xr:uid="{00000000-0005-0000-0000-000097020000}"/>
    <cellStyle name="Grey" xfId="669" xr:uid="{00000000-0005-0000-0000-000098020000}"/>
    <cellStyle name="hard no" xfId="670" xr:uid="{00000000-0005-0000-0000-000099020000}"/>
    <cellStyle name="hard no." xfId="671" xr:uid="{00000000-0005-0000-0000-00009A020000}"/>
    <cellStyle name="Hard Percent" xfId="672" xr:uid="{00000000-0005-0000-0000-00009B020000}"/>
    <cellStyle name="Head" xfId="673" xr:uid="{00000000-0005-0000-0000-00009C020000}"/>
    <cellStyle name="Header" xfId="674" xr:uid="{00000000-0005-0000-0000-00009D020000}"/>
    <cellStyle name="Header1" xfId="675" xr:uid="{00000000-0005-0000-0000-00009E020000}"/>
    <cellStyle name="Header2" xfId="676" xr:uid="{00000000-0005-0000-0000-00009F020000}"/>
    <cellStyle name="Heading 1 2" xfId="677" xr:uid="{00000000-0005-0000-0000-0000A0020000}"/>
    <cellStyle name="Heading 2 2" xfId="678" xr:uid="{00000000-0005-0000-0000-0000A1020000}"/>
    <cellStyle name="Heading 3 2" xfId="679" xr:uid="{00000000-0005-0000-0000-0000A2020000}"/>
    <cellStyle name="Heading1" xfId="680" xr:uid="{00000000-0005-0000-0000-0000A3020000}"/>
    <cellStyle name="Heading2" xfId="681" xr:uid="{00000000-0005-0000-0000-0000A4020000}"/>
    <cellStyle name="Headings" xfId="682" xr:uid="{00000000-0005-0000-0000-0000A5020000}"/>
    <cellStyle name="hell" xfId="683" xr:uid="{00000000-0005-0000-0000-0000A6020000}"/>
    <cellStyle name="Hidden" xfId="684" xr:uid="{00000000-0005-0000-0000-0000A7020000}"/>
    <cellStyle name="Highlight" xfId="685" xr:uid="{00000000-0005-0000-0000-0000A8020000}"/>
    <cellStyle name="Hyperlink 2" xfId="686" xr:uid="{00000000-0005-0000-0000-0000AA020000}"/>
    <cellStyle name="Input [yellow]" xfId="687" xr:uid="{00000000-0005-0000-0000-0000AB020000}"/>
    <cellStyle name="input 10" xfId="688" xr:uid="{00000000-0005-0000-0000-0000AC020000}"/>
    <cellStyle name="input 11" xfId="689" xr:uid="{00000000-0005-0000-0000-0000AD020000}"/>
    <cellStyle name="input 12" xfId="690" xr:uid="{00000000-0005-0000-0000-0000AE020000}"/>
    <cellStyle name="input 13" xfId="691" xr:uid="{00000000-0005-0000-0000-0000AF020000}"/>
    <cellStyle name="input 14" xfId="692" xr:uid="{00000000-0005-0000-0000-0000B0020000}"/>
    <cellStyle name="input 15" xfId="693" xr:uid="{00000000-0005-0000-0000-0000B1020000}"/>
    <cellStyle name="input 16" xfId="694" xr:uid="{00000000-0005-0000-0000-0000B2020000}"/>
    <cellStyle name="input 17" xfId="695" xr:uid="{00000000-0005-0000-0000-0000B3020000}"/>
    <cellStyle name="input 2" xfId="696" xr:uid="{00000000-0005-0000-0000-0000B4020000}"/>
    <cellStyle name="input 3" xfId="697" xr:uid="{00000000-0005-0000-0000-0000B5020000}"/>
    <cellStyle name="input 4" xfId="698" xr:uid="{00000000-0005-0000-0000-0000B6020000}"/>
    <cellStyle name="input 5" xfId="699" xr:uid="{00000000-0005-0000-0000-0000B7020000}"/>
    <cellStyle name="input 6" xfId="700" xr:uid="{00000000-0005-0000-0000-0000B8020000}"/>
    <cellStyle name="input 7" xfId="701" xr:uid="{00000000-0005-0000-0000-0000B9020000}"/>
    <cellStyle name="input 8" xfId="702" xr:uid="{00000000-0005-0000-0000-0000BA020000}"/>
    <cellStyle name="input 9" xfId="703" xr:uid="{00000000-0005-0000-0000-0000BB020000}"/>
    <cellStyle name="Input1" xfId="704" xr:uid="{00000000-0005-0000-0000-0000BC020000}"/>
    <cellStyle name="InputBlueFont" xfId="705" xr:uid="{00000000-0005-0000-0000-0000BD020000}"/>
    <cellStyle name="inputs" xfId="706" xr:uid="{00000000-0005-0000-0000-0000BE020000}"/>
    <cellStyle name="Item" xfId="707" xr:uid="{00000000-0005-0000-0000-0000BF020000}"/>
    <cellStyle name="ItemTypeClass" xfId="708" xr:uid="{00000000-0005-0000-0000-0000C0020000}"/>
    <cellStyle name="Komma [0]_Blad1" xfId="709" xr:uid="{00000000-0005-0000-0000-0000C1020000}"/>
    <cellStyle name="Komma_Blad1" xfId="710" xr:uid="{00000000-0005-0000-0000-0000C2020000}"/>
    <cellStyle name="Left Line" xfId="711" xr:uid="{00000000-0005-0000-0000-0000C3020000}"/>
    <cellStyle name="Leftborder" xfId="712" xr:uid="{00000000-0005-0000-0000-0000C4020000}"/>
    <cellStyle name="Lien hypertexte" xfId="713" xr:uid="{00000000-0005-0000-0000-0000C5020000}"/>
    <cellStyle name="Lien hypertexte visité_Projet Epices - BP 020604 v3" xfId="714" xr:uid="{00000000-0005-0000-0000-0000C6020000}"/>
    <cellStyle name="Lien hypertexte_Profils Anglais" xfId="715" xr:uid="{00000000-0005-0000-0000-0000C7020000}"/>
    <cellStyle name="ligne_detail" xfId="716" xr:uid="{00000000-0005-0000-0000-0000C8020000}"/>
    <cellStyle name="m" xfId="717" xr:uid="{00000000-0005-0000-0000-0000C9020000}"/>
    <cellStyle name="m_JNY model 6-6-2006" xfId="718" xr:uid="{00000000-0005-0000-0000-0000CA020000}"/>
    <cellStyle name="m_MMC trading comp" xfId="719" xr:uid="{00000000-0005-0000-0000-0000CB020000}"/>
    <cellStyle name="m_Project World Series Financials" xfId="720" xr:uid="{00000000-0005-0000-0000-0000CC020000}"/>
    <cellStyle name="m_WACC" xfId="721" xr:uid="{00000000-0005-0000-0000-0000CD020000}"/>
    <cellStyle name="MacroCode" xfId="722" xr:uid="{00000000-0005-0000-0000-0000CE020000}"/>
    <cellStyle name="Magic" xfId="723" xr:uid="{00000000-0005-0000-0000-0000CF020000}"/>
    <cellStyle name="Major item" xfId="724" xr:uid="{00000000-0005-0000-0000-0000D0020000}"/>
    <cellStyle name="Map Distance" xfId="725" xr:uid="{00000000-0005-0000-0000-0000D1020000}"/>
    <cellStyle name="Map Labels" xfId="726" xr:uid="{00000000-0005-0000-0000-0000D2020000}"/>
    <cellStyle name="Map Legend" xfId="727" xr:uid="{00000000-0005-0000-0000-0000D3020000}"/>
    <cellStyle name="Map Title" xfId="728" xr:uid="{00000000-0005-0000-0000-0000D4020000}"/>
    <cellStyle name="MF" xfId="729" xr:uid="{00000000-0005-0000-0000-0000D5020000}"/>
    <cellStyle name="Mike" xfId="730" xr:uid="{00000000-0005-0000-0000-0000D6020000}"/>
    <cellStyle name="Millares [0]_Fondos Propios" xfId="731" xr:uid="{00000000-0005-0000-0000-0000D7020000}"/>
    <cellStyle name="Millares_Fondos Propios" xfId="732" xr:uid="{00000000-0005-0000-0000-0000D8020000}"/>
    <cellStyle name="Milliers [0]_Détails_IDA" xfId="733" xr:uid="{00000000-0005-0000-0000-0000D9020000}"/>
    <cellStyle name="Milliers_Cloture definitive Wanadoo dec 20031" xfId="734" xr:uid="{00000000-0005-0000-0000-0000DA020000}"/>
    <cellStyle name="millions" xfId="735" xr:uid="{00000000-0005-0000-0000-0000DB020000}"/>
    <cellStyle name="millions ($)" xfId="736" xr:uid="{00000000-0005-0000-0000-0000DC020000}"/>
    <cellStyle name="millions (no dec.)" xfId="737" xr:uid="{00000000-0005-0000-0000-0000DD020000}"/>
    <cellStyle name="millions_EutelSat.(2.18.01)" xfId="738" xr:uid="{00000000-0005-0000-0000-0000DE020000}"/>
    <cellStyle name="Mine" xfId="739" xr:uid="{00000000-0005-0000-0000-0000DF020000}"/>
    <cellStyle name="mkt.dat" xfId="740" xr:uid="{00000000-0005-0000-0000-0000E0020000}"/>
    <cellStyle name="Moneda [0]_Fondos Propios" xfId="741" xr:uid="{00000000-0005-0000-0000-0000E1020000}"/>
    <cellStyle name="Moneda_Fondos Propios" xfId="742" xr:uid="{00000000-0005-0000-0000-0000E2020000}"/>
    <cellStyle name="Monétaire [0]_Détails_IDA" xfId="743" xr:uid="{00000000-0005-0000-0000-0000E3020000}"/>
    <cellStyle name="Monétaire_Détails_IDA" xfId="744" xr:uid="{00000000-0005-0000-0000-0000E4020000}"/>
    <cellStyle name="Mon-Yr" xfId="745" xr:uid="{00000000-0005-0000-0000-0000E5020000}"/>
    <cellStyle name="mult" xfId="746" xr:uid="{00000000-0005-0000-0000-0000E6020000}"/>
    <cellStyle name="Multiple" xfId="747" xr:uid="{00000000-0005-0000-0000-0000E7020000}"/>
    <cellStyle name="MultipleBelow" xfId="748" xr:uid="{00000000-0005-0000-0000-0000E8020000}"/>
    <cellStyle name="Multiples" xfId="749" xr:uid="{00000000-0005-0000-0000-0000E9020000}"/>
    <cellStyle name="n" xfId="750" xr:uid="{00000000-0005-0000-0000-0000EA020000}"/>
    <cellStyle name="N/A" xfId="751" xr:uid="{00000000-0005-0000-0000-0000EB020000}"/>
    <cellStyle name="NO" xfId="752" xr:uid="{00000000-0005-0000-0000-0000EC020000}"/>
    <cellStyle name="no dec" xfId="753" xr:uid="{00000000-0005-0000-0000-0000ED020000}"/>
    <cellStyle name="nomral" xfId="754" xr:uid="{00000000-0005-0000-0000-0000EE020000}"/>
    <cellStyle name="norma" xfId="755" xr:uid="{00000000-0005-0000-0000-0000EF020000}"/>
    <cellStyle name="normail" xfId="756" xr:uid="{00000000-0005-0000-0000-0000F0020000}"/>
    <cellStyle name="normal'" xfId="757" xr:uid="{00000000-0005-0000-0000-0000F2020000}"/>
    <cellStyle name="Normal - Style1" xfId="758" xr:uid="{00000000-0005-0000-0000-0000F3020000}"/>
    <cellStyle name="Normal [2]" xfId="759" xr:uid="{00000000-0005-0000-0000-0000F4020000}"/>
    <cellStyle name="Normal 10" xfId="760" xr:uid="{00000000-0005-0000-0000-0000F5020000}"/>
    <cellStyle name="Normal 11" xfId="761" xr:uid="{00000000-0005-0000-0000-0000F6020000}"/>
    <cellStyle name="Normal 12" xfId="762" xr:uid="{00000000-0005-0000-0000-0000F7020000}"/>
    <cellStyle name="Normal 13" xfId="763" xr:uid="{00000000-0005-0000-0000-0000F8020000}"/>
    <cellStyle name="Normal 14" xfId="764" xr:uid="{00000000-0005-0000-0000-0000F9020000}"/>
    <cellStyle name="Normal 15" xfId="765" xr:uid="{00000000-0005-0000-0000-0000FA020000}"/>
    <cellStyle name="Normal 16" xfId="766" xr:uid="{00000000-0005-0000-0000-0000FB020000}"/>
    <cellStyle name="Normal 17" xfId="767" xr:uid="{00000000-0005-0000-0000-0000FC020000}"/>
    <cellStyle name="Normal 2" xfId="1" xr:uid="{00000000-0005-0000-0000-0000FD020000}"/>
    <cellStyle name="Normal 3" xfId="4" xr:uid="{00000000-0005-0000-0000-0000FE020000}"/>
    <cellStyle name="Normal 3 2" xfId="3" xr:uid="{00000000-0005-0000-0000-0000FF020000}"/>
    <cellStyle name="Normal 4" xfId="768" xr:uid="{00000000-0005-0000-0000-000000030000}"/>
    <cellStyle name="Normal 5" xfId="769" xr:uid="{00000000-0005-0000-0000-000001030000}"/>
    <cellStyle name="Normal 6" xfId="770" xr:uid="{00000000-0005-0000-0000-000002030000}"/>
    <cellStyle name="Normal 7" xfId="771" xr:uid="{00000000-0005-0000-0000-000003030000}"/>
    <cellStyle name="Normal 8" xfId="772" xr:uid="{00000000-0005-0000-0000-000004030000}"/>
    <cellStyle name="Normal 9" xfId="773" xr:uid="{00000000-0005-0000-0000-000005030000}"/>
    <cellStyle name="normal3" xfId="774" xr:uid="{00000000-0005-0000-0000-000006030000}"/>
    <cellStyle name="Note 2" xfId="775" xr:uid="{00000000-0005-0000-0000-000007030000}"/>
    <cellStyle name="Notes" xfId="776" xr:uid="{00000000-0005-0000-0000-000008030000}"/>
    <cellStyle name="nromal" xfId="777" xr:uid="{00000000-0005-0000-0000-000009030000}"/>
    <cellStyle name="Num_Date" xfId="778" xr:uid="{00000000-0005-0000-0000-00000A030000}"/>
    <cellStyle name="number" xfId="779" xr:uid="{00000000-0005-0000-0000-00000B030000}"/>
    <cellStyle name="Numbers" xfId="780" xr:uid="{00000000-0005-0000-0000-00000C030000}"/>
    <cellStyle name="Numbers - Bold - Italic" xfId="781" xr:uid="{00000000-0005-0000-0000-00000D030000}"/>
    <cellStyle name="of" xfId="782" xr:uid="{00000000-0005-0000-0000-00000E030000}"/>
    <cellStyle name="-Ombrage Jaune" xfId="783" xr:uid="{00000000-0005-0000-0000-00000F030000}"/>
    <cellStyle name="one dec_ten" xfId="784" xr:uid="{00000000-0005-0000-0000-000010030000}"/>
    <cellStyle name="one_dec" xfId="785" xr:uid="{00000000-0005-0000-0000-000011030000}"/>
    <cellStyle name="OnOff" xfId="786" xr:uid="{00000000-0005-0000-0000-000012030000}"/>
    <cellStyle name="Output Amounts" xfId="787" xr:uid="{00000000-0005-0000-0000-000013030000}"/>
    <cellStyle name="Output Column Headings" xfId="788" xr:uid="{00000000-0005-0000-0000-000014030000}"/>
    <cellStyle name="Output Line Items" xfId="789" xr:uid="{00000000-0005-0000-0000-000015030000}"/>
    <cellStyle name="Output Report Heading" xfId="790" xr:uid="{00000000-0005-0000-0000-000016030000}"/>
    <cellStyle name="Output Report Title" xfId="791" xr:uid="{00000000-0005-0000-0000-000017030000}"/>
    <cellStyle name="Output1" xfId="792" xr:uid="{00000000-0005-0000-0000-000018030000}"/>
    <cellStyle name="p" xfId="793" xr:uid="{00000000-0005-0000-0000-000019030000}"/>
    <cellStyle name="p_6bny1016" xfId="794" xr:uid="{00000000-0005-0000-0000-00001A030000}"/>
    <cellStyle name="p_WACC" xfId="795" xr:uid="{00000000-0005-0000-0000-00001B030000}"/>
    <cellStyle name="Page Heading" xfId="796" xr:uid="{00000000-0005-0000-0000-00001C030000}"/>
    <cellStyle name="Page Number" xfId="797" xr:uid="{00000000-0005-0000-0000-00001D030000}"/>
    <cellStyle name="parité" xfId="798" xr:uid="{00000000-0005-0000-0000-00001E030000}"/>
    <cellStyle name="Pattern_Forecast" xfId="799" xr:uid="{00000000-0005-0000-0000-00001F030000}"/>
    <cellStyle name="pb_table_format_total" xfId="800" xr:uid="{00000000-0005-0000-0000-000020030000}"/>
    <cellStyle name="pcent" xfId="801" xr:uid="{00000000-0005-0000-0000-000021030000}"/>
    <cellStyle name="Per aandeel" xfId="802" xr:uid="{00000000-0005-0000-0000-000022030000}"/>
    <cellStyle name="percemt" xfId="803" xr:uid="{00000000-0005-0000-0000-000023030000}"/>
    <cellStyle name="Percent [2]" xfId="804" xr:uid="{00000000-0005-0000-0000-000024030000}"/>
    <cellStyle name="Percent 10" xfId="805" xr:uid="{00000000-0005-0000-0000-000025030000}"/>
    <cellStyle name="Percent 11" xfId="806" xr:uid="{00000000-0005-0000-0000-000026030000}"/>
    <cellStyle name="Percent 12" xfId="807" xr:uid="{00000000-0005-0000-0000-000027030000}"/>
    <cellStyle name="Percent 13" xfId="808" xr:uid="{00000000-0005-0000-0000-000028030000}"/>
    <cellStyle name="Percent 14" xfId="809" xr:uid="{00000000-0005-0000-0000-000029030000}"/>
    <cellStyle name="Percent 15" xfId="810" xr:uid="{00000000-0005-0000-0000-00002A030000}"/>
    <cellStyle name="Percent 16" xfId="811" xr:uid="{00000000-0005-0000-0000-00002B030000}"/>
    <cellStyle name="Percent 17" xfId="812" xr:uid="{00000000-0005-0000-0000-00002C030000}"/>
    <cellStyle name="Percent 2" xfId="813" xr:uid="{00000000-0005-0000-0000-00002D030000}"/>
    <cellStyle name="Percent 3" xfId="814" xr:uid="{00000000-0005-0000-0000-00002E030000}"/>
    <cellStyle name="Percent 4" xfId="815" xr:uid="{00000000-0005-0000-0000-00002F030000}"/>
    <cellStyle name="Percent 5" xfId="816" xr:uid="{00000000-0005-0000-0000-000030030000}"/>
    <cellStyle name="Percent 6" xfId="817" xr:uid="{00000000-0005-0000-0000-000031030000}"/>
    <cellStyle name="Percent 7" xfId="818" xr:uid="{00000000-0005-0000-0000-000032030000}"/>
    <cellStyle name="Percent 8" xfId="819" xr:uid="{00000000-0005-0000-0000-000033030000}"/>
    <cellStyle name="Percent 9" xfId="820" xr:uid="{00000000-0005-0000-0000-000034030000}"/>
    <cellStyle name="Percent Decimal" xfId="821" xr:uid="{00000000-0005-0000-0000-000035030000}"/>
    <cellStyle name="PercentChange" xfId="822" xr:uid="{00000000-0005-0000-0000-000036030000}"/>
    <cellStyle name="percnet" xfId="823" xr:uid="{00000000-0005-0000-0000-000037030000}"/>
    <cellStyle name="Pound" xfId="824" xr:uid="{00000000-0005-0000-0000-000038030000}"/>
    <cellStyle name="prcie" xfId="825" xr:uid="{00000000-0005-0000-0000-000039030000}"/>
    <cellStyle name="Price" xfId="826" xr:uid="{00000000-0005-0000-0000-00003A030000}"/>
    <cellStyle name="Procenten" xfId="827" xr:uid="{00000000-0005-0000-0000-00003B030000}"/>
    <cellStyle name="Procenten estimate" xfId="828" xr:uid="{00000000-0005-0000-0000-00003C030000}"/>
    <cellStyle name="Procenten_EMI" xfId="829" xr:uid="{00000000-0005-0000-0000-00003D030000}"/>
    <cellStyle name="PSChar" xfId="830" xr:uid="{00000000-0005-0000-0000-00003E030000}"/>
    <cellStyle name="PSDate" xfId="831" xr:uid="{00000000-0005-0000-0000-00003F030000}"/>
    <cellStyle name="PSDec" xfId="832" xr:uid="{00000000-0005-0000-0000-000040030000}"/>
    <cellStyle name="PSHeading" xfId="833" xr:uid="{00000000-0005-0000-0000-000041030000}"/>
    <cellStyle name="PSInt" xfId="834" xr:uid="{00000000-0005-0000-0000-000042030000}"/>
    <cellStyle name="PSSpacer" xfId="835" xr:uid="{00000000-0005-0000-0000-000043030000}"/>
    <cellStyle name="Ratio" xfId="836" xr:uid="{00000000-0005-0000-0000-000044030000}"/>
    <cellStyle name="Red" xfId="837" xr:uid="{00000000-0005-0000-0000-000045030000}"/>
    <cellStyle name="Red Text" xfId="838" xr:uid="{00000000-0005-0000-0000-000046030000}"/>
    <cellStyle name="rod" xfId="839" xr:uid="{00000000-0005-0000-0000-000047030000}"/>
    <cellStyle name="RowHeader" xfId="840" xr:uid="{00000000-0005-0000-0000-000048030000}"/>
    <cellStyle name="s" xfId="841" xr:uid="{00000000-0005-0000-0000-000049030000}"/>
    <cellStyle name="S%" xfId="842" xr:uid="{00000000-0005-0000-0000-00004A030000}"/>
    <cellStyle name="SComment" xfId="843" xr:uid="{00000000-0005-0000-0000-00004B030000}"/>
    <cellStyle name="ScripFactor" xfId="844" xr:uid="{00000000-0005-0000-0000-00004C030000}"/>
    <cellStyle name="SectionHeading" xfId="845" xr:uid="{00000000-0005-0000-0000-00004D030000}"/>
    <cellStyle name="Separador de milhares [0]_Assumption" xfId="846" xr:uid="{00000000-0005-0000-0000-00004E030000}"/>
    <cellStyle name="SFig" xfId="847" xr:uid="{00000000-0005-0000-0000-00004F030000}"/>
    <cellStyle name="Sg%" xfId="848" xr:uid="{00000000-0005-0000-0000-000050030000}"/>
    <cellStyle name="share" xfId="849" xr:uid="{00000000-0005-0000-0000-000051030000}"/>
    <cellStyle name="SheetSubtitle1" xfId="850" xr:uid="{00000000-0005-0000-0000-000052030000}"/>
    <cellStyle name="SheetSubtitle2" xfId="851" xr:uid="{00000000-0005-0000-0000-000053030000}"/>
    <cellStyle name="SheetSubtitle3" xfId="852" xr:uid="{00000000-0005-0000-0000-000054030000}"/>
    <cellStyle name="SheetSubtitle3a" xfId="853" xr:uid="{00000000-0005-0000-0000-000055030000}"/>
    <cellStyle name="SheetSubtitle4" xfId="854" xr:uid="{00000000-0005-0000-0000-000056030000}"/>
    <cellStyle name="SheetSubtitle4a" xfId="855" xr:uid="{00000000-0005-0000-0000-000057030000}"/>
    <cellStyle name="SheetSubtitle5" xfId="856" xr:uid="{00000000-0005-0000-0000-000058030000}"/>
    <cellStyle name="SheetTitle" xfId="857" xr:uid="{00000000-0005-0000-0000-000059030000}"/>
    <cellStyle name="SI%" xfId="858" xr:uid="{00000000-0005-0000-0000-00005A030000}"/>
    <cellStyle name="Single Accounting" xfId="859" xr:uid="{00000000-0005-0000-0000-00005B030000}"/>
    <cellStyle name="Sname" xfId="860" xr:uid="{00000000-0005-0000-0000-00005C030000}"/>
    <cellStyle name="Source" xfId="861" xr:uid="{00000000-0005-0000-0000-00005D030000}"/>
    <cellStyle name="Sous-Titre" xfId="862" xr:uid="{00000000-0005-0000-0000-00005E030000}"/>
    <cellStyle name="SPerc" xfId="863" xr:uid="{00000000-0005-0000-0000-00005F030000}"/>
    <cellStyle name="Standaard_Blad1" xfId="864" xr:uid="{00000000-0005-0000-0000-000060030000}"/>
    <cellStyle name="Stitle" xfId="865" xr:uid="{00000000-0005-0000-0000-000061030000}"/>
    <cellStyle name="Ston" xfId="866" xr:uid="{00000000-0005-0000-0000-000062030000}"/>
    <cellStyle name="Style 1" xfId="867" xr:uid="{00000000-0005-0000-0000-000063030000}"/>
    <cellStyle name="Style 2" xfId="868" xr:uid="{00000000-0005-0000-0000-000064030000}"/>
    <cellStyle name="Style 21" xfId="869" xr:uid="{00000000-0005-0000-0000-000065030000}"/>
    <cellStyle name="Style 22" xfId="870" xr:uid="{00000000-0005-0000-0000-000066030000}"/>
    <cellStyle name="Style 23" xfId="871" xr:uid="{00000000-0005-0000-0000-000067030000}"/>
    <cellStyle name="Style 24" xfId="872" xr:uid="{00000000-0005-0000-0000-000068030000}"/>
    <cellStyle name="Style 25" xfId="873" xr:uid="{00000000-0005-0000-0000-000069030000}"/>
    <cellStyle name="Style 26" xfId="874" xr:uid="{00000000-0005-0000-0000-00006A030000}"/>
    <cellStyle name="Style 27" xfId="875" xr:uid="{00000000-0005-0000-0000-00006B030000}"/>
    <cellStyle name="Style 28" xfId="876" xr:uid="{00000000-0005-0000-0000-00006C030000}"/>
    <cellStyle name="Style 3" xfId="877" xr:uid="{00000000-0005-0000-0000-00006D030000}"/>
    <cellStyle name="Style 4" xfId="878" xr:uid="{00000000-0005-0000-0000-00006E030000}"/>
    <cellStyle name="Style 5" xfId="879" xr:uid="{00000000-0005-0000-0000-00006F030000}"/>
    <cellStyle name="Style 6" xfId="880" xr:uid="{00000000-0005-0000-0000-000070030000}"/>
    <cellStyle name="Style 7" xfId="881" xr:uid="{00000000-0005-0000-0000-000071030000}"/>
    <cellStyle name="style1" xfId="882" xr:uid="{00000000-0005-0000-0000-000072030000}"/>
    <cellStyle name="style2" xfId="883" xr:uid="{00000000-0005-0000-0000-000073030000}"/>
    <cellStyle name="subtotals" xfId="884" xr:uid="{00000000-0005-0000-0000-000074030000}"/>
    <cellStyle name="Sx" xfId="885" xr:uid="{00000000-0005-0000-0000-000075030000}"/>
    <cellStyle name="Table Head" xfId="886" xr:uid="{00000000-0005-0000-0000-000076030000}"/>
    <cellStyle name="Table Head Aligned" xfId="887" xr:uid="{00000000-0005-0000-0000-000077030000}"/>
    <cellStyle name="Table Head Blue" xfId="888" xr:uid="{00000000-0005-0000-0000-000078030000}"/>
    <cellStyle name="Table Head Green" xfId="889" xr:uid="{00000000-0005-0000-0000-000079030000}"/>
    <cellStyle name="Table Sub Head" xfId="890" xr:uid="{00000000-0005-0000-0000-00007A030000}"/>
    <cellStyle name="Table Title" xfId="891" xr:uid="{00000000-0005-0000-0000-00007B030000}"/>
    <cellStyle name="Table Units" xfId="892" xr:uid="{00000000-0005-0000-0000-00007C030000}"/>
    <cellStyle name="-Têtes de colonnes" xfId="893" xr:uid="{00000000-0005-0000-0000-00007D030000}"/>
    <cellStyle name="þ´Ì_x0010__x000c__x0010__x0009_à_x000c__x0003__x0009_ß_x0007_ÜÉ_x0009__x0007__x0001__x0001_" xfId="894" xr:uid="{00000000-0005-0000-0000-00007E030000}"/>
    <cellStyle name="Theirs" xfId="895" xr:uid="{00000000-0005-0000-0000-00007F030000}"/>
    <cellStyle name="Times 10" xfId="896" xr:uid="{00000000-0005-0000-0000-000080030000}"/>
    <cellStyle name="Times 12" xfId="897" xr:uid="{00000000-0005-0000-0000-000081030000}"/>
    <cellStyle name="Times New Roman" xfId="898" xr:uid="{00000000-0005-0000-0000-000082030000}"/>
    <cellStyle name="Title 2" xfId="899" xr:uid="{00000000-0005-0000-0000-000083030000}"/>
    <cellStyle name="Titles" xfId="900" xr:uid="{00000000-0005-0000-0000-000084030000}"/>
    <cellStyle name="Titre" xfId="901" xr:uid="{00000000-0005-0000-0000-000085030000}"/>
    <cellStyle name="Tons" xfId="902" xr:uid="{00000000-0005-0000-0000-000086030000}"/>
    <cellStyle name="TopGrey" xfId="903" xr:uid="{00000000-0005-0000-0000-000087030000}"/>
    <cellStyle name="Total 2" xfId="904" xr:uid="{00000000-0005-0000-0000-000088030000}"/>
    <cellStyle name="TR_InputData" xfId="905" xr:uid="{00000000-0005-0000-0000-000089030000}"/>
    <cellStyle name="TR_OutputData2" xfId="906" xr:uid="{00000000-0005-0000-0000-00008A030000}"/>
    <cellStyle name="TR_Title1" xfId="907" xr:uid="{00000000-0005-0000-0000-00008B030000}"/>
    <cellStyle name="TR_Title2" xfId="984" xr:uid="{00000000-0005-0000-0000-00008C030000}"/>
    <cellStyle name="TR_Title3" xfId="983" xr:uid="{00000000-0005-0000-0000-00008D030000}"/>
    <cellStyle name="-Trait bleu Bas" xfId="908" xr:uid="{00000000-0005-0000-0000-00008E030000}"/>
    <cellStyle name="twelv_dollar_no dec_elev" xfId="909" xr:uid="{00000000-0005-0000-0000-00008F030000}"/>
    <cellStyle name="twelve_no dec_elev" xfId="910" xr:uid="{00000000-0005-0000-0000-000090030000}"/>
    <cellStyle name="Under Line" xfId="911" xr:uid="{00000000-0005-0000-0000-000091030000}"/>
    <cellStyle name="Val_Std" xfId="912" xr:uid="{00000000-0005-0000-0000-000092030000}"/>
    <cellStyle name="Valuta [0]_Blad1" xfId="913" xr:uid="{00000000-0005-0000-0000-000093030000}"/>
    <cellStyle name="Valuta_Blad1" xfId="914" xr:uid="{00000000-0005-0000-0000-000094030000}"/>
    <cellStyle name="Währung_Berechnung_Synergien_BH_Model_BH_2K07_Book8_AccDilv2.xls Chart 1" xfId="915" xr:uid="{00000000-0005-0000-0000-000095030000}"/>
    <cellStyle name="wild guess" xfId="916" xr:uid="{00000000-0005-0000-0000-000096030000}"/>
    <cellStyle name="Wildguess" xfId="917" xr:uid="{00000000-0005-0000-0000-000097030000}"/>
    <cellStyle name="x" xfId="918" xr:uid="{00000000-0005-0000-0000-000098030000}"/>
    <cellStyle name="x [1]" xfId="919" xr:uid="{00000000-0005-0000-0000-000099030000}"/>
    <cellStyle name="x_ASTEC4BK" xfId="920" xr:uid="{00000000-0005-0000-0000-00009A030000}"/>
    <cellStyle name="x_ASTEC4BK_1" xfId="921" xr:uid="{00000000-0005-0000-0000-00009B030000}"/>
    <cellStyle name="x_ASTEC4BK_2" xfId="922" xr:uid="{00000000-0005-0000-0000-00009C030000}"/>
    <cellStyle name="x_ASTEC4BK_2_PENT10BK.XLS Chart 1" xfId="923" xr:uid="{00000000-0005-0000-0000-00009D030000}"/>
    <cellStyle name="x_ASTEC4BK_2_PENT10BK.XLS Chart 1_1" xfId="924" xr:uid="{00000000-0005-0000-0000-00009E030000}"/>
    <cellStyle name="x_ASTEC4BK_2_PENT10BK.XLS Chart 1-1" xfId="925" xr:uid="{00000000-0005-0000-0000-00009F030000}"/>
    <cellStyle name="x_ASTEC4BK_2_PENT10BK.XLS Chart 1-10" xfId="926" xr:uid="{00000000-0005-0000-0000-0000A0030000}"/>
    <cellStyle name="x_ASTEC4BK_2_PENT10BK.XLS Chart 1-11" xfId="927" xr:uid="{00000000-0005-0000-0000-0000A1030000}"/>
    <cellStyle name="x_ASTEC4BK_2_PENT10BK.XLS Chart 1-2" xfId="928" xr:uid="{00000000-0005-0000-0000-0000A2030000}"/>
    <cellStyle name="x_ASTEC4BK_2_PENT10BK.XLS Chart 1-3" xfId="929" xr:uid="{00000000-0005-0000-0000-0000A3030000}"/>
    <cellStyle name="x_ASTEC4BK_2_PENT10BK.XLS Chart 1-4" xfId="930" xr:uid="{00000000-0005-0000-0000-0000A4030000}"/>
    <cellStyle name="x_ASTEC4BK_2_PENT10BK.XLS Chart 1-5" xfId="931" xr:uid="{00000000-0005-0000-0000-0000A5030000}"/>
    <cellStyle name="x_ASTEC4BK_2_PENT10BK.XLS Chart 1-6" xfId="932" xr:uid="{00000000-0005-0000-0000-0000A6030000}"/>
    <cellStyle name="x_ASTEC4BK_2_PENT10BK.XLS Chart 1-7" xfId="933" xr:uid="{00000000-0005-0000-0000-0000A7030000}"/>
    <cellStyle name="x_ASTEC4BK_2_PENT10BK.XLS Chart 1-8" xfId="934" xr:uid="{00000000-0005-0000-0000-0000A8030000}"/>
    <cellStyle name="x_ASTEC4BK_2_PENT10BK.XLS Chart 1-9" xfId="935" xr:uid="{00000000-0005-0000-0000-0000A9030000}"/>
    <cellStyle name="x_ASTEC4BK_2_PENT10BK.XLS Chart 2" xfId="936" xr:uid="{00000000-0005-0000-0000-0000AA030000}"/>
    <cellStyle name="x_ASTEC4BK_2_PENT10BK.XLS Chart 2-1" xfId="937" xr:uid="{00000000-0005-0000-0000-0000AB030000}"/>
    <cellStyle name="x_ASTEC4BK_2_UDI4-BK" xfId="938" xr:uid="{00000000-0005-0000-0000-0000AC030000}"/>
    <cellStyle name="x_black5bk.xls Chart 1" xfId="939" xr:uid="{00000000-0005-0000-0000-0000AD030000}"/>
    <cellStyle name="x_BLACK5BK.XLS Chart 1-1" xfId="940" xr:uid="{00000000-0005-0000-0000-0000AE030000}"/>
    <cellStyle name="x_BLACK5BK.XLS Chart 1-2" xfId="941" xr:uid="{00000000-0005-0000-0000-0000AF030000}"/>
    <cellStyle name="x_UDI4-BK.xls Chart 1" xfId="942" xr:uid="{00000000-0005-0000-0000-0000B0030000}"/>
    <cellStyle name="x_UDI4-BK.XLS Chart 1_1" xfId="943" xr:uid="{00000000-0005-0000-0000-0000B1030000}"/>
    <cellStyle name="x_UDI4-BK.XLS Chart 1_1_PENT10BK.XLS Chart 1" xfId="944" xr:uid="{00000000-0005-0000-0000-0000B2030000}"/>
    <cellStyle name="x_UDI4-BK.XLS Chart 1_1_PENT10BK.XLS Chart 1_1" xfId="945" xr:uid="{00000000-0005-0000-0000-0000B3030000}"/>
    <cellStyle name="x_UDI4-BK.XLS Chart 1_1_PENT10BK.XLS Chart 1-1" xfId="946" xr:uid="{00000000-0005-0000-0000-0000B4030000}"/>
    <cellStyle name="x_UDI4-BK.XLS Chart 1_1_PENT10BK.XLS Chart 1-10" xfId="947" xr:uid="{00000000-0005-0000-0000-0000B5030000}"/>
    <cellStyle name="x_UDI4-BK.XLS Chart 1_1_PENT10BK.XLS Chart 1-11" xfId="948" xr:uid="{00000000-0005-0000-0000-0000B6030000}"/>
    <cellStyle name="x_UDI4-BK.XLS Chart 1_1_PENT10BK.XLS Chart 1-2" xfId="949" xr:uid="{00000000-0005-0000-0000-0000B7030000}"/>
    <cellStyle name="x_UDI4-BK.XLS Chart 1_1_PENT10BK.XLS Chart 1-3" xfId="950" xr:uid="{00000000-0005-0000-0000-0000B8030000}"/>
    <cellStyle name="x_UDI4-BK.XLS Chart 1_1_PENT10BK.XLS Chart 1-4" xfId="951" xr:uid="{00000000-0005-0000-0000-0000B9030000}"/>
    <cellStyle name="x_UDI4-BK.XLS Chart 1_1_PENT10BK.XLS Chart 1-5" xfId="952" xr:uid="{00000000-0005-0000-0000-0000BA030000}"/>
    <cellStyle name="x_UDI4-BK.XLS Chart 1_1_PENT10BK.XLS Chart 1-6" xfId="953" xr:uid="{00000000-0005-0000-0000-0000BB030000}"/>
    <cellStyle name="x_UDI4-BK.XLS Chart 1_1_PENT10BK.XLS Chart 1-7" xfId="954" xr:uid="{00000000-0005-0000-0000-0000BC030000}"/>
    <cellStyle name="x_UDI4-BK.XLS Chart 1_1_PENT10BK.XLS Chart 1-8" xfId="955" xr:uid="{00000000-0005-0000-0000-0000BD030000}"/>
    <cellStyle name="x_UDI4-BK.XLS Chart 1_1_PENT10BK.XLS Chart 1-9" xfId="956" xr:uid="{00000000-0005-0000-0000-0000BE030000}"/>
    <cellStyle name="x_UDI4-BK.XLS Chart 1_1_PENT10BK.XLS Chart 2" xfId="957" xr:uid="{00000000-0005-0000-0000-0000BF030000}"/>
    <cellStyle name="x_UDI4-BK.XLS Chart 1_1_PENT10BK.XLS Chart 2-1" xfId="958" xr:uid="{00000000-0005-0000-0000-0000C0030000}"/>
    <cellStyle name="x_UDI4-BK.XLS Chart 1_1_UDI4-BK" xfId="959" xr:uid="{00000000-0005-0000-0000-0000C1030000}"/>
    <cellStyle name="x_UDI4-BK.XLS Chart 1-1" xfId="960" xr:uid="{00000000-0005-0000-0000-0000C2030000}"/>
    <cellStyle name="x_UDI4-BK.XLS Chart 1-1_PENT10BK.XLS Chart 1" xfId="961" xr:uid="{00000000-0005-0000-0000-0000C3030000}"/>
    <cellStyle name="x_UDI4-BK.XLS Chart 1-1_PENT10BK.XLS Chart 1_1" xfId="962" xr:uid="{00000000-0005-0000-0000-0000C4030000}"/>
    <cellStyle name="x_UDI4-BK.XLS Chart 1-1_PENT10BK.XLS Chart 1-1" xfId="963" xr:uid="{00000000-0005-0000-0000-0000C5030000}"/>
    <cellStyle name="x_UDI4-BK.XLS Chart 1-1_PENT10BK.XLS Chart 1-10" xfId="964" xr:uid="{00000000-0005-0000-0000-0000C6030000}"/>
    <cellStyle name="x_UDI4-BK.XLS Chart 1-1_PENT10BK.XLS Chart 1-11" xfId="965" xr:uid="{00000000-0005-0000-0000-0000C7030000}"/>
    <cellStyle name="x_UDI4-BK.XLS Chart 1-1_PENT10BK.XLS Chart 1-2" xfId="966" xr:uid="{00000000-0005-0000-0000-0000C8030000}"/>
    <cellStyle name="x_UDI4-BK.XLS Chart 1-1_PENT10BK.XLS Chart 1-3" xfId="967" xr:uid="{00000000-0005-0000-0000-0000C9030000}"/>
    <cellStyle name="x_UDI4-BK.XLS Chart 1-1_PENT10BK.XLS Chart 1-4" xfId="968" xr:uid="{00000000-0005-0000-0000-0000CA030000}"/>
    <cellStyle name="x_UDI4-BK.XLS Chart 1-1_PENT10BK.XLS Chart 1-5" xfId="969" xr:uid="{00000000-0005-0000-0000-0000CB030000}"/>
    <cellStyle name="x_UDI4-BK.XLS Chart 1-1_PENT10BK.XLS Chart 1-6" xfId="970" xr:uid="{00000000-0005-0000-0000-0000CC030000}"/>
    <cellStyle name="x_UDI4-BK.XLS Chart 1-1_PENT10BK.XLS Chart 1-7" xfId="971" xr:uid="{00000000-0005-0000-0000-0000CD030000}"/>
    <cellStyle name="x_UDI4-BK.XLS Chart 1-1_PENT10BK.XLS Chart 1-8" xfId="972" xr:uid="{00000000-0005-0000-0000-0000CE030000}"/>
    <cellStyle name="x_UDI4-BK.XLS Chart 1-1_PENT10BK.XLS Chart 1-9" xfId="973" xr:uid="{00000000-0005-0000-0000-0000CF030000}"/>
    <cellStyle name="x_UDI4-BK.XLS Chart 1-1_PENT10BK.XLS Chart 2" xfId="974" xr:uid="{00000000-0005-0000-0000-0000D0030000}"/>
    <cellStyle name="x_UDI4-BK.XLS Chart 1-1_PENT10BK.XLS Chart 2-1" xfId="975" xr:uid="{00000000-0005-0000-0000-0000D1030000}"/>
    <cellStyle name="x_UDI4-BK.XLS Chart 1-1_UDI4-BK" xfId="976" xr:uid="{00000000-0005-0000-0000-0000D2030000}"/>
    <cellStyle name="Xman" xfId="977" xr:uid="{00000000-0005-0000-0000-0000D3030000}"/>
    <cellStyle name="xstyle" xfId="978" xr:uid="{00000000-0005-0000-0000-0000D4030000}"/>
    <cellStyle name="YEAR" xfId="979" xr:uid="{00000000-0005-0000-0000-0000D5030000}"/>
    <cellStyle name="Year Estimate" xfId="980" xr:uid="{00000000-0005-0000-0000-0000D6030000}"/>
    <cellStyle name="Yen" xfId="981" xr:uid="{00000000-0005-0000-0000-0000D7030000}"/>
    <cellStyle name="yn" xfId="982" xr:uid="{00000000-0005-0000-0000-0000D8030000}"/>
    <cellStyle name="백분율" xfId="986" builtinId="5"/>
    <cellStyle name="쉼표 [0]" xfId="985" builtinId="6"/>
    <cellStyle name="표준" xfId="0" builtinId="0"/>
    <cellStyle name="하이퍼링크" xfId="2" builtinId="8"/>
  </cellStyles>
  <dxfs count="4">
    <dxf>
      <fill>
        <patternFill patternType="lightUp"/>
      </fill>
    </dxf>
    <dxf>
      <font>
        <color theme="0"/>
      </font>
      <fill>
        <patternFill patternType="solid">
          <bgColor theme="0"/>
        </patternFill>
      </fill>
      <border>
        <left style="thin">
          <color theme="0" tint="-0.14993743705557422"/>
        </left>
        <right/>
        <top style="thin">
          <color theme="0" tint="-0.14996795556505021"/>
        </top>
        <bottom/>
      </border>
    </dxf>
    <dxf>
      <font>
        <color theme="0"/>
      </font>
      <numFmt numFmtId="2" formatCode="0.00"/>
      <border>
        <left/>
        <right/>
        <top style="thin">
          <color rgb="FFC2C2C2"/>
        </top>
        <bottom style="thin">
          <color rgb="FFC2C2C2"/>
        </bottom>
      </border>
    </dxf>
    <dxf>
      <font>
        <color theme="0"/>
      </font>
      <numFmt numFmtId="2" formatCode="0.00"/>
      <border>
        <left/>
        <right/>
        <top style="thin">
          <color rgb="FFC2C2C2"/>
        </top>
        <bottom style="thin">
          <color rgb="FFC2C2C2"/>
        </bottom>
      </border>
    </dxf>
  </dxfs>
  <tableStyles count="0" defaultTableStyle="TableStyleMedium9" defaultPivotStyle="PivotStyleLight16"/>
  <colors>
    <mruColors>
      <color rgb="FFCCCCFF"/>
      <color rgb="FFFF9900"/>
      <color rgb="FFC2C2C2"/>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volatileDependencies.xml><?xml version="1.0" encoding="utf-8"?>
<volTypes xmlns="http://schemas.openxmlformats.org/spreadsheetml/2006/main">
  <volType type="realTimeData">
    <main first="pldatasource.trrtdserver">
      <tp>
        <v>1161217.219</v>
        <stp/>
        <stp>{A5A9A4BE-03AC-4BF8-8443-AE86F2CCA1BD}_x0000_</stp>
        <tr r="F61" s="1"/>
      </tp>
      <tp>
        <v>1514776.7919999999</v>
        <stp/>
        <stp>{4A8539C4-D660-46F9-AB7F-D7CC4E5D6381}_x0000_</stp>
        <tr r="K9" s="13"/>
      </tp>
      <tp>
        <v>39.974301922453698</v>
        <stp/>
        <stp>{E8929DB8-D151-4634-B384-091943F79403}_x0000_</stp>
        <tr r="E42" s="1"/>
      </tp>
      <tp>
        <v>-497216.80231517</v>
        <stp/>
        <stp>{7AEA3324-ACC6-42BD-87B0-F999D31549CF}_x0000_</stp>
        <tr r="BY10" s="5"/>
      </tp>
      <tp>
        <v>14.776914764908501</v>
        <stp/>
        <stp>{ECB5FE86-D41B-4530-9920-212977EE20B4}_x0000_</stp>
        <tr r="H45" s="1"/>
      </tp>
      <tp>
        <v>9.7762826327181696</v>
        <stp/>
        <stp>{267CA9D2-F673-4F99-A099-F13A6C8BC074}_x0000_</stp>
        <tr r="X17" s="13"/>
      </tp>
      <tp>
        <v>974799.84638999996</v>
        <stp/>
        <stp>{E14A05B1-5302-4E3B-819D-57CE97161198}_x0000_</stp>
        <tr r="BV8" s="5"/>
      </tp>
      <tp>
        <v>3086388.5644800002</v>
        <stp/>
        <stp>{706E99C3-8136-4E91-A8CF-2674A1863EA5}_x0000_</stp>
        <tr r="R14" s="5"/>
      </tp>
      <tp>
        <v>18.239860130119801</v>
        <stp/>
        <stp>{03A4127D-D9E5-478B-A1F1-3B7F18908AAC}_x0000_</stp>
        <tr r="AJ9" s="13"/>
      </tp>
      <tp>
        <v>4.8282214687718303</v>
        <stp/>
        <stp>{B1E387F0-1B40-462E-BF0B-9E5A0EF239DF}_x0000_</stp>
        <tr r="S9" s="13"/>
      </tp>
      <tp>
        <v>191213.17600000001</v>
        <stp/>
        <stp>{4E5D4ECA-AEFE-4242-AB19-76901D105E5F}_x0000_</stp>
        <tr r="BL11" s="13"/>
      </tp>
      <tp>
        <v>1586500.125</v>
        <stp/>
        <stp>{ECEB4C2A-E1A1-45FD-8934-2188469381B2}_x0000_</stp>
        <tr r="E24" s="1"/>
      </tp>
      <tp>
        <v>16.059579456546899</v>
        <stp/>
        <stp>{17CCD540-8DE8-4554-B627-9A8E816FAB34}_x0000_</stp>
        <tr r="X15" s="5"/>
      </tp>
      <tp>
        <v>819537.26599999995</v>
        <stp/>
        <stp>{2FC1AF9B-DD28-4FF9-94CC-281EBD48F855}_x0000_</stp>
        <tr r="G53" s="1"/>
      </tp>
      <tp t="s">
        <v/>
        <stp/>
        <stp>{EF943E6B-E867-41FD-ACAD-04C0DED29E7D}_x0000_</stp>
        <tr r="AQ9" s="13"/>
      </tp>
      <tp>
        <v>346.48321349999998</v>
        <stp/>
        <stp>{9302A40A-0702-4B30-A219-A850E704F332}_x0000_</stp>
        <tr r="BQ11" s="13"/>
      </tp>
      <tp>
        <v>3.4936023407136002E-2</v>
        <stp/>
        <stp>{B8C3FE14-D36F-4A21-86C6-CBC5D9A978E3}_x0000_</stp>
        <tr r="AN11" s="13"/>
      </tp>
      <tp>
        <v>45291</v>
        <stp/>
        <stp>{AA530FDE-3689-4880-B7B5-F2731583E89C}_x0000_</stp>
        <tr r="I50" s="1"/>
      </tp>
      <tp>
        <v>42.8499512559263</v>
        <stp/>
        <stp>{8CB19C94-12F0-4FC4-B7FD-3665FF1FCF9C}_x0000_</stp>
        <tr r="X29" s="5"/>
      </tp>
      <tp>
        <v>1238779.510208</v>
        <stp/>
        <stp>{880C7A12-E3F3-4DB1-A56D-7DEE63DD935D}_x0000_</stp>
        <tr r="R23" s="5"/>
      </tp>
      <tp>
        <v>118.43752076389001</v>
        <stp/>
        <stp>{6CDF29A5-5655-4F43-B888-8334FB170916}_x0000_</stp>
        <tr r="I40" s="1"/>
      </tp>
      <tp>
        <v>57.731074565400903</v>
        <stp/>
        <stp>{F26D33B9-2687-4D4C-BC71-515BC8D3377E}_x0000_</stp>
        <tr r="BJ10" s="5"/>
      </tp>
      <tp t="s">
        <v/>
        <stp/>
        <stp>{92CA3D0F-C1F8-4E50-91FD-D4D89C93560A}_x0000_</stp>
        <tr r="O10" s="5"/>
      </tp>
      <tp>
        <v>17.0135331413857</v>
        <stp/>
        <stp>{4D26FAF8-E041-426C-88BB-528E72C43446}_x0000_</stp>
        <tr r="X20" s="5"/>
      </tp>
      <tp>
        <v>67.970845087049995</v>
        <stp/>
        <stp>{B8AAD11B-A458-4422-B2B3-517668ABAF5C}_x0000_</stp>
        <tr r="F56" s="1"/>
      </tp>
      <tp>
        <v>201958.04300000001</v>
        <stp/>
        <stp>{F173767C-AEAD-4DDB-BA02-F5549A2C30F7}_x0000_</stp>
        <tr r="E57" s="1"/>
      </tp>
      <tp>
        <v>2149075.6216859999</v>
        <stp/>
        <stp>{691C8755-0D7F-40E3-B30D-A36E76E24403}_x0000_</stp>
        <tr r="R20" s="5"/>
      </tp>
      <tp>
        <v>2.11390467647059</v>
        <stp/>
        <stp>{5F12E8A0-8112-4346-A8F0-16C6F911CDB1}_x0000_</stp>
        <tr r="AN9" s="13"/>
      </tp>
      <tp>
        <v>1514776.7919999999</v>
        <stp/>
        <stp>{E4F01F67-B4DF-4CCD-B314-C5266F6207B1}_x0000_</stp>
        <tr r="K8" s="5"/>
      </tp>
      <tp>
        <v>68.878036216200002</v>
        <stp/>
        <stp>{75DA8678-38C5-4EBA-88C4-E87041B05BF0}_x0000_</stp>
        <tr r="BC9" s="13"/>
      </tp>
      <tp>
        <v>37.174882434451298</v>
        <stp/>
        <stp>{63759B4E-7098-4042-85EF-6CF0E6D7FC41}_x0000_</stp>
        <tr r="AB11" s="13"/>
      </tp>
      <tp>
        <v>25.761318188938599</v>
        <stp/>
        <stp>{56A5B556-74E7-459A-BED2-837DAFACEBEA}_x0000_</stp>
        <tr r="AF14" s="13"/>
      </tp>
      <tp>
        <v>10930568.539000001</v>
        <stp/>
        <stp>{118E264E-6082-438A-9B45-7BB073BBEBB7}_x0000_</stp>
        <tr r="R9" s="13"/>
      </tp>
      <tp>
        <v>55387.760999999999</v>
        <stp/>
        <stp>{D49198A5-E53E-4065-A351-6240AE1CDDFB}_x0000_</stp>
        <tr r="BT10" s="5"/>
      </tp>
      <tp>
        <v>20.317389814372898</v>
        <stp/>
        <stp>{EBF82A66-5E2C-4C93-8BAB-C63700322B15}_x0000_</stp>
        <tr r="AB19" s="13"/>
      </tp>
      <tp>
        <v>59.755453501059399</v>
        <stp/>
        <stp>{E8DC3047-C12B-4C0B-B7CE-E183AAA19222}_x0000_</stp>
        <tr r="BE10" s="5"/>
      </tp>
      <tp>
        <v>12.0693874408705</v>
        <stp/>
        <stp>{FFC1064C-0E14-4E0E-BA37-D68B9B7BD303}_x0000_</stp>
        <tr r="AL9" s="13"/>
      </tp>
      <tp>
        <v>47.162560516103497</v>
        <stp/>
        <stp>{6058AEA7-11F3-4CF9-9809-E4132BA5FE1B}_x0000_</stp>
        <tr r="BI11" s="13"/>
      </tp>
      <tp>
        <v>965555.53899999999</v>
        <stp/>
        <stp>{5EFEE5BD-677A-4D09-BED0-D8309B0E16D2}_x0000_</stp>
        <tr r="F59" s="1"/>
      </tp>
      <tp>
        <v>7.00981290118958</v>
        <stp/>
        <stp>{AB2090AE-08E8-4A10-94ED-44944BC13AC9}_x0000_</stp>
        <tr r="W9" s="13"/>
      </tp>
      <tp>
        <v>-613523.43850000005</v>
        <stp/>
        <stp>{E41A67B9-23C5-4623-AC9D-03ED116DAC68}_x0000_</stp>
        <tr r="BY8" s="5"/>
      </tp>
      <tp>
        <v>44926</v>
        <stp/>
        <stp>{4E3EADF2-5102-40C6-A8F8-92D4E6577A3A}_x0000_</stp>
        <tr r="F9" s="13"/>
      </tp>
      <tp>
        <v>-5.4640026257204504</v>
        <stp/>
        <stp>{1A9E9778-8D3C-4497-84A7-52DA43FD21B3}_x0000_</stp>
        <tr r="E52" s="1"/>
      </tp>
      <tp>
        <v>47040.026795999998</v>
        <stp/>
        <stp>{F9461371-838B-495B-B590-7D30A7BF1BDF}_x0000_</stp>
        <tr r="BU11" s="13"/>
      </tp>
      <tp>
        <v>3.8324171867289998</v>
        <stp/>
        <stp>{1E79D3BE-87EB-4E28-8DDB-ABEAD6336A7B}_x0000_</stp>
        <tr r="T20" s="13"/>
      </tp>
      <tp>
        <v>869995.56225177296</v>
        <stp/>
        <stp>{35524B51-F506-4366-A724-CD7D3AEE0884}_x0000_</stp>
        <tr r="BG11" s="13"/>
      </tp>
      <tp>
        <v>890777.97600000002</v>
        <stp/>
        <stp>{6B096624-F706-40BF-9A11-8E5E0644F571}_x0000_</stp>
        <tr r="E26" s="1"/>
      </tp>
      <tp>
        <v>2640299.5627464</v>
        <stp/>
        <stp>{538A5C14-680F-4A42-B67F-3AFE8C9C76F4}_x0000_</stp>
        <tr r="AW11" s="13"/>
      </tp>
      <tp>
        <v>45.072710000000001</v>
        <stp/>
        <stp>{234159C7-FA84-4495-9710-9F6C92C095E4}_x0000_</stp>
        <tr r="BS8" s="5"/>
      </tp>
      <tp>
        <v>641.85537620000002</v>
        <stp/>
        <stp>{41452115-BE02-4917-B6B4-1E2BADA9F7FD}_x0000_</stp>
        <tr r="BS10" s="5"/>
      </tp>
      <tp>
        <v>8.3271259925787504</v>
        <stp/>
        <stp>{FD784569-9F87-4D2B-87CC-9065C8139967}_x0000_</stp>
        <tr r="T14" s="13"/>
      </tp>
      <tp>
        <v>30.173135299588399</v>
        <stp/>
        <stp>{68DBA1A5-B6B3-4911-995F-5BB8E5A829AA}_x0000_</stp>
        <tr r="F42" s="1"/>
      </tp>
      <tp>
        <v>1122069.591</v>
        <stp/>
        <stp>{74117A64-AC99-4373-8E40-3F5A1C96ED74}_x0000_</stp>
        <tr r="H57" s="1"/>
      </tp>
      <tp>
        <v>1122069.591</v>
        <stp/>
        <stp>{0949C69E-5E08-4B21-8FBB-B3CBFA691A09}_x0000_</stp>
        <tr r="BL8" s="5"/>
      </tp>
      <tp>
        <v>52.647683440000002</v>
        <stp/>
        <stp>{D12261EE-3713-40BC-ADF2-EB318C2D3306}_x0000_</stp>
        <tr r="BP11" s="13"/>
      </tp>
      <tp>
        <v>69.207490820950198</v>
        <stp/>
        <stp>{E06EBDDC-67EE-4E6E-B3A9-D9B6F1253EF2}_x0000_</stp>
        <tr r="AF16" s="13"/>
      </tp>
      <tp>
        <v>63.089765720391298</v>
        <stp/>
        <stp>{078AD851-36FA-42F0-BC22-B56DF2FAAB76}_x0000_</stp>
        <tr r="BK10" s="5"/>
      </tp>
      <tp>
        <v>56.377011007957798</v>
        <stp/>
        <stp>{5EE83B0E-6965-4ABC-91A6-ABD1434AE816}_x0000_</stp>
        <tr r="AB28" s="5"/>
      </tp>
      <tp>
        <v>27.440515065139401</v>
        <stp/>
        <stp>{9F8C2ABA-C1BC-464D-8849-511888D69185}_x0000_</stp>
        <tr r="AK11" s="13"/>
      </tp>
      <tp>
        <v>45.925817444786901</v>
        <stp/>
        <stp>{295F0D06-E80C-4CCB-9C9A-CA4C0F54C9B8}_x0000_</stp>
        <tr r="I62" s="1"/>
      </tp>
      <tp t="s">
        <v/>
        <stp/>
        <stp>{E0E39AEE-CD5A-4E3A-BAD5-EAB1353EF2DE}_x0000_</stp>
        <tr r="AP9" s="13"/>
      </tp>
      <tp>
        <v>11.4402175299</v>
        <stp/>
        <stp>{81D0062A-7A08-439D-82FC-AB69A5C2D8B4}_x0000_</stp>
        <tr r="AI9" s="13"/>
      </tp>
      <tp>
        <v>-613523.43850000005</v>
        <stp/>
        <stp>{218620F0-F62F-492D-897C-D303CF5D0DF7}_x0000_</stp>
        <tr r="BY9" s="13"/>
      </tp>
      <tp t="s">
        <v/>
        <stp/>
        <stp>{6123968E-3F38-416E-A957-9AF7152F7451}_x0000_</stp>
        <tr r="M10" s="5"/>
      </tp>
      <tp>
        <v>17.3812118624497</v>
        <stp/>
        <stp>{60E6C61E-14DB-4E5F-BA9B-19DCF3760F80}_x0000_</stp>
        <tr r="AF24" s="5"/>
      </tp>
      <tp>
        <v>1580968.9162997201</v>
        <stp/>
        <stp>{FABFAC14-2655-4841-8680-F1D2DFD30703}_x0000_</stp>
        <tr r="BA10" s="5"/>
      </tp>
      <tp>
        <v>4.4694898799724996</v>
        <stp/>
        <stp>{7546B65B-99EE-482E-944C-505014B7279B}_x0000_</stp>
        <tr r="T17" s="5"/>
      </tp>
      <tp>
        <v>37062516.6756</v>
        <stp/>
        <stp>{4A39C550-17BF-4716-9AC1-10A5E52D583A}_x0000_</stp>
        <tr r="I11" s="13"/>
      </tp>
      <tp>
        <v>3.8324171867289998</v>
        <stp/>
        <stp>{94EED935-7B3A-48AF-9285-9133E49F240B}_x0000_</stp>
        <tr r="T19" s="5"/>
      </tp>
      <tp>
        <v>67.751232999317196</v>
        <stp/>
        <stp>{A441A396-78E5-44CF-A29F-E45F8FFB8A3F}_x0000_</stp>
        <tr r="BJ9" s="13"/>
      </tp>
      <tp>
        <v>869995.56225177296</v>
        <stp/>
        <stp>{7952CA18-535B-4F29-8F31-FE0099E57FF1}_x0000_</stp>
        <tr r="BG10" s="5"/>
      </tp>
      <tp>
        <v>1454086.66258</v>
        <stp/>
        <stp>{05E61C75-2DE7-4795-B619-6B3EBB6AD49B}_x0000_</stp>
        <tr r="AZ8" s="5"/>
      </tp>
      <tp>
        <v>-70798.430999999997</v>
        <stp/>
        <stp>{E286B2ED-09D4-41E8-9C0D-3CF06618F4BD}_x0000_</stp>
        <tr r="BX11" s="13"/>
      </tp>
      <tp>
        <v>2561431.1488600001</v>
        <stp/>
        <stp>{03733AC6-D6ED-45B4-ABEB-E04A7914BD93}_x0000_</stp>
        <tr r="AW8" s="5"/>
      </tp>
      <tp>
        <v>45107</v>
        <stp/>
        <stp>{AB7B0B3A-BFF1-4251-AE14-A368ABDEE6E9}_x0000_</stp>
        <tr r="E11" s="1"/>
      </tp>
      <tp>
        <v>27641.505000000001</v>
        <stp/>
        <stp>{27D62EA9-B28C-44A1-ACA1-D57AEC6A0720}_x0000_</stp>
        <tr r="E25" s="1"/>
      </tp>
      <tp>
        <v>16.4084333205702</v>
        <stp/>
        <stp>{812B8DC4-70D8-4650-B611-C9A645DD427F}_x0000_</stp>
        <tr r="AB24" s="5"/>
      </tp>
      <tp>
        <v>4.2799537838548103</v>
        <stp/>
        <stp>{69A6300E-60D5-4C25-AD5D-1434726A8202}_x0000_</stp>
        <tr r="T26" s="5"/>
      </tp>
      <tp>
        <v>67.751232999317196</v>
        <stp/>
        <stp>{101E590C-D5AE-4B20-A7FF-AA0ED29F8815}_x0000_</stp>
        <tr r="BJ8" s="5"/>
      </tp>
      <tp>
        <v>848236.45900000096</v>
        <stp/>
        <stp>{7AAE83FC-922B-4528-B3FF-CF8F7ED1A8CF}_x0000_</stp>
        <tr r="G61" s="1"/>
      </tp>
      <tp>
        <v>23.725441415594801</v>
        <stp/>
        <stp>{CF479170-94C4-4D40-AC55-8ACD4314350C}_x0000_</stp>
        <tr r="X14" s="13"/>
      </tp>
      <tp>
        <v>191213.17600000001</v>
        <stp/>
        <stp>{F9F74052-BED5-4AD5-A528-43A2E029BEA8}_x0000_</stp>
        <tr r="BL10" s="5"/>
      </tp>
      <tp>
        <v>1515751.0759999999</v>
        <stp/>
        <stp>{E66E21B0-6720-42B5-BFB0-D2F6787625AE}_x0000_</stp>
        <tr r="F55" s="1"/>
      </tp>
      <tp>
        <v>37.808529999999998</v>
        <stp/>
        <stp>{330E0F8B-69F6-441E-B1B1-5237E5A0D8CB}_x0000_</stp>
        <tr r="E60" s="1"/>
      </tp>
      <tp>
        <v>46022</v>
        <stp/>
        <stp>{88BF4095-48C6-4D46-AFB4-FB05506D5C26}_x0000_</stp>
        <tr r="I36" s="1"/>
      </tp>
      <tp>
        <v>947819.82900000003</v>
        <stp/>
        <stp>{92FA8E57-4FE6-49C3-84FA-894555ADB421}_x0000_</stp>
        <tr r="F26" s="1"/>
      </tp>
      <tp t="s">
        <v/>
        <stp/>
        <stp>{5144A247-0779-4759-BFD8-74FA0A975D1E}_x0000_</stp>
        <tr r="AS11" s="13"/>
      </tp>
      <tp>
        <v>0</v>
        <stp/>
        <stp>{290779A0-C086-4A36-91FE-905F75867F8E}_x0000_</stp>
        <tr r="N10" s="5"/>
      </tp>
      <tp>
        <v>25067.200000000001</v>
        <stp/>
        <stp>{2BD6014E-00C2-499B-9470-00B579752C2B}_x0000_</stp>
        <tr r="L11" s="13"/>
      </tp>
      <tp>
        <v>49.563757542799998</v>
        <stp/>
        <stp>{0C8A5B3B-7AA3-43E8-BBC0-945AD78B967C}_x0000_</stp>
        <tr r="H58" s="1"/>
      </tp>
      <tp>
        <v>394000.71035350999</v>
        <stp/>
        <stp>{9B102271-0820-43F3-A06A-227368C697B7}_x0000_</stp>
        <tr r="BF11" s="13"/>
      </tp>
      <tp>
        <v>1731912.3338921999</v>
        <stp/>
        <stp>{26784ED6-09CE-4F97-9B36-6842E800574C}_x0000_</stp>
        <tr r="BB11" s="13"/>
      </tp>
      <tp>
        <v>27.151118666377499</v>
        <stp/>
        <stp>{52FA158D-016E-4D0D-A985-F33009C1ACBD}_x0000_</stp>
        <tr r="X15" s="13"/>
      </tp>
      <tp t="s">
        <v>NaN</v>
        <stp/>
        <stp>{0D089A39-2DB1-4AF8-B04B-4C602D764A15}_x0000_</stp>
        <tr r="AS9" s="13"/>
      </tp>
      <tp>
        <v>1559323.8640000001</v>
        <stp/>
        <stp>{007EB182-EBF9-4B48-B02F-D1DADF535FF0}_x0000_</stp>
        <tr r="AY8" s="5"/>
      </tp>
      <tp>
        <v>30.153739999999999</v>
        <stp/>
        <stp>{9EC706A0-5209-4B11-878B-8F39297BF30E}_x0000_</stp>
        <tr r="BQ9" s="13"/>
      </tp>
      <tp>
        <v>544</v>
        <stp/>
        <stp>{08F81896-C0A9-44F4-9E82-E09166FF3D2F}_x0000_</stp>
        <tr r="H8" s="5"/>
      </tp>
      <tp>
        <v>29.596956827295902</v>
        <stp/>
        <stp>{76116D2D-C02C-4EFC-A92B-4CAC607C8E70}_x0000_</stp>
        <tr r="AB15" s="13"/>
      </tp>
      <tp>
        <v>59.019695244494699</v>
        <stp/>
        <stp>{26C1E832-1363-4112-A7CA-598D660BF3C0}_x0000_</stp>
        <tr r="BD10" s="5"/>
      </tp>
      <tp t="s">
        <v/>
        <stp/>
        <stp>{8844EBDA-F44A-47C4-BE70-05606AC1710F}_x0000_</stp>
        <tr r="F27" s="1"/>
      </tp>
      <tp>
        <v>18.41278829609</v>
        <stp/>
        <stp>{F2486508-890F-4001-A004-5769910312A8}_x0000_</stp>
        <tr r="X19" s="13"/>
      </tp>
      <tp>
        <v>60.282303359027701</v>
        <stp/>
        <stp>{38F0B356-0A9F-4284-8E6A-425DF50503D7}_x0000_</stp>
        <tr r="G40" s="1"/>
      </tp>
      <tp>
        <v>974799.84638999996</v>
        <stp/>
        <stp>{198F4393-76ED-40D9-B39D-915A468A2A11}_x0000_</stp>
        <tr r="BV9" s="13"/>
      </tp>
      <tp>
        <v>0.36167945182590699</v>
        <stp/>
        <stp>{9033FE50-9A0C-418C-BDF6-F22127D6B387}_x0000_</stp>
        <tr r="AM10" s="5"/>
      </tp>
      <tp>
        <v>1038017.774434</v>
        <stp/>
        <stp>{18C9D9FA-EF7C-435F-81EC-6DE45704EE84}_x0000_</stp>
        <tr r="AZ11" s="13"/>
      </tp>
      <tp>
        <v>35.490222008662101</v>
        <stp/>
        <stp>{AEA8CF2B-EC9C-458B-AB11-247EE1EF8BED}_x0000_</stp>
        <tr r="X10" s="5"/>
      </tp>
      <tp>
        <v>18.040879837791302</v>
        <stp/>
        <stp>{EFF9ACCB-C7B4-49F6-A588-CD6B1541DA5B}_x0000_</stp>
        <tr r="G45" s="1"/>
      </tp>
      <tp>
        <v>596540.01300000004</v>
        <stp/>
        <stp>{E7DAF003-233B-4A0D-B2D5-050F447E24F1}_x0000_</stp>
        <tr r="G59" s="1"/>
      </tp>
      <tp>
        <v>782505.05330000003</v>
        <stp/>
        <stp>{8A847A0A-2C2E-4290-8F0B-6A224527F438}_x0000_</stp>
        <tr r="I59" s="1"/>
      </tp>
      <tp>
        <v>237868.22399999999</v>
        <stp/>
        <stp>{07241A39-C2E5-4C31-935A-CD8B03676487}_x0000_</stp>
        <tr r="AY11" s="13"/>
      </tp>
      <tp>
        <v>4.4086806490486996</v>
        <stp/>
        <stp>{10365597-3F8D-4ED9-8261-E2D544619DB0}_x0000_</stp>
        <tr r="X28" s="5"/>
      </tp>
      <tp>
        <v>35.490222008662101</v>
        <stp/>
        <stp>{08828837-AB96-4348-8AA8-E49F45D9D848}_x0000_</stp>
        <tr r="X11" s="13"/>
      </tp>
      <tp>
        <v>3.4936023407136002E-2</v>
        <stp/>
        <stp>{6B5A509C-84CE-4454-970C-7A430C07D3F8}_x0000_</stp>
        <tr r="AN10" s="5"/>
      </tp>
      <tp>
        <v>968756.92032999999</v>
        <stp/>
        <stp>{692D2CF9-B7A4-4B77-8EC0-C8CB072B2706}_x0000_</stp>
        <tr r="BU9" s="13"/>
      </tp>
      <tp>
        <v>45211</v>
        <stp/>
        <stp>{596ADCE1-79ED-4B27-8E51-22053E72B298}_x0000_</stp>
        <tr r="E9" s="1"/>
      </tp>
      <tp>
        <v>18.171304434731798</v>
        <stp/>
        <stp>{FDB2DCF8-0962-4889-AE3A-F32AAF87D67C}_x0000_</stp>
        <tr r="AF25" s="5"/>
      </tp>
      <tp>
        <v>69.924214520352706</v>
        <stp/>
        <stp>{150874C9-FBFC-46D2-B8ED-63BC606B431B}_x0000_</stp>
        <tr r="BE8" s="5"/>
      </tp>
      <tp>
        <v>52.115783254511697</v>
        <stp/>
        <stp>{C746811B-32D9-48B7-A876-1A58193C0ADB}_x0000_</stp>
        <tr r="F62" s="1"/>
      </tp>
      <tp>
        <v>958069.05200000003</v>
        <stp/>
        <stp>{DB2AD2A3-47C3-49D0-90E8-C0FF3D8DAFBB}_x0000_</stp>
        <tr r="BW9" s="13"/>
      </tp>
      <tp>
        <v>11.6212832227465</v>
        <stp/>
        <stp>{6F13DD55-FDA5-40BB-9569-B96916E65080}_x0000_</stp>
        <tr r="AF16" s="5"/>
      </tp>
      <tp>
        <v>6.4136360950729099</v>
        <stp/>
        <stp>{63E4A0E1-4D0E-4EC1-A05A-A465DCD418EA}_x0000_</stp>
        <tr r="T8" s="5"/>
      </tp>
      <tp>
        <v>831626.86599999899</v>
        <stp/>
        <stp>{ADE7E069-63EE-47DE-9A3D-F983491FE9BA}_x0000_</stp>
        <tr r="R24" s="5"/>
      </tp>
      <tp>
        <v>36.805545202478598</v>
        <stp/>
        <stp>{59E730E1-4F45-4061-BAFE-A02B738CCE50}_x0000_</stp>
        <tr r="AF11" s="13"/>
      </tp>
      <tp>
        <v>1000922.036637</v>
        <stp/>
        <stp>{69552367-A87C-4C95-82EB-7939CA45F5B3}_x0000_</stp>
        <tr r="BM11" s="13"/>
      </tp>
      <tp>
        <v>68.878036216200002</v>
        <stp/>
        <stp>{658637CD-A57B-4EE2-9AA7-036897DA49D1}_x0000_</stp>
        <tr r="H56" s="1"/>
      </tp>
      <tp>
        <v>29.183658337699999</v>
        <stp/>
        <stp>{D21318FF-55A5-4879-9AC7-2C85953BB473}_x0000_</stp>
        <tr r="BC11" s="13"/>
      </tp>
      <tp>
        <v>44955</v>
        <stp/>
        <stp>{96A40964-10DF-4673-AD60-DC9C6E661237}_x0000_</stp>
        <tr r="F11" s="13"/>
      </tp>
      <tp>
        <v>36.81418</v>
        <stp/>
        <stp>{6CD3EDD2-9F9A-4383-963C-3825530FFB10}_x0000_</stp>
        <tr r="BR9" s="13"/>
      </tp>
      <tp>
        <v>82.722122868024499</v>
        <stp/>
        <stp>{81E9BFE2-573B-4C68-859F-E2007B9F44ED}_x0000_</stp>
        <tr r="AA10" s="5"/>
      </tp>
      <tp>
        <v>3.3502553587944699</v>
        <stp/>
        <stp>{A6309154-3BA1-4B29-B25D-4AC49F479657}_x0000_</stp>
        <tr r="T16" s="13"/>
      </tp>
      <tp>
        <v>-497216.80231517</v>
        <stp/>
        <stp>{355D310C-B063-492B-8DDF-80BCFEC6AE44}_x0000_</stp>
        <tr r="BY11" s="13"/>
      </tp>
      <tp>
        <v>815073.35800000001</v>
        <stp/>
        <stp>{02B2B5D5-12D0-4046-AD54-417FE7429037}_x0000_</stp>
        <tr r="AU10" s="5"/>
      </tp>
      <tp>
        <v>39.203800000000001</v>
        <stp/>
        <stp>{420B5652-67C4-4185-9024-1E7938278BDD}_x0000_</stp>
        <tr r="BP8" s="5"/>
      </tp>
      <tp t="s">
        <v>Taiwan Semiconductor Manufacturing Co Ltd</v>
        <stp/>
        <stp>{75DBA977-FD51-4A1E-86CC-F3A5D8FEF2A8}_x0000_</stp>
        <tr r="E9" s="13"/>
      </tp>
      <tp>
        <v>2503375.8873370802</v>
        <stp/>
        <stp>{8D2DF4A2-E009-4BDE-AB0D-F72A2D7A5784}_x0000_</stp>
        <tr r="R18" s="5"/>
      </tp>
      <tp>
        <v>649980.897</v>
        <stp/>
        <stp>{12F82811-C666-42E1-BBED-3C69D7E0D597}_x0000_</stp>
        <tr r="G57" s="1"/>
      </tp>
      <tp>
        <v>2109395.0510399998</v>
        <stp/>
        <stp>{B714CAC2-1C2C-43CC-A40F-E5A24BE6ECC3}_x0000_</stp>
        <tr r="AV8" s="5"/>
      </tp>
      <tp>
        <v>1815683.5000728299</v>
        <stp/>
        <stp>{F00469C9-26AD-4583-8ADE-903E6AF8567B}_x0000_</stp>
        <tr r="BO10" s="5"/>
      </tp>
      <tp>
        <v>1791060.6113199999</v>
        <stp/>
        <stp>{8F6A0D05-0633-4024-993C-833399D6CC05}_x0000_</stp>
        <tr r="BA8" s="5"/>
      </tp>
      <tp>
        <v>-978380.85109000001</v>
        <stp/>
        <stp>{986E15D8-36D6-4283-A704-C497CC3FCE9E}_x0000_</stp>
        <tr r="BZ9" s="13"/>
      </tp>
      <tp>
        <v>1092651.2316099999</v>
        <stp/>
        <stp>{996C9B80-6FC2-474D-9050-1071B6AC7282}_x0000_</stp>
        <tr r="BN8" s="5"/>
      </tp>
      <tp>
        <v>3049129.0552400001</v>
        <stp/>
        <stp>{1F2A1A28-763E-4D8B-850E-CEC5F4AE2BB8}_x0000_</stp>
        <tr r="AX9" s="13"/>
      </tp>
      <tp>
        <v>71814.606750699997</v>
        <stp/>
        <stp>{496E3FAF-D2E2-457F-9977-3925A59165C0}_x0000_</stp>
        <tr r="BV11" s="13"/>
      </tp>
      <tp t="s">
        <v>TWD</v>
        <stp/>
        <stp>{30951A1A-7EE3-43AF-9577-630E83A366E3}_x0000_</stp>
        <tr r="AD5" s="1"/>
      </tp>
      <tp>
        <v>11629775.635413</v>
        <stp/>
        <stp>{93AC4319-687B-43D4-A12B-4B82BA2663AE}_x0000_</stp>
        <tr r="E23" s="1"/>
      </tp>
      <tp t="s">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stp/>
        <stp>{B0CCB4E4-2B2F-4D5F-9B96-EB84020ACDD3}_x0000_</stp>
        <tr r="D14" s="1"/>
      </tp>
      <tp>
        <v>-46.104199394540998</v>
        <stp/>
        <stp>{60DF2E04-0587-47AF-B4DE-308DFE9F423C}_x0000_</stp>
        <tr r="AF19" s="5"/>
      </tp>
      <tp>
        <v>15.469856034580999</v>
        <stp/>
        <stp>{BDF4D69B-DCE7-4AA2-822C-6E96CBC32981}_x0000_</stp>
        <tr r="AF18" s="13"/>
      </tp>
      <tp>
        <v>27.440515065139401</v>
        <stp/>
        <stp>{3044C8B7-8C1D-451C-ABF5-07E9BC547075}_x0000_</stp>
        <tr r="AK10" s="5"/>
      </tp>
      <tp>
        <v>968756.92032999999</v>
        <stp/>
        <stp>{AF08BAE0-221B-4627-B305-2C421981ABA0}_x0000_</stp>
        <tr r="I61" s="1"/>
      </tp>
      <tp t="s">
        <v>NVIDIA Corp</v>
        <stp/>
        <stp>{999DD3ED-6BC7-4354-8134-8F7CE72108BD}_x0000_</stp>
        <tr r="E11" s="13"/>
      </tp>
      <tp>
        <v>7.4971251970936796</v>
        <stp/>
        <stp>{59A1EF86-9002-421F-B655-075952D9A579}_x0000_</stp>
        <tr r="T14" s="5"/>
      </tp>
      <tp>
        <v>119.59694229714999</v>
        <stp/>
        <stp>{0235938E-69AA-4C48-8D6C-340C72FA1256}_x0000_</stp>
        <tr r="F40" s="1"/>
      </tp>
      <tp>
        <v>947819.82900000003</v>
        <stp/>
        <stp>{1EBF1FF5-97C0-4204-A93B-BCBCB3CF3018}_x0000_</stp>
        <tr r="J9" s="13"/>
      </tp>
      <tp>
        <v>7215155.5199999996</v>
        <stp/>
        <stp>{4A31F5DF-2726-48A9-80B8-85337A410E89}_x0000_</stp>
        <tr r="R11" s="5"/>
      </tp>
      <tp>
        <v>16.541068654658101</v>
        <stp/>
        <stp>{6003BA1D-89BA-4594-9BD2-2A1CF75415A0}_x0000_</stp>
        <tr r="AB18" s="13"/>
      </tp>
      <tp>
        <v>544</v>
        <stp/>
        <stp>{6E4EC0E2-59F5-446D-92E5-160EEA208517}_x0000_</stp>
        <tr r="F21" s="1"/>
      </tp>
      <tp>
        <v>181799.02100000001</v>
        <stp/>
        <stp>{7C126899-7BAE-4970-8EFF-2201997E47FA}_x0000_</stp>
        <tr r="E59" s="1"/>
      </tp>
      <tp>
        <v>1089626.456</v>
        <stp/>
        <stp>{883CD190-1E6B-4CBF-9E86-481EF52C833F}_x0000_</stp>
        <tr r="BT9" s="13"/>
      </tp>
      <tp>
        <v>15005.06748</v>
        <stp/>
        <stp>{FE5138BE-E053-4103-B14D-DAC524DABE79}_x0000_</stp>
        <tr r="H10" s="5"/>
      </tp>
      <tp t="s">
        <v/>
        <stp/>
        <stp>{6E635D8D-1EFB-4F3A-A8B9-537685BF7F89}_x0000_</stp>
        <tr r="N9" s="13"/>
      </tp>
      <tp>
        <v>1089626.456</v>
        <stp/>
        <stp>{C72E6CB2-47A2-4AFF-8AAE-6E2F0F42920D}_x0000_</stp>
        <tr r="H61" s="1"/>
      </tp>
      <tp>
        <v>11.4402175299333</v>
        <stp/>
        <stp>{BE65C76B-63AE-4EC7-881C-0B841D00CB70}_x0000_</stp>
        <tr r="E45" s="1"/>
      </tp>
      <tp>
        <v>2109395.0510399998</v>
        <stp/>
        <stp>{19614973-2AB9-4DA8-A259-1BD7AB85E5A8}_x0000_</stp>
        <tr r="I51" s="1"/>
      </tp>
      <tp>
        <v>14.776914764908501</v>
        <stp/>
        <stp>{86BD2565-3D09-4D89-934B-5378F5F90C9B}_x0000_</stp>
        <tr r="I45" s="1"/>
      </tp>
      <tp t="s">
        <v/>
        <stp/>
        <stp>{9A23D8B5-21C1-4518-B9CB-60E8C19E78B0}_x0000_</stp>
        <tr r="N8" s="5"/>
      </tp>
      <tp>
        <v>17.8566638604978</v>
        <stp/>
        <stp>{7902C102-D617-4ADD-85AF-BEEECAB35F0A}_x0000_</stp>
        <tr r="AF11" s="5"/>
      </tp>
      <tp>
        <v>96753.263681779994</v>
        <stp/>
        <stp>{E3A369C1-CACD-4423-9676-C7FF18B6FA9C}_x0000_</stp>
        <tr r="BW11" s="13"/>
      </tp>
      <tp>
        <v>3.75855856409185</v>
        <stp/>
        <stp>{40EA9766-0F6D-4109-8B7D-8BEDCDDFD935}_x0000_</stp>
        <tr r="T21" s="5"/>
      </tp>
      <tp>
        <v>14097372.2111183</v>
        <stp/>
        <stp>{295FE0D2-A80A-46C8-8BE9-A7B82C89E474}_x0000_</stp>
        <tr r="I9" s="13"/>
      </tp>
      <tp>
        <v>448.5</v>
        <stp/>
        <stp>{13F03E9C-9949-4102-A98C-C977C509372F}_x0000_</stp>
        <tr r="E21" s="1"/>
      </tp>
      <tp>
        <v>1072375.7660000001</v>
        <stp/>
        <stp>{66565795-5654-4C48-9EDF-2B43432CA82C}_x0000_</stp>
        <tr r="G55" s="1"/>
      </tp>
      <tp>
        <v>3086388.5644800002</v>
        <stp/>
        <stp>{7E2BB3C0-A7F0-45F5-99B8-B702479DC331}_x0000_</stp>
        <tr r="R15" s="13"/>
      </tp>
      <tp>
        <v>4.8282214687718303</v>
        <stp/>
        <stp>{B6D33A7E-02F0-4BB2-A990-BCB9A7D7093B}_x0000_</stp>
        <tr r="S8" s="5"/>
      </tp>
      <tp>
        <v>37.096183235767</v>
        <stp/>
        <stp>{DC2A1633-6F72-4611-BE23-6158C121246D}_x0000_</stp>
        <tr r="I60" s="1"/>
      </tp>
      <tp>
        <v>-22076.805</v>
        <stp/>
        <stp>{B2104074-2B37-4BF8-9EEA-494E62DF4FF3}_x0000_</stp>
        <tr r="R22" s="5"/>
      </tp>
      <tp>
        <v>51.627160000000003</v>
        <stp/>
        <stp>{511E8F17-91C1-4EB9-8428-5AD182F75B36}_x0000_</stp>
        <tr r="G54" s="1"/>
      </tp>
      <tp>
        <v>33.774433876882597</v>
        <stp/>
        <stp>{773A9385-D9EB-459F-B0FF-6AF2B0A1CE89}_x0000_</stp>
        <tr r="AF15" s="13"/>
      </tp>
      <tp>
        <v>1334018.72267</v>
        <stp/>
        <stp>{978BBDB4-F747-4835-A6C3-829D2E9F1E4E}_x0000_</stp>
        <tr r="AH9" s="13"/>
      </tp>
      <tp>
        <v>0.18719109246222301</v>
        <stp/>
        <stp>{6C9660FE-D227-41BA-984C-D6899674BEF8}_x0000_</stp>
        <tr r="T23" s="5"/>
      </tp>
      <tp>
        <v>1306383.885</v>
        <stp/>
        <stp>{063B8408-C01C-47FF-BC0C-34D6785E8931}_x0000_</stp>
        <tr r="F53" s="1"/>
      </tp>
      <tp>
        <v>67.776574553200007</v>
        <stp/>
        <stp>{548AFEF3-DF5F-44CB-89FC-518887E929A6}_x0000_</stp>
        <tr r="E56" s="1"/>
      </tp>
      <tp>
        <v>45.072710000000001</v>
        <stp/>
        <stp>{54B1DFD0-06E3-4721-8969-A32E000BFCF0}_x0000_</stp>
        <tr r="BS9" s="13"/>
      </tp>
      <tp>
        <v>1.9550877309324199</v>
        <stp/>
        <stp>{4C3AC980-CD86-4B27-9025-61DF86990C21}_x0000_</stp>
        <tr r="T28" s="5"/>
      </tp>
      <tp>
        <v>27.151118666377499</v>
        <stp/>
        <stp>{27C4EFB5-C23F-4E99-9108-63835F59BA68}_x0000_</stp>
        <tr r="X14" s="5"/>
      </tp>
      <tp>
        <v>1.3134509089169399</v>
        <stp/>
        <stp>{04FC7929-7A5F-4DF5-B8C4-4C0C7712E02D}_x0000_</stp>
        <tr r="T13" s="13"/>
      </tp>
      <tp t="s">
        <v>Semiconductors</v>
        <stp/>
        <stp>{7FA3FB2F-3574-44E2-A569-073941BA6D73}_x0000_</stp>
        <tr r="G11" s="13"/>
      </tp>
      <tp>
        <v>-3.3941275665939599</v>
        <stp/>
        <stp>{1DCED0C1-97FD-4E36-964C-E57BAB3E7985}_x0000_</stp>
        <tr r="G42" s="1"/>
      </tp>
      <tp>
        <v>1523076.22755</v>
        <stp/>
        <stp>{8D94914F-6E0E-4DD7-AB8F-6FC82E76D4D5}_x0000_</stp>
        <tr r="BF9" s="13"/>
      </tp>
      <tp>
        <v>21.2681777135084</v>
        <stp/>
        <stp>{618D8C07-5DA4-4A86-A149-5A2FDD90B358}_x0000_</stp>
        <tr r="AB25" s="5"/>
      </tp>
      <tp>
        <v>29.818221403183902</v>
        <stp/>
        <stp>{C2F5BBA9-1950-4192-A2F1-8BF670EF426E}_x0000_</stp>
        <tr r="AB13" s="5"/>
      </tp>
      <tp>
        <v>59.755453501059399</v>
        <stp/>
        <stp>{EE392256-A89F-4D05-8941-BB17DCB33782}_x0000_</stp>
        <tr r="BE11" s="13"/>
      </tp>
      <tp>
        <v>2263891.2919999999</v>
        <stp/>
        <stp>{767FA9F1-E94B-4CCB-8BF7-375C4182D024}_x0000_</stp>
        <tr r="H51" s="1"/>
      </tp>
      <tp t="s">
        <v/>
        <stp/>
        <stp>{E158FCD1-B21C-48FD-8630-A7E41B1B6923}_x0000_</stp>
        <tr r="AR10" s="5"/>
      </tp>
      <tp>
        <v>68.878036216200002</v>
        <stp/>
        <stp>{2FBDACF6-E99A-4DDD-ACBB-BB625A8758B6}_x0000_</stp>
        <tr r="BC8" s="5"/>
      </tp>
      <tp>
        <v>1756959.56422907</v>
        <stp/>
        <stp>{5BE75BE8-869B-4038-8DEF-AB3AD0B0BDE2}_x0000_</stp>
        <tr r="AV11" s="13"/>
      </tp>
      <tp>
        <v>1016530.249</v>
        <stp/>
        <stp>{D38A60B5-5ABB-4408-90C6-F0D0B9C5FE2C}_x0000_</stp>
        <tr r="H59" s="1"/>
      </tp>
      <tp>
        <v>14.776914764908501</v>
        <stp/>
        <stp>{AD16E000-EB09-48C3-B777-FEC303EDD44F}_x0000_</stp>
        <tr r="AK9" s="13"/>
      </tp>
      <tp>
        <v>968756.92032999999</v>
        <stp/>
        <stp>{9E92AB5D-225A-4B56-9319-7A321BB2A80E}_x0000_</stp>
        <tr r="BU8" s="5"/>
      </tp>
      <tp>
        <v>346.48321349999998</v>
        <stp/>
        <stp>{A94ECED0-401E-43DC-872C-5673BB59DCB8}_x0000_</stp>
        <tr r="BQ10" s="5"/>
      </tp>
      <tp>
        <v>1092651.2316099999</v>
        <stp/>
        <stp>{44740665-A2A2-4C22-8FA4-FC84E96AE8F3}_x0000_</stp>
        <tr r="AG8" s="5"/>
      </tp>
      <tp>
        <v>23.4177531845062</v>
        <stp/>
        <stp>{61A6F7B1-6263-43BA-861A-0F82F71DC301}_x0000_</stp>
        <tr r="AL10" s="5"/>
      </tp>
      <tp>
        <v>1731912.3338921999</v>
        <stp/>
        <stp>{7ED11228-BC08-4613-AE58-201E9C9DA712}_x0000_</stp>
        <tr r="BB10" s="5"/>
      </tp>
      <tp>
        <v>3.5920017068521402</v>
        <stp/>
        <stp>{E460F33E-CCD6-41F9-984F-A81CA914E9A3}_x0000_</stp>
        <tr r="T17" s="13"/>
      </tp>
      <tp>
        <v>7.00981290118958</v>
        <stp/>
        <stp>{643BC101-3EF1-417B-82CC-8A113992E6FB}_x0000_</stp>
        <tr r="W8" s="5"/>
      </tp>
      <tp>
        <v>30.153739999999999</v>
        <stp/>
        <stp>{ABE5A076-EFE5-42C9-93DB-CF3B9AE43E3F}_x0000_</stp>
        <tr r="BQ8" s="5"/>
      </tp>
      <tp>
        <v>8.3271259925787504</v>
        <stp/>
        <stp>{2A1E1C2C-711F-4D2F-9708-D9A5728C98DA}_x0000_</stp>
        <tr r="T13" s="5"/>
      </tp>
      <tp>
        <v>20.967745651997799</v>
        <stp/>
        <stp>{C586B7D8-6799-4334-8830-922A49926742}_x0000_</stp>
        <tr r="T10" s="5"/>
      </tp>
      <tp>
        <v>1756959.56422907</v>
        <stp/>
        <stp>{285F4D91-9CDE-43E6-95FB-EA5AF8C0DDA2}_x0000_</stp>
        <tr r="AV10" s="5"/>
      </tp>
      <tp>
        <v>15.469856034580999</v>
        <stp/>
        <stp>{DF5FC2EF-920C-422D-8439-2885FD53C7FF}_x0000_</stp>
        <tr r="AF17" s="5"/>
      </tp>
      <tp>
        <v>11.6212832227465</v>
        <stp/>
        <stp>{C610225F-738C-4950-A640-3FE6E879506C}_x0000_</stp>
        <tr r="AF17" s="13"/>
      </tp>
      <tp>
        <v>304096.46999999997</v>
        <stp/>
        <stp>{DA813D26-1816-4135-A78E-6FD7D218F073}_x0000_</stp>
        <tr r="J11" s="13"/>
      </tp>
      <tp>
        <v>2557459.14928</v>
        <stp/>
        <stp>{C8CB9FFF-2269-465D-9555-22AA896D22CB}_x0000_</stp>
        <tr r="R19" s="5"/>
      </tp>
      <tp>
        <v>25067.200000000001</v>
        <stp/>
        <stp>{AD528236-CA78-47D6-9510-98ADF7034840}_x0000_</stp>
        <tr r="L10" s="5"/>
      </tp>
      <tp>
        <v>26845.396000000001</v>
        <stp/>
        <stp>{71FA89A1-1FD5-4A8F-ACA2-F759E2BC9964}_x0000_</stp>
        <tr r="L8" s="5"/>
      </tp>
      <tp>
        <v>45657</v>
        <stp/>
        <stp>{749E2CCC-02E6-47C6-B215-E869881B9347}_x0000_</stp>
        <tr r="H36" s="1"/>
      </tp>
      <tp>
        <v>37062516.6756</v>
        <stp/>
        <stp>{200211F0-6167-41E8-BEFE-0D004E852658}_x0000_</stp>
        <tr r="I10" s="5"/>
      </tp>
      <tp>
        <v>11.4402175299</v>
        <stp/>
        <stp>{1C8BB7B7-9979-4808-BF34-4525C0D3FE6D}_x0000_</stp>
        <tr r="AI8" s="5"/>
      </tp>
      <tp>
        <v>19.0400552674257</v>
        <stp/>
        <stp>{B9A7C1D7-7A6D-4BD6-BB75-C5CE88583041}_x0000_</stp>
        <tr r="K52" s="1"/>
      </tp>
      <tp>
        <v>1587415.037</v>
        <stp/>
        <stp>{3CD48F6A-C9C8-459E-90C4-D48FAA4E6B4C}_x0000_</stp>
        <tr r="G51" s="1"/>
      </tp>
      <tp>
        <v>7.3883233591012401</v>
        <stp/>
        <stp>{3D98FC81-5B5A-4F4F-BFEA-6C1247842AFE}_x0000_</stp>
        <tr r="X12" s="5"/>
      </tp>
      <tp>
        <v>9.7414354926583098</v>
        <stp/>
        <stp>{ED86409E-4AB0-481D-B1EF-2E750A365DF3}_x0000_</stp>
        <tr r="AE9" s="13"/>
      </tp>
      <tp>
        <v>850756.61292307905</v>
        <stp/>
        <stp>{AFE27A2F-35CB-42AB-8428-DAD35C7CD2B6}_x0000_</stp>
        <tr r="R25" s="5"/>
      </tp>
      <tp>
        <v>886886.19955999998</v>
        <stp/>
        <stp>{AB223A3A-E18E-4B02-ACBD-054958E84CE2}_x0000_</stp>
        <tr r="I57" s="1"/>
      </tp>
      <tp>
        <v>-1369584.6869334099</v>
        <stp/>
        <stp>{109B27FD-F60D-45B6-AB50-54E9291B2ABB}_x0000_</stp>
        <tr r="BZ10" s="5"/>
      </tp>
      <tp>
        <v>21.429655748795501</v>
        <stp/>
        <stp>{4CF4290D-DD1B-468C-AFE7-9B694BA1D5AE}_x0000_</stp>
        <tr r="J52" s="1"/>
      </tp>
      <tp>
        <v>43.3810649242319</v>
        <stp/>
        <stp>{C9A344E2-2C33-482C-AD8A-F2A6695B1DCD}_x0000_</stp>
        <tr r="AJ10" s="5"/>
      </tp>
      <tp>
        <v>0.36167945182590699</v>
        <stp/>
        <stp>{6F8D3DEB-2180-4BD2-ADAC-833A43DDC46C}_x0000_</stp>
        <tr r="AM11" s="13"/>
      </tp>
      <tp>
        <v>11.2916593939322</v>
        <stp/>
        <stp>{B1B48ECE-5A06-4282-9C6D-B65C506EF6F7}_x0000_</stp>
        <tr r="X27" s="5"/>
      </tp>
      <tp t="s">
        <v/>
        <stp/>
        <stp>{62E1746E-0E55-4438-90D0-C717E0636593}_x0000_</stp>
        <tr r="AM8" s="5"/>
      </tp>
      <tp>
        <v>23.725441415594801</v>
        <stp/>
        <stp>{EF593CCF-F974-4A87-A732-4C5DF36A8876}_x0000_</stp>
        <tr r="X13" s="5"/>
      </tp>
      <tp>
        <v>4.4694898799724996</v>
        <stp/>
        <stp>{FF164F70-F5FB-487C-BA51-6AC4292FB8B3}_x0000_</stp>
        <tr r="T18" s="13"/>
      </tp>
      <tp>
        <v>-59.545782200867201</v>
        <stp/>
        <stp>{9C6CA4C3-2199-46F3-B303-DF90AADA0F27}_x0000_</stp>
        <tr r="AB13" s="13"/>
      </tp>
      <tp>
        <v>2526484.4279999998</v>
        <stp/>
        <stp>{3DE8B19F-8D59-4398-B4A5-3FCFFD751502}_x0000_</stp>
        <tr r="R18" s="13"/>
      </tp>
      <tp>
        <v>-40.795179674233701</v>
        <stp/>
        <stp>{D6D18555-F3EC-403B-8CAF-6ADE7E86BCDA}_x0000_</stp>
        <tr r="AB19" s="5"/>
      </tp>
      <tp>
        <v>6.9964606500241802</v>
        <stp/>
        <stp>{73881613-8660-4BA6-B52F-26D4799B1443}_x0000_</stp>
        <tr r="F44" s="1"/>
      </tp>
      <tp>
        <v>36.805545202478598</v>
        <stp/>
        <stp>{9F0BF054-EE33-4D28-854D-94EF5FBE1A2B}_x0000_</stp>
        <tr r="AF10" s="5"/>
      </tp>
      <tp>
        <v>815073.35800000001</v>
        <stp/>
        <stp>{5193A3E5-CB0E-457C-BFD5-8C8A99092ABA}_x0000_</stp>
        <tr r="AU11" s="13"/>
      </tp>
      <tp>
        <v>2.11390467647059</v>
        <stp/>
        <stp>{EFBDABAA-96E7-4482-8EF8-730140270752}_x0000_</stp>
        <tr r="AN8" s="5"/>
      </tp>
      <tp>
        <v>58.2709525</v>
        <stp/>
        <stp>{6EFB8C96-FCC0-4199-942A-E05A2E379461}_x0000_</stp>
        <tr r="F54" s="1"/>
      </tp>
      <tp t="s">
        <v>Technology Equipment</v>
        <stp/>
        <stp>{31DF159C-F14F-4FD2-B390-8C750799C80A}_x0000_</stp>
        <tr r="G3" s="13"/>
      </tp>
      <tp>
        <v>63.089765720391298</v>
        <stp/>
        <stp>{B287AE3E-85BC-453D-82C5-C32CB092FC94}_x0000_</stp>
        <tr r="BK11" s="13"/>
      </tp>
      <tp>
        <v>15095171.281300001</v>
        <stp/>
        <stp>{7E5918F7-AA1B-46C5-BFFC-F5CE808F84C0}_x0000_</stp>
        <tr r="R11" s="13"/>
      </tp>
      <tp>
        <v>351671.63130000001</v>
        <stp/>
        <stp>{57DE2D49-FD22-4F30-B3B2-BEF3A66839D9}_x0000_</stp>
        <tr r="R28" s="5"/>
      </tp>
      <tp>
        <v>18.049833515635498</v>
        <stp/>
        <stp>{A3D2405B-8738-4F9B-B018-A178E617EA00}_x0000_</stp>
        <tr r="T22" s="5"/>
      </tp>
      <tp>
        <v>52.505762327955303</v>
        <stp/>
        <stp>{259C749A-95D6-42EC-B068-EF5E5BA278B9}_x0000_</stp>
        <tr r="E62" s="1"/>
      </tp>
      <tp>
        <v>45657</v>
        <stp/>
        <stp>{F89F93F1-5424-4442-85AC-79C3BE020C40}_x0000_</stp>
        <tr r="J50" s="1"/>
      </tp>
      <tp t="s">
        <v>NaN</v>
        <stp/>
        <stp>{496B4481-B3A1-4650-87FF-24F597CD7425}_x0000_</stp>
        <tr r="AR8" s="5"/>
      </tp>
      <tp>
        <v>16717.743999999999</v>
        <stp/>
        <stp>{892F9A06-E163-44D9-8119-AF154DFC9A8D}_x0000_</stp>
        <tr r="F28" s="1"/>
      </tp>
      <tp>
        <v>68.037582674171105</v>
        <stp/>
        <stp>{09BC2682-6840-48D9-B7AD-BEA11911DEEF}_x0000_</stp>
        <tr r="BI9" s="13"/>
      </tp>
      <tp t="s">
        <v/>
        <stp/>
        <stp>{C92E80CE-AC43-489B-AF42-CC62BEBEBAEC}_x0000_</stp>
        <tr r="AR11" s="13"/>
      </tp>
      <tp>
        <v>63.460226117886201</v>
        <stp/>
        <stp>{E41AA7E5-BA25-4009-85E2-10BCCA3555BA}_x0000_</stp>
        <tr r="W11" s="13"/>
      </tp>
      <tp>
        <v>20.967745651997799</v>
        <stp/>
        <stp>{B37B4D6E-7922-455B-9D68-5BFD5E66E142}_x0000_</stp>
        <tr r="T11" s="13"/>
      </tp>
      <tp>
        <v>2263891.2919999999</v>
        <stp/>
        <stp>{1D9319F6-8035-48B2-BF9B-9C9ED82E3DE5}_x0000_</stp>
        <tr r="AU8" s="5"/>
      </tp>
      <tp>
        <v>132.70859466702299</v>
        <stp/>
        <stp>{5362125D-F539-40DD-8D6E-A1CE72F061CA}_x0000_</stp>
        <tr r="E40" s="1"/>
      </tp>
      <tp>
        <v>55387.760999999999</v>
        <stp/>
        <stp>{11A48A2A-FF87-4374-AEBB-C39C2525F210}_x0000_</stp>
        <tr r="BT11" s="13"/>
      </tp>
      <tp>
        <v>18.639948744235401</v>
        <stp/>
        <stp>{D2229108-D035-4BBF-8F1A-98CA95D8425C}_x0000_</stp>
        <tr r="F52" s="1"/>
      </tp>
      <tp t="s">
        <v/>
        <stp/>
        <stp>{996A8ACE-274F-4B8E-8215-D921BD5D212F}_x0000_</stp>
        <tr r="AQ10" s="5"/>
      </tp>
      <tp>
        <v>42.044575724340298</v>
        <stp/>
        <stp>{B937A314-3AE7-45DE-806B-D9AFA092BD0F}_x0000_</stp>
        <tr r="I58" s="1"/>
      </tp>
      <tp>
        <v>67.554844889600005</v>
        <stp/>
        <stp>{242A758E-43CC-45E6-8BEB-C3D5500E358C}_x0000_</stp>
        <tr r="G56" s="1"/>
      </tp>
      <tp>
        <v>82.722122868024499</v>
        <stp/>
        <stp>{1AB5B5DD-EA0D-4152-819D-6D1F0F1A06A6}_x0000_</stp>
        <tr r="AA11" s="13"/>
      </tp>
      <tp>
        <v>439576.47131452698</v>
        <stp/>
        <stp>{8F904531-F1EC-4190-9098-1E403553D5E6}_x0000_</stp>
        <tr r="R29" s="5"/>
      </tp>
      <tp>
        <v>1122069.591</v>
        <stp/>
        <stp>{89645669-6B43-4D14-B58D-C332DEED2450}_x0000_</stp>
        <tr r="BL9" s="13"/>
      </tp>
      <tp>
        <v>2557459.14928</v>
        <stp/>
        <stp>{46C655AD-3278-4956-B270-42439112966F}_x0000_</stp>
        <tr r="R20" s="13"/>
      </tp>
      <tp>
        <v>48.130688070158499</v>
        <stp/>
        <stp>{85F9DF50-7DFB-41E2-AE7F-A7A64E5DA234}_x0000_</stp>
        <tr r="H62" s="1"/>
      </tp>
      <tp>
        <v>2228148.838</v>
        <stp/>
        <stp>{9694D73E-6D0F-4ABF-8344-1CC04F62D3EC}_x0000_</stp>
        <tr r="F51" s="1"/>
      </tp>
      <tp>
        <v>44926</v>
        <stp/>
        <stp>{2B33EF89-A4C8-4772-AD37-9B21F93158B9}_x0000_</stp>
        <tr r="F8" s="5"/>
      </tp>
      <tp>
        <v>18.239860130119801</v>
        <stp/>
        <stp>{739BD05B-5DFC-49AE-893D-D9FB88A6BA55}_x0000_</stp>
        <tr r="AJ8" s="5"/>
      </tp>
      <tp>
        <v>59.559170000000002</v>
        <stp/>
        <stp>{0CB5F691-0E6F-4FD3-B0C7-4EC47FFF069B}_x0000_</stp>
        <tr r="H54" s="1"/>
      </tp>
      <tp>
        <v>6.0232151786948904</v>
        <stp/>
        <stp>{05826EE0-C15E-4BBB-A9CA-82F001F4E016}_x0000_</stp>
        <tr r="T29" s="5"/>
      </tp>
      <tp>
        <v>69.924214520352706</v>
        <stp/>
        <stp>{2DA9A9A6-E586-43DC-9607-A19500663F38}_x0000_</stp>
        <tr r="BE9" s="13"/>
      </tp>
      <tp>
        <v>1111970.7222200001</v>
        <stp/>
        <stp>{EF9C319D-2555-45AF-B2FA-CD012826244D}_x0000_</stp>
        <tr r="I53" s="1"/>
      </tp>
      <tp>
        <v>1454086.66258</v>
        <stp/>
        <stp>{68390A4C-DA2A-4DE7-91FB-D06A4A133CDA}_x0000_</stp>
        <tr r="I55" s="1"/>
      </tp>
      <tp>
        <v>3638813.13307</v>
        <stp/>
        <stp>{9F4C5D42-6235-4B15-A969-242EFABD5D3F}_x0000_</stp>
        <tr r="R16" s="13"/>
      </tp>
      <tp>
        <v>42.614958232879601</v>
        <stp/>
        <stp>{52BA6BDE-E07E-4DFB-A190-8494F85F0F5B}_x0000_</stp>
        <tr r="H52" s="1"/>
      </tp>
      <tp>
        <v>886886.19955999998</v>
        <stp/>
        <stp>{2AA99034-A745-4F80-8AFD-65258C27229C}_x0000_</stp>
        <tr r="BM8" s="5"/>
      </tp>
      <tp>
        <v>2561431.1488600001</v>
        <stp/>
        <stp>{6E38AAD8-01A1-42FB-BA5A-3AAE835DD456}_x0000_</stp>
        <tr r="AW9" s="13"/>
      </tp>
      <tp>
        <v>20.317389814372898</v>
        <stp/>
        <stp>{B6DBF2FC-88D9-4E2B-ABB6-3017CFC31DFC}_x0000_</stp>
        <tr r="AB18" s="5"/>
      </tp>
      <tp>
        <v>18.41278829609</v>
        <stp/>
        <stp>{AD5C8FE3-383F-40AA-9DE2-7E12FE4FAD88}_x0000_</stp>
        <tr r="X18" s="5"/>
      </tp>
      <tp>
        <v>1348354.8060000001</v>
        <stp/>
        <stp>{890C6483-B6EA-4D66-A64C-BC0263341530}_x0000_</stp>
        <tr r="H53" s="1"/>
      </tp>
      <tp>
        <v>37.174882434451298</v>
        <stp/>
        <stp>{FED680FB-9C56-4F50-9C18-204CCA7CE678}_x0000_</stp>
        <tr r="AB10" s="5"/>
      </tp>
      <tp>
        <v>18.520015570549401</v>
        <stp/>
        <stp>{42DFD80F-9499-4A82-841C-01814BEF3A80}_x0000_</stp>
        <tr r="S11" s="13"/>
      </tp>
      <tp>
        <v>325897.73100000003</v>
        <stp/>
        <stp>{F7121564-85B3-4D3E-B5DE-7429669908CE}_x0000_</stp>
        <tr r="E55" s="1"/>
      </tp>
      <tp>
        <v>4.6882412571601897</v>
        <stp/>
        <stp>{C8A2B2EC-319B-44DF-83D2-4E46A0571FFB}_x0000_</stp>
        <tr r="X23" s="5"/>
      </tp>
      <tp>
        <v>45291</v>
        <stp/>
        <stp>{18285DBC-6196-447B-8D86-9A0833B2546C}_x0000_</stp>
        <tr r="G36" s="1"/>
      </tp>
      <tp>
        <v>260199.84700000001</v>
        <stp/>
        <stp>{6624971B-C13D-4722-B60A-4AABC4B0DE2E}_x0000_</stp>
        <tr r="E53" s="1"/>
      </tp>
      <tp>
        <v>0.57125911849701505</v>
        <stp/>
        <stp>{6BCAF813-EC64-4071-BBD7-DA969F426795}_x0000_</stp>
        <tr r="E43" s="1"/>
      </tp>
      <tp>
        <v>3.3502553587944699</v>
        <stp/>
        <stp>{27E67C1C-BE20-4F13-BCB5-B90C13AB744E}_x0000_</stp>
        <tr r="T15" s="5"/>
      </tp>
      <tp>
        <v>8604.6419999999998</v>
        <stp/>
        <stp>{08F9E613-07E0-464C-8B8C-1B9A38DB2DEE}_x0000_</stp>
        <tr r="O9" s="13"/>
      </tp>
      <tp>
        <v>36.81418</v>
        <stp/>
        <stp>{E8239B34-CC2C-40D0-B2EF-F7E574838C6F}_x0000_</stp>
        <tr r="BR8" s="5"/>
      </tp>
      <tp t="s">
        <v>Quarterly</v>
        <stp/>
        <stp>{BD4DC518-4AA8-4EB2-9FC7-74D4CCCAE493}_x0000_</stp>
        <tr r="D50" s="1"/>
      </tp>
      <tp>
        <v>6.5753984737453504</v>
        <stp/>
        <stp>{72B41E75-64A6-499F-9657-FE8D2091FE22}_x0000_</stp>
        <tr r="E44" s="1"/>
      </tp>
      <tp>
        <v>40.945869974099999</v>
        <stp/>
        <stp>{9FC622C3-50FA-4C38-AFCD-44DC587F5EAC}_x0000_</stp>
        <tr r="G58" s="1"/>
      </tp>
      <tp>
        <v>59.019695244494699</v>
        <stp/>
        <stp>{C8C70777-727F-4A42-B5E7-9BDC3FE662DF}_x0000_</stp>
        <tr r="BD11" s="13"/>
      </tp>
      <tp>
        <v>12.0693874408705</v>
        <stp/>
        <stp>{0D3F46C2-FC81-4600-A0B6-AF4322D50E09}_x0000_</stp>
        <tr r="AL8" s="5"/>
      </tp>
      <tp>
        <v>0.62531364417781199</v>
        <stp/>
        <stp>{F98A7820-95EB-430C-AA35-8986982B5276}_x0000_</stp>
        <tr r="F43" s="1"/>
      </tp>
      <tp t="s">
        <v>5710</v>
        <stp/>
        <stp>{C6194B67-1E1D-407B-9E77-13171F3132E4}_x0000_</stp>
        <tr r="F3" s="13"/>
      </tp>
      <tp>
        <v>0.79617124738789702</v>
        <stp/>
        <stp>{BCE11B9A-6F94-40E4-B5D9-1B981484FFA3}_x0000_</stp>
        <tr r="T25" s="5"/>
      </tp>
      <tp>
        <v>-59.545782200867201</v>
        <stp/>
        <stp>{D40238C9-47D0-4A46-8301-7801057B664A}_x0000_</stp>
        <tr r="AB12" s="5"/>
      </tp>
      <tp>
        <v>394000.71035350999</v>
        <stp/>
        <stp>{41409BE7-94B0-4EFD-BD9D-FFE55DC222DA}_x0000_</stp>
        <tr r="BF10" s="5"/>
      </tp>
      <tp>
        <v>27.875671034291098</v>
        <stp/>
        <stp>{E087E908-C6D8-4114-8421-D5D21D9F6442}_x0000_</stp>
        <tr r="AB8" s="5"/>
      </tp>
      <tp>
        <v>33.774433876882597</v>
        <stp/>
        <stp>{10AA95A5-ADBF-4553-8B18-1D59AD835865}_x0000_</stp>
        <tr r="AF14" s="5"/>
      </tp>
      <tp>
        <v>46.082072899192802</v>
        <stp/>
        <stp>{6B0DC2CF-E125-465C-991E-23AB77282F2A}_x0000_</stp>
        <tr r="AF13" s="13"/>
      </tp>
      <tp>
        <v>-13.620249023090601</v>
        <stp/>
        <stp>{A2114187-9C74-45C0-A4AB-B094733F8F83}_x0000_</stp>
        <tr r="AF21" s="5"/>
      </tp>
      <tp>
        <v>1514776.7919999999</v>
        <stp/>
        <stp>{234E612D-CA1D-42CC-BA83-B39594F5A0FD}_x0000_</stp>
        <tr r="F24" s="1"/>
      </tp>
      <tp>
        <v>14.4850724738609</v>
        <stp/>
        <stp>{BC2193F7-3CE0-42B2-B613-8E0527F27CE0}_x0000_</stp>
        <tr r="X18" s="13"/>
      </tp>
      <tp>
        <v>52.647683440000002</v>
        <stp/>
        <stp>{8096BD01-1D3C-4374-B617-185A4D092CF9}_x0000_</stp>
        <tr r="BP10" s="5"/>
      </tp>
      <tp>
        <v>63.460226117886201</v>
        <stp/>
        <stp>{79A0CC8A-13D3-4AB3-BF13-0BF1D23B80FA}_x0000_</stp>
        <tr r="W10" s="5"/>
      </tp>
      <tp t="s">
        <v>NULL</v>
        <stp/>
        <stp>{32C2223A-7C7B-41A5-ACBE-1A9BEE379ACE}_x0000_</stp>
        <tr r="AP11" s="13"/>
      </tp>
      <tp>
        <v>547.19690079999998</v>
        <stp/>
        <stp>{BE6A98A1-8A13-44CE-91D1-F8A3CBAB5039}_x0000_</stp>
        <tr r="BR11" s="13"/>
      </tp>
      <tp>
        <v>6539638.01566232</v>
        <stp/>
        <stp>{B05BB738-04DC-4D0A-AC28-5D3F9B0A4388}_x0000_</stp>
        <tr r="R12" s="5"/>
      </tp>
      <tp>
        <v>57.731074565400903</v>
        <stp/>
        <stp>{851D1EDD-5A19-474C-992C-EE09BE3A30CC}_x0000_</stp>
        <tr r="BJ11" s="13"/>
      </tp>
      <tp t="s">
        <v/>
        <stp/>
        <stp>{858F358B-EEA4-4D69-BD3B-486E08049947}_x0000_</stp>
        <tr r="AO11" s="13"/>
      </tp>
      <tp>
        <v>1559323.8640000001</v>
        <stp/>
        <stp>{D291F09C-6ADE-4C9E-A44C-F9B29716E235}_x0000_</stp>
        <tr r="H55" s="1"/>
      </tp>
      <tp>
        <v>3114244.0108010899</v>
        <stp/>
        <stp>{F22D6D30-4B54-4ABF-ACFE-6ADD776E487E}_x0000_</stp>
        <tr r="AX10" s="5"/>
      </tp>
      <tp>
        <v>14097372.2111183</v>
        <stp/>
        <stp>{E3CF9750-E17E-4BF6-A6E1-B69E265AD0BC}_x0000_</stp>
        <tr r="I8" s="5"/>
      </tp>
      <tp>
        <v>14.4805920686672</v>
        <stp/>
        <stp>{6F354958-1216-4BA1-9F85-99C04D51FB3C}_x0000_</stp>
        <tr r="X20" s="13"/>
      </tp>
      <tp>
        <v>16.541068654658101</v>
        <stp/>
        <stp>{4D727AA2-8ED2-4748-8708-933A0717C418}_x0000_</stp>
        <tr r="AB17" s="5"/>
      </tp>
      <tp>
        <v>1523076.22755</v>
        <stp/>
        <stp>{9FE5CDB7-A58C-4FFE-864E-DEED3B14F2C1}_x0000_</stp>
        <tr r="BF8" s="5"/>
      </tp>
      <tp>
        <v>-70798.430999999997</v>
        <stp/>
        <stp>{A4F02E36-6201-4625-AAB2-AF27A52775BD}_x0000_</stp>
        <tr r="BX10" s="5"/>
      </tp>
      <tp t="s">
        <v>Taiwan Semiconductor Manufacturing Co Ltd</v>
        <stp/>
        <stp>{44DE6E30-B03D-4BAF-BE52-579325EABF91}_x0000_</stp>
        <tr r="E7" s="1"/>
      </tp>
      <tp>
        <v>1795394.4033299999</v>
        <stp/>
        <stp>{BFC13D6D-AFD2-44C3-A2D0-34C1F13EE615}_x0000_</stp>
        <tr r="BH9" s="13"/>
      </tp>
      <tp t="s">
        <v>NVDA.OQ</v>
        <stp/>
        <stp>{2DEEC3F9-1026-49A7-96D0-ECC124A9D3BC}_x0000_</stp>
        <tr r="CD11" s="13"/>
      </tp>
      <tp>
        <v>1000922.036637</v>
        <stp/>
        <stp>{2C0D5429-8254-475D-8D99-230D6EE2E764}_x0000_</stp>
        <tr r="BM10" s="5"/>
      </tp>
      <tp>
        <v>9.3040480916824109</v>
        <stp/>
        <stp>{98F163E3-A7FE-49CA-84B4-9AA40CA5760A}_x0000_</stp>
        <tr r="X8" s="5"/>
      </tp>
      <tp>
        <v>10930568.539000001</v>
        <stp/>
        <stp>{C2E49A27-B44C-47CA-BC30-93AF7AB64627}_x0000_</stp>
        <tr r="R8" s="5"/>
      </tp>
      <tp>
        <v>46.082072899192802</v>
        <stp/>
        <stp>{1D1DFC38-5A9F-4F08-BEE0-8571123DCCB1}_x0000_</stp>
        <tr r="AF12" s="5"/>
      </tp>
      <tp>
        <v>14.449381510918901</v>
        <stp/>
        <stp>{189E0389-DB15-4F87-AAF5-1A292907E81A}_x0000_</stp>
        <tr r="X24" s="5"/>
      </tp>
      <tp>
        <v>7.4971251970936796</v>
        <stp/>
        <stp>{05DEAB9A-AE3A-4189-B506-1A8571ED31F0}_x0000_</stp>
        <tr r="T15" s="13"/>
      </tp>
      <tp>
        <v>134.81826204892701</v>
        <stp/>
        <stp>{20389233-1063-4DE8-94A2-16ECFAE27C44}_x0000_</stp>
        <tr r="H40" s="1"/>
      </tp>
      <tp>
        <v>237868.22399999999</v>
        <stp/>
        <stp>{3DA19E20-3D0A-4AF4-BD50-810856503FB8}_x0000_</stp>
        <tr r="AY10" s="5"/>
      </tp>
      <tp>
        <v>5.7443823369729499</v>
        <stp/>
        <stp>{8982E881-8DA9-470A-9C62-078CC9590064}_x0000_</stp>
        <tr r="T19" s="13"/>
      </tp>
      <tp>
        <v>26845.396000000001</v>
        <stp/>
        <stp>{EFA39A05-43D4-43EE-9987-79943E0FDC48}_x0000_</stp>
        <tr r="F25" s="1"/>
      </tp>
      <tp>
        <v>1334018.72267</v>
        <stp/>
        <stp>{1E9909DB-5B5A-4B14-9F3D-3A68CE373978}_x0000_</stp>
        <tr r="BO8" s="5"/>
      </tp>
      <tp>
        <v>15005.06748</v>
        <stp/>
        <stp>{7B9A25DD-7C10-46F4-9F74-180F27EFEAB9}_x0000_</stp>
        <tr r="H11" s="13"/>
      </tp>
      <tp>
        <v>54.113460000000003</v>
        <stp/>
        <stp>{290E637E-A3FF-463E-9237-A91EDCF79759}_x0000_</stp>
        <tr r="E54" s="1"/>
      </tp>
      <tp>
        <v>9321.0910000000003</v>
        <stp/>
        <stp>{6449046D-B2B0-4AB4-8A04-166F9507AB65}_x0000_</stp>
        <tr r="F29" s="1"/>
      </tp>
      <tp>
        <v>14835.672</v>
        <stp/>
        <stp>{6D4068D7-9961-45FE-831A-0719927A085F}_x0000_</stp>
        <tr r="E28" s="1"/>
      </tp>
      <tp>
        <v>36.767783037051103</v>
        <stp/>
        <stp>{3A4CB2BE-C120-4B46-A5D2-996252C07E67}_x0000_</stp>
        <tr r="G41" s="1"/>
      </tp>
      <tp>
        <v>42.903797500000003</v>
        <stp/>
        <stp>{276C2FFF-7F6B-41C2-9A8F-CA44E978A365}_x0000_</stp>
        <tr r="F60" s="1"/>
      </tp>
      <tp t="s">
        <v/>
        <stp/>
        <stp>{70056BFF-4E1B-4133-B1E4-DF1FE9D4D4AA}_x0000_</stp>
        <tr r="AO10" s="5"/>
      </tp>
      <tp>
        <v>-6.8243665897717598</v>
        <stp/>
        <stp>{806B5EC8-CD17-41EE-BA5F-6AE91EA27401}_x0000_</stp>
        <tr r="I52" s="1"/>
      </tp>
      <tp>
        <v>78.944200379266803</v>
        <stp/>
        <stp>{CB629D7A-322E-4A3E-B151-309E296633E3}_x0000_</stp>
        <tr r="AE11" s="13"/>
      </tp>
      <tp t="s">
        <v/>
        <stp/>
        <stp>{2AD14B52-6F51-4B18-8FBC-8490C9B8731F}_x0000_</stp>
        <tr r="AO8" s="5"/>
      </tp>
      <tp>
        <v>68.933823555862105</v>
        <stp/>
        <stp>{48C6131A-C488-43F8-9246-EF8672B26A4C}_x0000_</stp>
        <tr r="BD9" s="13"/>
      </tp>
      <tp t="s">
        <v>The formula must contain at least one field or function.</v>
        <stp/>
        <stp>{A60D4CB3-DDEE-48FF-9A60-7C05992F1E9B}_x0000_</stp>
        <tr r="AF9" s="13"/>
      </tp>
      <tp>
        <v>1089626.456</v>
        <stp/>
        <stp>{3897C684-E5C9-4C48-A8B1-D066476CC8F4}_x0000_</stp>
        <tr r="BT8" s="5"/>
      </tp>
      <tp>
        <v>2109395.0510399998</v>
        <stp/>
        <stp>{1D3A9104-FB17-472D-8F93-9F99383E6924}_x0000_</stp>
        <tr r="AV9" s="13"/>
      </tp>
      <tp t="s">
        <v>NVIDIA Corp</v>
        <stp/>
        <stp>{F0EEA01C-E652-4149-8FB7-1618DE44FA45}_x0000_</stp>
        <tr r="E10" s="5"/>
      </tp>
      <tp>
        <v>4568818.6619699998</v>
        <stp/>
        <stp>{61D9B220-8ADB-4593-B195-653ED2799CCE}_x0000_</stp>
        <tr r="R17" s="13"/>
      </tp>
      <tp>
        <v>46022</v>
        <stp/>
        <stp>{FD9729C2-F1AA-4BE3-B3E1-66AF7FF70EB6}_x0000_</stp>
        <tr r="K50" s="1"/>
      </tp>
      <tp>
        <v>17.7116096752159</v>
        <stp/>
        <stp>{4322DAF5-2D73-49B8-9B59-117A97EC9C01}_x0000_</stp>
        <tr r="AB11" s="5"/>
      </tp>
      <tp t="s">
        <v/>
        <stp/>
        <stp>{E94DDFDC-797C-4C5A-9F0D-D57874F2384C}_x0000_</stp>
        <tr r="AO9" s="13"/>
      </tp>
      <tp>
        <v>7.5114386792532901</v>
        <stp/>
        <stp>{441DF467-E036-467E-B02C-C631EC6D921B}_x0000_</stp>
        <tr r="AF28" s="5"/>
      </tp>
      <tp>
        <v>7.3883233591012401</v>
        <stp/>
        <stp>{1337B285-CB60-48B7-8F73-41FA8743621E}_x0000_</stp>
        <tr r="X13" s="13"/>
      </tp>
      <tp>
        <v>-15.2704272251442</v>
        <stp/>
        <stp>{CBF1BDB5-9118-401E-BE87-08114CCC3176}_x0000_</stp>
        <tr r="AB16" s="13"/>
      </tp>
      <tp>
        <v>-1531847.1228</v>
        <stp/>
        <stp>{8783AF5C-BD93-4DBE-B1F1-142E67F9F480}_x0000_</stp>
        <tr r="CA9" s="13"/>
      </tp>
      <tp>
        <v>1068561.1839999999</v>
        <stp/>
        <stp>{B7D28088-5A21-4CF3-96CA-9C50772D3745}_x0000_</stp>
        <tr r="F57" s="1"/>
      </tp>
      <tp>
        <v>898001.12630220503</v>
        <stp/>
        <stp>{E6558C85-2A5D-438F-B532-021D5EC543D6}_x0000_</stp>
        <tr r="R26" s="5"/>
      </tp>
      <tp>
        <v>-695722.14899999998</v>
        <stp/>
        <stp>{5C52E5D2-28E6-4554-AECA-637A16EE3D36}_x0000_</stp>
        <tr r="BX9" s="13"/>
      </tp>
      <tp>
        <v>19.936666853821801</v>
        <stp/>
        <stp>{D657E44B-D0A4-4C16-89D9-4E0C37569019}_x0000_</stp>
        <tr r="AF18" s="5"/>
      </tp>
      <tp>
        <v>47.509506675875002</v>
        <stp/>
        <stp>{56FE2AB0-28E7-49B5-887E-6C41CD371FB4}_x0000_</stp>
        <tr r="F58" s="1"/>
      </tp>
      <tp>
        <v>7.6933283497643901</v>
        <stp/>
        <stp>{6C099710-C2EF-4840-A710-CC8905E75228}_x0000_</stp>
        <tr r="AB23" s="5"/>
      </tp>
      <tp>
        <v>3638813.13307</v>
        <stp/>
        <stp>{04A602F8-9B41-42AD-AD40-15329E991BFA}_x0000_</stp>
        <tr r="R15" s="5"/>
      </tp>
      <tp>
        <v>20.461102013528699</v>
        <stp/>
        <stp>{86394FB8-BD65-45CF-B32F-6EA1DC87065E}_x0000_</stp>
        <tr r="X21" s="5"/>
      </tp>
      <tp t="s">
        <v/>
        <stp/>
        <stp>{E88C7271-3286-4CC7-B4AA-A7F281ACA429}_x0000_</stp>
        <tr r="AM9" s="13"/>
      </tp>
      <tp>
        <v>11.0622619900064</v>
        <stp/>
        <stp>{03CA1854-B2FC-4D92-81FB-A4E93CF4124A}_x0000_</stp>
        <tr r="AB16" s="5"/>
      </tp>
      <tp>
        <v>70.028599574741506</v>
        <stp/>
        <stp>{991EF122-0C41-4BAE-A1F1-9020DCA45EED}_x0000_</stp>
        <tr r="BK9" s="13"/>
      </tp>
      <tp t="s">
        <v/>
        <stp/>
        <stp>{2E7A78F6-0F8A-48AB-BBE1-1AD2BF91F4C6}_x0000_</stp>
        <tr r="E27" s="1"/>
      </tp>
      <tp>
        <v>3114244.0108010899</v>
        <stp/>
        <stp>{53ADF602-54CC-4FD3-ABDE-F14368314D20}_x0000_</stp>
        <tr r="AX11" s="13"/>
      </tp>
      <tp>
        <v>116.8843840397</v>
        <stp/>
        <stp>{1E216E49-00B1-471B-B724-D3A9E293B405}_x0000_</stp>
        <tr r="AI10" s="5"/>
      </tp>
      <tp>
        <v>1580968.9162997201</v>
        <stp/>
        <stp>{65557CA2-B5D4-41C3-A8CA-57562F307FE5}_x0000_</stp>
        <tr r="BA11" s="13"/>
      </tp>
      <tp>
        <v>95.495414376734502</v>
        <stp/>
        <stp>{E85D6E3E-B2FF-48B3-9ED1-5BF18C94C3AC}_x0000_</stp>
        <tr r="E41" s="1"/>
      </tp>
      <tp>
        <v>14.4805920686672</v>
        <stp/>
        <stp>{366F7C2A-CB74-45C2-91A3-CF779003D4C8}_x0000_</stp>
        <tr r="X19" s="5"/>
      </tp>
      <tp>
        <v>6379612.4000057401</v>
        <stp/>
        <stp>{FCCCAEEA-1B14-4D90-8D98-FD4519ECB7E9}_x0000_</stp>
        <tr r="R14" s="13"/>
      </tp>
      <tp>
        <v>29.818221403183902</v>
        <stp/>
        <stp>{7CE2A15F-6C74-495B-8371-BEC3824CE5B2}_x0000_</stp>
        <tr r="AB14" s="13"/>
      </tp>
      <tp>
        <v>18.5297244379285</v>
        <stp/>
        <stp>{C0465B59-798B-4036-B373-BDC3579E8D03}_x0000_</stp>
        <tr r="G52" s="1"/>
      </tp>
      <tp t="s">
        <v/>
        <stp/>
        <stp>{77FB4140-B90A-46C4-B111-9A2C232EB0A0}_x0000_</stp>
        <tr r="AS10" s="5"/>
      </tp>
      <tp>
        <v>14.6087369377348</v>
        <stp/>
        <stp>{DE877AC9-D792-4418-B00D-00A745B7C8BA}_x0000_</stp>
        <tr r="F45" s="1"/>
      </tp>
      <tp>
        <v>26845.396000000001</v>
        <stp/>
        <stp>{86F3A85D-FDB3-4B82-A09A-D14978C95586}_x0000_</stp>
        <tr r="L9" s="13"/>
      </tp>
      <tp t="s">
        <v>Semiconductors</v>
        <stp/>
        <stp>{C21B5500-625F-4FA0-93D4-0AB9C42E359D}_x0000_</stp>
        <tr r="G9" s="13"/>
      </tp>
      <tp>
        <v>1092651.2316099999</v>
        <stp/>
        <stp>{39D8142B-E7E8-4F7B-A5F7-7A324FC39E09}_x0000_</stp>
        <tr r="AG9" s="13"/>
      </tp>
      <tp>
        <v>53.936100000000003</v>
        <stp/>
        <stp>{48B5D35C-FF84-401B-9C30-5D7B7A244701}_x0000_</stp>
        <tr r="I54" s="1"/>
      </tp>
      <tp>
        <v>502064.68199999997</v>
        <stp/>
        <stp>{81763B10-249F-42E5-9223-7F8254AE46DC}_x0000_</stp>
        <tr r="K10" s="5"/>
      </tp>
      <tp>
        <v>18.3533582780655</v>
        <stp/>
        <stp>{E73DE911-C1C5-4F8F-AB03-0D6159BAB8AA}_x0000_</stp>
        <tr r="AB20" s="5"/>
      </tp>
      <tp>
        <v>-2154999.8158752001</v>
        <stp/>
        <stp>{B4293A65-413E-4F1B-9A86-C76A07A6AA16}_x0000_</stp>
        <tr r="CA11" s="13"/>
      </tp>
      <tp>
        <v>25.761318188938599</v>
        <stp/>
        <stp>{B72ABED0-68F2-4A78-AB62-A2B7C1002021}_x0000_</stp>
        <tr r="AF13" s="5"/>
      </tp>
      <tp>
        <v>78.944200379266803</v>
        <stp/>
        <stp>{7280C1CE-A2C4-4B14-BD42-51EC4F9BC056}_x0000_</stp>
        <tr r="AE10" s="5"/>
      </tp>
      <tp>
        <v>23.4177531845062</v>
        <stp/>
        <stp>{20572660-F2C5-49D3-9E00-B6C7F28DBCD6}_x0000_</stp>
        <tr r="AL11" s="13"/>
      </tp>
      <tp>
        <v>19.936666853821801</v>
        <stp/>
        <stp>{533D23E0-7492-4307-82E7-8E04593DDFE7}_x0000_</stp>
        <tr r="AF19" s="13"/>
      </tp>
      <tp>
        <v>886886.19955999998</v>
        <stp/>
        <stp>{EB340A2C-24E9-470C-A317-5A4181D68BEB}_x0000_</stp>
        <tr r="BM9" s="13"/>
      </tp>
      <tp>
        <v>1559323.8640000001</v>
        <stp/>
        <stp>{92C6258D-B431-4E97-BDC3-551DDF8B010A}_x0000_</stp>
        <tr r="AY9" s="13"/>
      </tp>
      <tp>
        <v>78.1820161470568</v>
        <stp/>
        <stp>{7D5B7DD5-5B95-44D2-8CA0-0885E8C4ED6B}_x0000_</stp>
        <tr r="AF27" s="5"/>
      </tp>
      <tp>
        <v>68.933823555862105</v>
        <stp/>
        <stp>{358BCAC4-9043-469C-94D4-DAA696580A8B}_x0000_</stp>
        <tr r="BD8" s="5"/>
      </tp>
      <tp>
        <v>11.842467939285999</v>
        <stp/>
        <stp>{91B9FCD9-43DD-439C-BEFA-42C1CD050380}_x0000_</stp>
        <tr r="X26" s="5"/>
      </tp>
      <tp>
        <v>2263891.2919999999</v>
        <stp/>
        <stp>{BFB3BF3B-0023-4965-9133-871151B1819B}_x0000_</stp>
        <tr r="AU9" s="13"/>
      </tp>
      <tp t="s">
        <v>The formula must contain at least one field or function.</v>
        <stp/>
        <stp>{B3885E90-CF5C-4F41-BAE7-AC2A34AAE097}_x0000_</stp>
        <tr r="AF8" s="5"/>
      </tp>
      <tp>
        <v>-978380.85109000001</v>
        <stp/>
        <stp>{A169C69A-0D73-4320-972C-8FF7BBA89CED}_x0000_</stp>
        <tr r="BZ8" s="5"/>
      </tp>
      <tp>
        <v>45.872918532572903</v>
        <stp/>
        <stp>{7CEAFBB2-03F8-4116-9217-8A9B25847B4E}_x0000_</stp>
        <tr r="AF22" s="5"/>
      </tp>
      <tp>
        <v>-15.2704272251442</v>
        <stp/>
        <stp>{2B583CBE-3C2D-4344-B2A5-36FBC38FFD34}_x0000_</stp>
        <tr r="AB15" s="5"/>
      </tp>
      <tp>
        <v>547.19690079999998</v>
        <stp/>
        <stp>{4FC0B3C6-EA96-4172-8CEE-0741C47044F9}_x0000_</stp>
        <tr r="BR10" s="5"/>
      </tp>
      <tp t="s">
        <v>NaN</v>
        <stp/>
        <stp>{ED415721-4BA1-4838-8F5F-9448BD251CCB}_x0000_</stp>
        <tr r="AS8" s="5"/>
      </tp>
      <tp>
        <v>50.753072784035602</v>
        <stp/>
        <stp>{91C62853-A9ED-4DC3-83AE-3060354CA39A}_x0000_</stp>
        <tr r="AB22" s="5"/>
      </tp>
      <tp>
        <v>1586581.44316776</v>
        <stp/>
        <stp>{FF047AB1-93C0-4E21-8DE7-1C408685AE50}_x0000_</stp>
        <tr r="BN10" s="5"/>
      </tp>
      <tp>
        <v>44561</v>
        <stp/>
        <stp>{AF7E9959-5567-4031-AC51-3624D60C445B}_x0000_</stp>
        <tr r="G50" s="1"/>
      </tp>
      <tp>
        <v>47040.026795999998</v>
        <stp/>
        <stp>{F4F0AFED-2145-4878-A9FD-2E77C9FC0F1C}_x0000_</stp>
        <tr r="BU10" s="5"/>
      </tp>
      <tp>
        <v>-46.104199394540998</v>
        <stp/>
        <stp>{A8862F3B-1CC3-432D-8212-92FB7E5B4352}_x0000_</stp>
        <tr r="AF20" s="13"/>
      </tp>
      <tp>
        <v>2.6665580071766701</v>
        <stp/>
        <stp>{52DCDC29-A942-4407-BCF8-C862048692D2}_x0000_</stp>
        <tr r="T24" s="5"/>
      </tp>
      <tp>
        <v>2139005.3125</v>
        <stp/>
        <stp>{74637BB0-2BC3-4DEA-8A27-80A217FBE6BB}_x0000_</stp>
        <tr r="BB8" s="5"/>
      </tp>
      <tp>
        <v>3.5920017068521402</v>
        <stp/>
        <stp>{E6DDE3E9-31B7-4CE2-B5AC-CE5B931BE450}_x0000_</stp>
        <tr r="T16" s="5"/>
      </tp>
      <tp>
        <v>480841.25400000002</v>
        <stp/>
        <stp>{B1BE4E39-734D-4AE8-B582-7C5BECD35324}_x0000_</stp>
        <tr r="E51" s="1"/>
      </tp>
      <tp>
        <v>43.3810649242319</v>
        <stp/>
        <stp>{F10AC841-4FE2-452F-B4A6-E8F9A7EE78E0}_x0000_</stp>
        <tr r="AJ11" s="13"/>
      </tp>
      <tp>
        <v>44.901899999999998</v>
        <stp/>
        <stp>{946AE5B2-A463-440E-8AD7-653D1AC19922}_x0000_</stp>
        <tr r="H60" s="1"/>
      </tp>
      <tp>
        <v>3049129.0552400001</v>
        <stp/>
        <stp>{FF06D6B5-E9F6-4F9F-8404-02E8B108E335}_x0000_</stp>
        <tr r="AX8" s="5"/>
      </tp>
      <tp t="s">
        <v>Semiconductors</v>
        <stp/>
        <stp>{72214B0F-8275-43FA-B955-68B4E1F25F69}_x0000_</stp>
        <tr r="G10" s="5"/>
      </tp>
      <tp>
        <v>1038017.774434</v>
        <stp/>
        <stp>{FCB3C74F-CAEB-4FA1-B34B-A5999DE3BE70}_x0000_</stp>
        <tr r="AZ10" s="5"/>
      </tp>
      <tp>
        <v>44926</v>
        <stp/>
        <stp>{EE45B51C-E210-4760-A194-859BAB99FBED}_x0000_</stp>
        <tr r="E10" s="1"/>
      </tp>
      <tp>
        <v>23.271511302442601</v>
        <stp/>
        <stp>{63383653-68FB-4FA4-AA4D-93B35E3FB2F1}_x0000_</stp>
        <tr r="AA8" s="5"/>
      </tp>
      <tp>
        <v>25.631838250055502</v>
        <stp/>
        <stp>{078F8343-78B8-4382-9859-0736191A8DDD}_x0000_</stp>
        <tr r="AF26" s="5"/>
      </tp>
      <tp>
        <v>641.85537620000002</v>
        <stp/>
        <stp>{2A9017C1-8495-4E46-83C9-DAE7D79E8A79}_x0000_</stp>
        <tr r="BS11" s="13"/>
      </tp>
      <tp>
        <v>9.7762826327181696</v>
        <stp/>
        <stp>{686C754F-E70B-4BF1-801B-61F42DDD87A1}_x0000_</stp>
        <tr r="X16" s="5"/>
      </tp>
      <tp>
        <v>304096.46999999997</v>
        <stp/>
        <stp>{E2FE2D0F-E097-44B9-BCD8-5E8F505F6F8C}_x0000_</stp>
        <tr r="J10" s="5"/>
      </tp>
      <tp>
        <v>1.3134509089169399</v>
        <stp/>
        <stp>{76E2D37E-39AD-4E51-905A-6222F3EB7A35}_x0000_</stp>
        <tr r="T12" s="5"/>
      </tp>
      <tp>
        <v>9.3040480916824109</v>
        <stp/>
        <stp>{5931E10C-A3CC-4FA2-9226-3524D524E36A}_x0000_</stp>
        <tr r="X9" s="13"/>
      </tp>
      <tp>
        <v>1438034.2133800001</v>
        <stp/>
        <stp>{6D2CCD01-B451-4C34-AB3C-BE91F53BAB49}_x0000_</stp>
        <tr r="BG8" s="5"/>
      </tp>
      <tp>
        <v>47.162560516103497</v>
        <stp/>
        <stp>{1512BA0D-1663-426A-A975-B6B76059E2C2}_x0000_</stp>
        <tr r="BI10" s="5"/>
      </tp>
      <tp>
        <v>23.271511302442601</v>
        <stp/>
        <stp>{D74E1E04-581E-41B5-95DC-F6B2EA4180CD}_x0000_</stp>
        <tr r="AA9" s="13"/>
      </tp>
      <tp>
        <v>2139005.3125</v>
        <stp/>
        <stp>{56282708-81DC-4A68-9C5E-90224EB7AAF6}_x0000_</stp>
        <tr r="BB9" s="13"/>
      </tp>
      <tp>
        <v>6379612.4000057401</v>
        <stp/>
        <stp>{1270EC62-57FD-4BF5-8C55-C7EA56E5838E}_x0000_</stp>
        <tr r="R13" s="5"/>
      </tp>
      <tp>
        <v>45.741819518087901</v>
        <stp/>
        <stp>{32BC8063-87DE-475B-92E3-61876D762A74}_x0000_</stp>
        <tr r="X22" s="5"/>
      </tp>
      <tp>
        <v>14.776914764908501</v>
        <stp/>
        <stp>{E7FEC637-9120-4CEF-8E9C-932AFBAA0D34}_x0000_</stp>
        <tr r="AK8" s="5"/>
      </tp>
      <tp>
        <v>2503375.8873370802</v>
        <stp/>
        <stp>{D5C3EBBD-4557-4458-81F3-2FAF16A76960}_x0000_</stp>
        <tr r="R19" s="13"/>
      </tp>
      <tp>
        <v>1622886.24287179</v>
        <stp/>
        <stp>{71B08F67-CF11-4BC9-9F1F-196A881E6C8F}_x0000_</stp>
        <tr r="BH10" s="5"/>
      </tp>
      <tp>
        <v>1438034.2133800001</v>
        <stp/>
        <stp>{0362A214-9AD5-4A81-9426-AAFF92E2513A}_x0000_</stp>
        <tr r="BG9" s="13"/>
      </tp>
      <tp>
        <v>25930.380458</v>
        <stp/>
        <stp>{676DEA79-599A-4201-9E83-205DEA8B5A3F}_x0000_</stp>
        <tr r="E22" s="1"/>
      </tp>
      <tp>
        <v>44955</v>
        <stp/>
        <stp>{CDBAAAB5-36CF-4D07-9B65-E1FB4017FB70}_x0000_</stp>
        <tr r="F10" s="5"/>
      </tp>
      <tp t="s">
        <v/>
        <stp/>
        <stp>{3CAFC4F1-4743-463C-A001-84F380D8AE70}_x0000_</stp>
        <tr r="AP8" s="5"/>
      </tp>
      <tp>
        <v>-24.404153033279801</v>
        <stp/>
        <stp>{1043C940-5955-4892-BC11-B120D321045B}_x0000_</stp>
        <tr r="AB21" s="5"/>
      </tp>
      <tp t="s">
        <v>NVDA.OQ</v>
        <stp/>
        <stp>{FC879B4E-1388-4912-8B0F-9C3657330F2A}_x0000_</stp>
        <tr r="CD10" s="5"/>
      </tp>
      <tp>
        <v>0</v>
        <stp/>
        <stp>{529973E1-7723-411F-BC57-321D24F54FD4}_x0000_</stp>
        <tr r="N11" s="13"/>
      </tp>
      <tp>
        <v>16717.743999999999</v>
        <stp/>
        <stp>{0D28E4A4-D4C2-4D36-8CF6-DFB7DAB1D459}_x0000_</stp>
        <tr r="M9" s="13"/>
      </tp>
      <tp>
        <v>-40.795179674233701</v>
        <stp/>
        <stp>{C79D1652-04BA-41DF-9712-D9CD5CDBA166}_x0000_</stp>
        <tr r="AB20" s="13"/>
      </tp>
      <tp t="s">
        <v/>
        <stp/>
        <stp>{269177E4-7330-459A-BBAB-CFF83533E53F}_x0000_</stp>
        <tr r="AQ11" s="13"/>
      </tp>
      <tp>
        <v>-1531847.1228</v>
        <stp/>
        <stp>{9DEF69E9-A7C4-4124-9E13-3A1BF46BB0E8}_x0000_</stp>
        <tr r="CA8" s="5"/>
      </tp>
      <tp>
        <v>60.828250331912002</v>
        <stp/>
        <stp>{230C5B68-0547-4A77-AD7F-772E4E82F134}_x0000_</stp>
        <tr r="AB26" s="5"/>
      </tp>
      <tp>
        <v>9321.0910000000003</v>
        <stp/>
        <stp>{D65FC7E4-96C7-48B1-BDDD-A883C9713BEE}_x0000_</stp>
        <tr r="E29" s="1"/>
      </tp>
      <tp>
        <v>8604.6419999999998</v>
        <stp/>
        <stp>{9B11E456-4B99-401B-B4BD-9F77895FE071}_x0000_</stp>
        <tr r="O8" s="5"/>
      </tp>
      <tp>
        <v>-2154999.8158752001</v>
        <stp/>
        <stp>{AC07A4E7-700D-4B38-B1CD-EA1A840888DE}_x0000_</stp>
        <tr r="CA10" s="5"/>
      </tp>
      <tp t="s">
        <v>Taiwan Semiconductor Manufacturing Co Ltd</v>
        <stp/>
        <stp>{C79A2084-98DE-41EF-8CF4-BA10B01F109B}_x0000_</stp>
        <tr r="E8" s="5"/>
      </tp>
      <tp>
        <v>15095171.281300001</v>
        <stp/>
        <stp>{E3DC7204-6B19-4327-9712-2894E705734A}_x0000_</stp>
        <tr r="R10" s="5"/>
      </tp>
      <tp>
        <v>25932.070992000001</v>
        <stp/>
        <stp>{33916C70-75A3-41D1-91B4-623985A9BFAD}_x0000_</stp>
        <tr r="F22" s="1"/>
      </tp>
      <tp>
        <v>-14.6448233230331</v>
        <stp/>
        <stp>{2A7F4C8C-54AB-4974-8313-2DE8D1A79F4F}_x0000_</stp>
        <tr r="AB27" s="5"/>
      </tp>
      <tp>
        <v>544</v>
        <stp/>
        <stp>{DC003714-BDF4-4735-A8B9-2FDEF05D4079}_x0000_</stp>
        <tr r="H9" s="13"/>
      </tp>
      <tp>
        <v>1622886.24287179</v>
        <stp/>
        <stp>{FBCC4385-86BB-4F1D-BA66-092477511AC8}_x0000_</stp>
        <tr r="BH11" s="13"/>
      </tp>
      <tp>
        <v>14097372.2111183</v>
        <stp/>
        <stp>{ECCCA192-C937-40D9-B8D8-208291F828C7}_x0000_</stp>
        <tr r="F23" s="1"/>
      </tp>
      <tp>
        <v>18.653688986781201</v>
        <stp/>
        <stp>{EA2B281A-3EDA-493A-B14B-36B0E2E44ED5}_x0000_</stp>
        <tr r="AF20" s="5"/>
      </tp>
      <tp>
        <v>53.435077735124203</v>
        <stp/>
        <stp>{5AE51D0C-EAA4-42F6-8DE6-1DD26822B430}_x0000_</stp>
        <tr r="G62" s="1"/>
      </tp>
      <tp>
        <v>10.8041037707447</v>
        <stp/>
        <stp>{E3241372-9F35-4F0F-8259-47ACDBF0B895}_x0000_</stp>
        <tr r="T11" s="5"/>
      </tp>
      <tp>
        <v>-1369584.6869334099</v>
        <stp/>
        <stp>{00BE991A-B249-42D6-848F-38D25A6C9B5F}_x0000_</stp>
        <tr r="BZ11" s="13"/>
      </tp>
      <tp>
        <v>1791060.6113199999</v>
        <stp/>
        <stp>{379E1346-6EEC-4A23-8F42-EEE38404281E}_x0000_</stp>
        <tr r="BA9" s="13"/>
      </tp>
      <tp>
        <v>11.0622619900064</v>
        <stp/>
        <stp>{157D880C-114B-4B2B-96B3-244E48E702E7}_x0000_</stp>
        <tr r="AB17" s="13"/>
      </tp>
      <tp>
        <v>1815683.5000728299</v>
        <stp/>
        <stp>{50537B94-A24F-4572-97A6-30225D1AE40A}_x0000_</stp>
        <tr r="BO11" s="13"/>
      </tp>
      <tp>
        <v>13.3212112810506</v>
        <stp/>
        <stp>{6BE7CA4D-121C-4AFD-88D5-AE7D2CFA5ED3}_x0000_</stp>
        <tr r="X25" s="5"/>
      </tp>
      <tp>
        <v>1334018.72267</v>
        <stp/>
        <stp>{0DF3400D-CF48-4828-A582-6315661A176C}_x0000_</stp>
        <tr r="BO9" s="13"/>
      </tp>
      <tp>
        <v>6.4136360950729099</v>
        <stp/>
        <stp>{22884780-4361-40C5-BD76-EC254D175A0D}_x0000_</stp>
        <tr r="T9" s="13"/>
      </tp>
      <tp>
        <v>958069.05200000003</v>
        <stp/>
        <stp>{A157BBE6-4293-4FB2-BAA9-36FE5B05A8BF}_x0000_</stp>
        <tr r="BW8" s="5"/>
      </tp>
      <tp>
        <v>95.859669513060297</v>
        <stp/>
        <stp>{0AFAA5F0-3FE6-4DF2-BA27-C7A9EA814E70}_x0000_</stp>
        <tr r="AB29" s="5"/>
      </tp>
      <tp>
        <v>7.0994487921661804</v>
        <stp/>
        <stp>{4D305739-9B19-46C9-AE1F-7E5EAADF6EEF}_x0000_</stp>
        <tr r="T20" s="5"/>
      </tp>
      <tp>
        <v>27.875671034291098</v>
        <stp/>
        <stp>{8114A736-1726-4945-BA39-F3CCB855A6C7}_x0000_</stp>
        <tr r="AB9" s="13"/>
      </tp>
      <tp t="s">
        <v>NaN</v>
        <stp/>
        <stp>{DD7EDA4E-4E92-44A5-BCF5-8271033DBF50}_x0000_</stp>
        <tr r="AR9" s="13"/>
      </tp>
      <tp>
        <v>44926</v>
        <stp/>
        <stp>{34074C9C-5B7E-4023-85CE-89D3A406F17D}_x0000_</stp>
        <tr r="E36" s="1"/>
      </tp>
      <tp>
        <v>947819.82900000003</v>
        <stp/>
        <stp>{CBE3F578-B512-4FFF-B5A0-153FF86D5D76}_x0000_</stp>
        <tr r="J8" s="5"/>
      </tp>
      <tp>
        <v>69.207490820950198</v>
        <stp/>
        <stp>{DFB1F1BC-1C30-49FD-BA00-17EE0D0C7BA6}_x0000_</stp>
        <tr r="AF15" s="5"/>
      </tp>
      <tp>
        <v>7.20771596716102</v>
        <stp/>
        <stp>{40919B75-2A43-47C5-A5BE-F889BD1FF4D3}_x0000_</stp>
        <tr r="AF23" s="5"/>
      </tp>
      <tp>
        <v>67.343138363243199</v>
        <stp/>
        <stp>{8F3E6E2C-A8BA-4003-8743-4E55B187679D}_x0000_</stp>
        <tr r="AF29" s="5"/>
      </tp>
      <tp>
        <v>29.596956827295902</v>
        <stp/>
        <stp>{66FEB21D-295D-4BE9-A414-2BDADDD8CACE}_x0000_</stp>
        <tr r="AB14" s="5"/>
      </tp>
      <tp>
        <v>71814.606750699997</v>
        <stp/>
        <stp>{585D6C71-930C-4674-8CF4-C3CA4B503E61}_x0000_</stp>
        <tr r="BV10" s="5"/>
      </tp>
      <tp t="s">
        <v>57</v>
        <stp/>
        <stp>{0E93E2E3-904C-4FE5-8A4F-86FC3266F8C4}_x0000_</stp>
        <tr r="CD5" s="5"/>
      </tp>
      <tp>
        <v>39.203800000000001</v>
        <stp/>
        <stp>{D073B8EB-CD7E-4D4B-89BD-A54727FEF74C}_x0000_</stp>
        <tr r="BP9" s="13"/>
      </tp>
      <tp t="s">
        <v>NULL</v>
        <stp/>
        <stp>{9CDEFAB9-5AF8-412D-98A4-21883FCB7CDC}_x0000_</stp>
        <tr r="AP10" s="5"/>
      </tp>
      <tp>
        <v>16.059579456546899</v>
        <stp/>
        <stp>{2F05DD09-8D42-46D0-A9F9-7C13968612BA}_x0000_</stp>
        <tr r="X16" s="13"/>
      </tp>
      <tp>
        <v>1586581.44316776</v>
        <stp/>
        <stp>{31CFDA53-613D-40AB-8844-B761629B9DD6}_x0000_</stp>
        <tr r="BN11" s="13"/>
      </tp>
      <tp>
        <v>-695722.14899999998</v>
        <stp/>
        <stp>{2AD6CF47-FCEA-46D7-9725-7C210E60CEBA}_x0000_</stp>
        <tr r="BX8" s="5"/>
      </tp>
      <tp>
        <v>5.7443823369729499</v>
        <stp/>
        <stp>{BEF09A14-6396-419E-BC3F-AE9DD0B80B39}_x0000_</stp>
        <tr r="T18" s="5"/>
      </tp>
      <tp>
        <v>1673898.44944961</v>
        <stp/>
        <stp>{215A1736-B88C-4BD0-A4E5-A1EF318DBE1E}_x0000_</stp>
        <tr r="R21" s="5"/>
      </tp>
      <tp>
        <v>116.8843840397</v>
        <stp/>
        <stp>{31C1BA4F-7055-4E7D-A64E-3816F6E9100B}_x0000_</stp>
        <tr r="AI11" s="13"/>
      </tp>
      <tp>
        <v>42.000980847599998</v>
        <stp/>
        <stp>{363EBAA9-07D1-468C-B4E9-5C0CBA400994}_x0000_</stp>
        <tr r="E58" s="1"/>
      </tp>
      <tp t="s">
        <v/>
        <stp/>
        <stp>{BBC5A929-8204-4D66-A300-861648507F24}_x0000_</stp>
        <tr r="AQ8" s="5"/>
      </tp>
      <tp>
        <v>68.933823555862105</v>
        <stp/>
        <stp>{FC1DA60D-4F2F-4715-808E-49A50CF961B9}_x0000_</stp>
        <tr r="I56" s="1"/>
      </tp>
      <tp>
        <v>37.579329999999999</v>
        <stp/>
        <stp>{BE145A00-A0AC-4921-9FAF-D9E355E8C0DF}_x0000_</stp>
        <tr r="G60" s="1"/>
      </tp>
      <tp t="s">
        <v/>
        <stp/>
        <stp>{D7E0F562-6BCB-46E6-80CE-E4C28B508C7E}_x0000_</stp>
        <tr r="M11" s="13"/>
      </tp>
      <tp>
        <v>645009.24111265806</v>
        <stp/>
        <stp>{0C0E431F-EC2E-40ED-A33D-2F3B79F2BFD8}_x0000_</stp>
        <tr r="R27" s="5"/>
      </tp>
      <tp>
        <v>1795394.4033299999</v>
        <stp/>
        <stp>{EFBB26E9-4954-4D76-AAEB-B5033E4157EA}_x0000_</stp>
        <tr r="BH8" s="5"/>
      </tp>
      <tp>
        <v>252469.36600000001</v>
        <stp/>
        <stp>{E12859B3-49D1-42E9-A54D-040C1F25AB2B}_x0000_</stp>
        <tr r="E61" s="1"/>
      </tp>
      <tp>
        <v>29.183658337699999</v>
        <stp/>
        <stp>{C0831A51-BB51-4B0C-BB60-2189E18D9C7B}_x0000_</stp>
        <tr r="BC10" s="5"/>
      </tp>
      <tp>
        <v>502064.68199999997</v>
        <stp/>
        <stp>{0C316971-A2BA-4F28-99CF-7DA32F3741B1}_x0000_</stp>
        <tr r="K11" s="13"/>
      </tp>
      <tp>
        <v>84.312425890583299</v>
        <stp/>
        <stp>{77A2753B-89F4-466D-9761-D8961ED1FD16}_x0000_</stp>
        <tr r="F41" s="1"/>
      </tp>
      <tp>
        <v>68.037582674171105</v>
        <stp/>
        <stp>{2C03AAD7-2934-4DDB-B238-73FCEC7BE158}_x0000_</stp>
        <tr r="BI8" s="5"/>
      </tp>
      <tp>
        <v>18.520015570549401</v>
        <stp/>
        <stp>{CF227636-668A-4CDF-BAA3-1BEE032D6714}_x0000_</stp>
        <tr r="S10" s="5"/>
      </tp>
      <tp>
        <v>1334018.72267</v>
        <stp/>
        <stp>{B9C6A5EF-7BA3-4D34-9071-B213AEC658EA}_x0000_</stp>
        <tr r="AH8" s="5"/>
      </tp>
      <tp>
        <v>4568818.6619699998</v>
        <stp/>
        <stp>{7398B7C3-6E90-4F8C-87CE-7D57C86C0C00}_x0000_</stp>
        <tr r="R16" s="5"/>
      </tp>
      <tp t="s">
        <v>Semiconductors</v>
        <stp/>
        <stp>{FE2DA782-C299-4797-ABFB-D5F0014B8E1C}_x0000_</stp>
        <tr r="G8" s="5"/>
      </tp>
      <tp>
        <v>96753.263681779994</v>
        <stp/>
        <stp>{780902BB-589C-453C-A9BA-05005589B257}_x0000_</stp>
        <tr r="BW10" s="5"/>
      </tp>
      <tp>
        <v>2526484.4279999998</v>
        <stp/>
        <stp>{6BE47BE8-41CF-4982-8F06-84BF74EBE65C}_x0000_</stp>
        <tr r="R17" s="5"/>
      </tp>
      <tp>
        <v>16717.743999999999</v>
        <stp/>
        <stp>{19B7D595-0D10-4D0D-A8C5-5FE209A59248}_x0000_</stp>
        <tr r="M8" s="5"/>
      </tp>
      <tp>
        <v>2640299.5627464</v>
        <stp/>
        <stp>{7A57A942-24A3-4467-987E-33D20D77573E}_x0000_</stp>
        <tr r="AW10" s="5"/>
      </tp>
      <tp t="s">
        <v/>
        <stp/>
        <stp>{936D881E-1B8A-4D04-A36D-B09768131F21}_x0000_</stp>
        <tr r="O11" s="13"/>
      </tp>
      <tp>
        <v>9.7414354926583098</v>
        <stp/>
        <stp>{167A3DD5-B79C-47A5-B675-43D0FDF4A185}_x0000_</stp>
        <tr r="AE8" s="5"/>
      </tp>
      <tp>
        <v>14.4850724738609</v>
        <stp/>
        <stp>{2517B9F1-6CD5-408E-B88B-3458572EF64D}_x0000_</stp>
        <tr r="X17" s="5"/>
      </tp>
      <tp>
        <v>5.6436757822975503</v>
        <stp/>
        <stp>{BD3CB6C8-8F55-4D16-BB74-BE62CDEED106}_x0000_</stp>
        <tr r="T27" s="5"/>
      </tp>
      <tp>
        <v>1092651.2316099999</v>
        <stp/>
        <stp>{C785625E-3652-43A5-8481-55FF30284C09}_x0000_</stp>
        <tr r="BN9" s="13"/>
      </tp>
      <tp>
        <v>70.028599574741506</v>
        <stp/>
        <stp>{E3FD5CBC-E3A7-4B3D-8D85-655C612F13A0}_x0000_</stp>
        <tr r="BK8" s="5"/>
      </tp>
      <tp>
        <v>17.323365526215401</v>
        <stp/>
        <stp>{57E39913-FC90-4B18-9044-EFF2216ADA28}_x0000_</stp>
        <tr r="X11" s="5"/>
      </tp>
      <tp>
        <v>44926</v>
        <stp/>
        <stp>{B2910A75-7FD1-4056-98BE-45CFDA061240}_x0000_</stp>
        <tr r="H50" s="1"/>
      </tp>
      <tp>
        <v>6539638.01566232</v>
        <stp/>
        <stp>{E09E3203-F148-4194-A902-9A44B9199596}_x0000_</stp>
        <tr r="R13" s="13"/>
      </tp>
      <tp>
        <v>1454086.66258</v>
        <stp/>
        <stp>{9048F2E9-0B76-4D63-B150-B76207297602}_x0000_</stp>
        <tr r="AZ9" s="13"/>
      </tp>
    </main>
  </volType>
</volTypes>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volatileDependencies" Target="volatileDependenci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476250</xdr:colOff>
      <xdr:row>1</xdr:row>
      <xdr:rowOff>114301</xdr:rowOff>
    </xdr:from>
    <xdr:to>
      <xdr:col>17</xdr:col>
      <xdr:colOff>95810</xdr:colOff>
      <xdr:row>12</xdr:row>
      <xdr:rowOff>85725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723900" y="533401"/>
          <a:ext cx="9249335" cy="2066924"/>
        </a:xfrm>
        <a:prstGeom prst="rect">
          <a:avLst/>
        </a:prstGeom>
        <a:solidFill>
          <a:srgbClr val="32AB60">
            <a:alpha val="30196"/>
          </a:srgbClr>
        </a:solidFill>
        <a:ln w="9525" cmpd="sng">
          <a:solidFill>
            <a:srgbClr val="32AB60"/>
          </a:solid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000" b="1">
              <a:solidFill>
                <a:srgbClr val="32AB60"/>
              </a:solidFill>
              <a:latin typeface="Arial" pitchFamily="34" charset="0"/>
              <a:ea typeface="+mn-ea"/>
              <a:cs typeface="Arial" pitchFamily="34" charset="0"/>
            </a:rPr>
            <a:t>About the model:</a:t>
          </a:r>
          <a:endParaRPr lang="en-US" sz="1000">
            <a:solidFill>
              <a:schemeClr val="dk1"/>
            </a:solidFill>
            <a:latin typeface="Arial" pitchFamily="34" charset="0"/>
            <a:ea typeface="+mn-ea"/>
            <a:cs typeface="Arial" pitchFamily="34" charset="0"/>
          </a:endParaRPr>
        </a:p>
        <a:p>
          <a:r>
            <a:rPr lang="en-US" sz="1100" b="0">
              <a:solidFill>
                <a:schemeClr val="dk1"/>
              </a:solidFill>
              <a:latin typeface="+mn-lt"/>
              <a:ea typeface="+mn-ea"/>
              <a:cs typeface="+mn-cs"/>
            </a:rPr>
            <a:t>This model  depicts general information and financial summary of the subject company. It also calculates Enterprise value and various valuation ratios for the same.</a:t>
          </a:r>
          <a:br>
            <a:rPr lang="en-US" sz="1100" b="0">
              <a:solidFill>
                <a:schemeClr val="dk1"/>
              </a:solidFill>
              <a:latin typeface="+mn-lt"/>
              <a:ea typeface="+mn-ea"/>
              <a:cs typeface="+mn-cs"/>
            </a:rPr>
          </a:br>
          <a:endParaRPr lang="en-US" sz="1100" b="0">
            <a:solidFill>
              <a:schemeClr val="dk1"/>
            </a:solidFill>
            <a:latin typeface="+mn-lt"/>
            <a:ea typeface="+mn-ea"/>
            <a:cs typeface="+mn-cs"/>
          </a:endParaRPr>
        </a:p>
        <a:p>
          <a:r>
            <a:rPr lang="en-US" sz="1100" b="0">
              <a:solidFill>
                <a:schemeClr val="dk1"/>
              </a:solidFill>
              <a:latin typeface="+mn-lt"/>
              <a:ea typeface="+mn-ea"/>
              <a:cs typeface="+mn-cs"/>
            </a:rPr>
            <a:t>It displays peer comparison with the help of different financial parameters and ratios.</a:t>
          </a:r>
        </a:p>
        <a:p>
          <a:endParaRPr lang="en-US" sz="1000">
            <a:solidFill>
              <a:schemeClr val="dk1"/>
            </a:solidFill>
            <a:latin typeface="Arial" pitchFamily="34" charset="0"/>
            <a:ea typeface="+mn-ea"/>
            <a:cs typeface="Arial" pitchFamily="34" charset="0"/>
          </a:endParaRPr>
        </a:p>
        <a:p>
          <a:r>
            <a:rPr lang="en-US" sz="1000" b="1">
              <a:solidFill>
                <a:srgbClr val="32AB60"/>
              </a:solidFill>
              <a:latin typeface="Arial" pitchFamily="34" charset="0"/>
              <a:ea typeface="+mn-ea"/>
              <a:cs typeface="Arial" pitchFamily="34" charset="0"/>
            </a:rPr>
            <a:t>How model works:</a:t>
          </a:r>
          <a:br>
            <a:rPr lang="en-US" sz="1000" b="1">
              <a:solidFill>
                <a:srgbClr val="32AB60"/>
              </a:solidFill>
              <a:latin typeface="Arial" pitchFamily="34" charset="0"/>
              <a:ea typeface="+mn-ea"/>
              <a:cs typeface="Arial" pitchFamily="34" charset="0"/>
            </a:rPr>
          </a:br>
          <a:r>
            <a:rPr lang="en-US" sz="1100" b="1">
              <a:solidFill>
                <a:schemeClr val="dk1"/>
              </a:solidFill>
              <a:latin typeface="+mn-lt"/>
              <a:ea typeface="+mn-ea"/>
              <a:cs typeface="+mn-cs"/>
            </a:rPr>
            <a:t>Tab "Valuations"</a:t>
          </a:r>
          <a:endParaRPr lang="en-US" sz="1000"/>
        </a:p>
        <a:p>
          <a:r>
            <a:rPr lang="en-US" sz="1100" b="0">
              <a:solidFill>
                <a:schemeClr val="dk1"/>
              </a:solidFill>
              <a:latin typeface="+mn-lt"/>
              <a:ea typeface="+mn-ea"/>
              <a:cs typeface="+mn-cs"/>
            </a:rPr>
            <a:t>Enter</a:t>
          </a:r>
          <a:r>
            <a:rPr lang="en-US" sz="1100" b="0" baseline="0">
              <a:solidFill>
                <a:schemeClr val="dk1"/>
              </a:solidFill>
              <a:latin typeface="+mn-lt"/>
              <a:ea typeface="+mn-ea"/>
              <a:cs typeface="+mn-cs"/>
            </a:rPr>
            <a:t> the RIC for subject company and choose the currency to retrieve valuation data for the same</a:t>
          </a:r>
          <a:r>
            <a:rPr lang="en-US" sz="1100" b="0">
              <a:solidFill>
                <a:schemeClr val="dk1"/>
              </a:solidFill>
              <a:latin typeface="+mn-lt"/>
              <a:ea typeface="+mn-ea"/>
              <a:cs typeface="+mn-cs"/>
            </a:rPr>
            <a:t>. </a:t>
          </a:r>
          <a:br>
            <a:rPr lang="en-US" sz="1100" b="0">
              <a:solidFill>
                <a:schemeClr val="dk1"/>
              </a:solidFill>
              <a:latin typeface="+mn-lt"/>
              <a:ea typeface="+mn-ea"/>
              <a:cs typeface="+mn-cs"/>
            </a:rPr>
          </a:br>
          <a:endParaRPr lang="en-US" sz="1000" b="1">
            <a:solidFill>
              <a:srgbClr val="32AB60"/>
            </a:solidFill>
            <a:latin typeface="Arial" pitchFamily="34" charset="0"/>
            <a:ea typeface="+mn-ea"/>
            <a:cs typeface="Arial" pitchFamily="34" charset="0"/>
          </a:endParaRPr>
        </a:p>
        <a:p>
          <a:r>
            <a:rPr lang="en-US" sz="1000" b="1">
              <a:solidFill>
                <a:sysClr val="windowText" lastClr="000000"/>
              </a:solidFill>
              <a:latin typeface="Arial" pitchFamily="34" charset="0"/>
              <a:ea typeface="+mn-ea"/>
              <a:cs typeface="Arial" pitchFamily="34" charset="0"/>
            </a:rPr>
            <a:t>Tab "Peers"</a:t>
          </a:r>
        </a:p>
        <a:p>
          <a:r>
            <a:rPr lang="en-US" sz="1100" b="0">
              <a:solidFill>
                <a:schemeClr val="dk1"/>
              </a:solidFill>
              <a:latin typeface="+mn-lt"/>
              <a:ea typeface="+mn-ea"/>
              <a:cs typeface="+mn-cs"/>
            </a:rPr>
            <a:t>User can enter the peers of ones choice or can choose to select automatic peers from the same sector derived using screener and ranked by market cap</a:t>
          </a:r>
          <a:r>
            <a:rPr lang="en-US" sz="1000" b="0">
              <a:solidFill>
                <a:sysClr val="windowText" lastClr="000000"/>
              </a:solidFill>
              <a:latin typeface="Arial" pitchFamily="34" charset="0"/>
              <a:ea typeface="+mn-ea"/>
              <a:cs typeface="Arial" pitchFamily="34" charset="0"/>
            </a:rPr>
            <a:t>. </a:t>
          </a:r>
          <a:br>
            <a:rPr lang="en-US" sz="1000" b="0">
              <a:solidFill>
                <a:sysClr val="windowText" lastClr="000000"/>
              </a:solidFill>
              <a:latin typeface="Arial" pitchFamily="34" charset="0"/>
              <a:ea typeface="+mn-ea"/>
              <a:cs typeface="Arial" pitchFamily="34" charset="0"/>
            </a:rPr>
          </a:br>
          <a:br>
            <a:rPr lang="en-US" sz="1000" b="1">
              <a:solidFill>
                <a:srgbClr val="32AB60"/>
              </a:solidFill>
              <a:latin typeface="Arial" pitchFamily="34" charset="0"/>
              <a:ea typeface="+mn-ea"/>
              <a:cs typeface="Arial" pitchFamily="34" charset="0"/>
            </a:rPr>
          </a:br>
          <a:endParaRPr lang="en-US" sz="1000">
            <a:solidFill>
              <a:schemeClr val="dk1"/>
            </a:solidFill>
            <a:latin typeface="Arial" pitchFamily="34" charset="0"/>
            <a:ea typeface="+mn-ea"/>
            <a:cs typeface="Arial" pitchFamily="34" charset="0"/>
          </a:endParaRPr>
        </a:p>
        <a:p>
          <a:endParaRPr lang="en-US" sz="1000">
            <a:solidFill>
              <a:schemeClr val="dk1"/>
            </a:solidFill>
            <a:latin typeface="Arial" pitchFamily="34" charset="0"/>
            <a:ea typeface="+mn-ea"/>
            <a:cs typeface="Arial" pitchFamily="34" charset="0"/>
          </a:endParaRPr>
        </a:p>
        <a:p>
          <a:br>
            <a:rPr lang="en-US" sz="1000"/>
          </a:br>
          <a:br>
            <a:rPr lang="en-US" sz="1000"/>
          </a:br>
          <a:endParaRPr lang="en-US" sz="1000" b="1">
            <a:solidFill>
              <a:srgbClr val="32AB60"/>
            </a:solidFill>
            <a:latin typeface="Arial" pitchFamily="34" charset="0"/>
            <a:ea typeface="+mn-ea"/>
            <a:cs typeface="Arial" pitchFamily="34" charset="0"/>
          </a:endParaRPr>
        </a:p>
        <a:p>
          <a:endParaRPr lang="en-US" sz="1000" b="1">
            <a:solidFill>
              <a:srgbClr val="32AB60"/>
            </a:solidFill>
            <a:latin typeface="Arial" pitchFamily="34" charset="0"/>
            <a:ea typeface="+mn-ea"/>
            <a:cs typeface="Arial" pitchFamily="34" charset="0"/>
          </a:endParaRPr>
        </a:p>
      </xdr:txBody>
    </xdr:sp>
    <xdr:clientData/>
  </xdr:twoCellAnchor>
  <xdr:twoCellAnchor>
    <xdr:from>
      <xdr:col>2</xdr:col>
      <xdr:colOff>38100</xdr:colOff>
      <xdr:row>15</xdr:row>
      <xdr:rowOff>28577</xdr:rowOff>
    </xdr:from>
    <xdr:to>
      <xdr:col>17</xdr:col>
      <xdr:colOff>180975</xdr:colOff>
      <xdr:row>22</xdr:row>
      <xdr:rowOff>9525</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876300" y="3381377"/>
          <a:ext cx="10429875" cy="14477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lstStyle/>
        <a:p>
          <a:r>
            <a:rPr lang="en-US" sz="1100" b="1" i="0" u="none" strike="noStrike">
              <a:solidFill>
                <a:schemeClr val="dk1"/>
              </a:solidFill>
              <a:latin typeface="+mn-lt"/>
              <a:ea typeface="+mn-ea"/>
              <a:cs typeface="+mn-cs"/>
            </a:rPr>
            <a:t>Tab 'Valuation':</a:t>
          </a:r>
          <a:br>
            <a:rPr lang="en-US" sz="1100" b="1" i="0" u="none" strike="noStrike">
              <a:solidFill>
                <a:schemeClr val="dk1"/>
              </a:solidFill>
              <a:latin typeface="+mn-lt"/>
              <a:ea typeface="+mn-ea"/>
              <a:cs typeface="+mn-cs"/>
            </a:rPr>
          </a:br>
          <a:r>
            <a:rPr lang="en-US" sz="1100" b="1" i="0" u="none" strike="noStrike">
              <a:solidFill>
                <a:schemeClr val="dk1"/>
              </a:solidFill>
              <a:latin typeface="+mn-lt"/>
              <a:ea typeface="+mn-ea"/>
              <a:cs typeface="+mn-cs"/>
            </a:rPr>
            <a:t>A. RIC of subject Company: </a:t>
          </a:r>
          <a:r>
            <a:rPr lang="en-US" sz="1100" b="0" i="0" u="none" strike="noStrike">
              <a:solidFill>
                <a:schemeClr val="dk1"/>
              </a:solidFill>
              <a:latin typeface="+mn-lt"/>
              <a:ea typeface="+mn-ea"/>
              <a:cs typeface="+mn-cs"/>
            </a:rPr>
            <a:t> Cell E6</a:t>
          </a:r>
          <a:br>
            <a:rPr lang="en-US" sz="1100" b="0" i="0" u="none" strike="noStrike">
              <a:solidFill>
                <a:schemeClr val="dk1"/>
              </a:solidFill>
              <a:latin typeface="+mn-lt"/>
              <a:ea typeface="+mn-ea"/>
              <a:cs typeface="+mn-cs"/>
            </a:rPr>
          </a:br>
          <a:r>
            <a:rPr lang="en-US" sz="1100" b="1" i="0" u="none" strike="noStrike">
              <a:solidFill>
                <a:schemeClr val="dk1"/>
              </a:solidFill>
              <a:latin typeface="+mn-lt"/>
              <a:ea typeface="+mn-ea"/>
              <a:cs typeface="+mn-cs"/>
            </a:rPr>
            <a:t>B.</a:t>
          </a:r>
          <a:r>
            <a:rPr lang="en-US" sz="1100" b="0" i="0" u="none" strike="noStrike">
              <a:solidFill>
                <a:schemeClr val="dk1"/>
              </a:solidFill>
              <a:latin typeface="+mn-lt"/>
              <a:ea typeface="+mn-ea"/>
              <a:cs typeface="+mn-cs"/>
            </a:rPr>
            <a:t> </a:t>
          </a:r>
          <a:r>
            <a:rPr lang="en-US" sz="1100" b="1" i="0" u="none" strike="noStrike">
              <a:solidFill>
                <a:schemeClr val="dk1"/>
              </a:solidFill>
              <a:latin typeface="+mn-lt"/>
              <a:ea typeface="+mn-ea"/>
              <a:cs typeface="+mn-cs"/>
            </a:rPr>
            <a:t>Currency: </a:t>
          </a:r>
          <a:r>
            <a:rPr lang="en-US" sz="1100" b="0" i="0" u="none" strike="noStrike">
              <a:solidFill>
                <a:schemeClr val="dk1"/>
              </a:solidFill>
              <a:latin typeface="+mn-lt"/>
              <a:ea typeface="+mn-ea"/>
              <a:cs typeface="+mn-cs"/>
            </a:rPr>
            <a:t>Cell E8</a:t>
          </a:r>
          <a:endParaRPr lang="en-US" sz="1000" b="0" baseline="0">
            <a:solidFill>
              <a:schemeClr val="dk1"/>
            </a:solidFill>
            <a:latin typeface="Arial" pitchFamily="34" charset="0"/>
            <a:ea typeface="+mn-ea"/>
            <a:cs typeface="Arial" pitchFamily="34" charset="0"/>
          </a:endParaRPr>
        </a:p>
        <a:p>
          <a:endParaRPr lang="en-US" sz="900">
            <a:latin typeface="Arial" pitchFamily="34" charset="0"/>
            <a:cs typeface="Arial" pitchFamily="34" charset="0"/>
          </a:endParaRPr>
        </a:p>
        <a:p>
          <a:r>
            <a:rPr lang="en-US" sz="1100" b="1" i="0">
              <a:solidFill>
                <a:schemeClr val="dk1"/>
              </a:solidFill>
              <a:latin typeface="+mn-lt"/>
              <a:ea typeface="+mn-ea"/>
              <a:cs typeface="+mn-cs"/>
            </a:rPr>
            <a:t>Tab 'Peers':</a:t>
          </a:r>
          <a:br>
            <a:rPr lang="en-US" sz="1100" b="1" i="0">
              <a:solidFill>
                <a:schemeClr val="dk1"/>
              </a:solidFill>
              <a:latin typeface="+mn-lt"/>
              <a:ea typeface="+mn-ea"/>
              <a:cs typeface="+mn-cs"/>
            </a:rPr>
          </a:br>
          <a:r>
            <a:rPr lang="en-US" sz="1100" b="1" i="0">
              <a:solidFill>
                <a:schemeClr val="dk1"/>
              </a:solidFill>
              <a:latin typeface="+mn-lt"/>
              <a:ea typeface="+mn-ea"/>
              <a:cs typeface="+mn-cs"/>
            </a:rPr>
            <a:t>A. Number of Peers:</a:t>
          </a:r>
          <a:r>
            <a:rPr lang="en-US" sz="1100" b="1" i="0" baseline="0">
              <a:solidFill>
                <a:schemeClr val="dk1"/>
              </a:solidFill>
              <a:latin typeface="+mn-lt"/>
              <a:ea typeface="+mn-ea"/>
              <a:cs typeface="+mn-cs"/>
            </a:rPr>
            <a:t> </a:t>
          </a:r>
          <a:r>
            <a:rPr lang="en-US" sz="1100" b="0" i="0" baseline="0">
              <a:solidFill>
                <a:schemeClr val="dk1"/>
              </a:solidFill>
              <a:latin typeface="+mn-lt"/>
              <a:ea typeface="+mn-ea"/>
              <a:cs typeface="+mn-cs"/>
            </a:rPr>
            <a:t>Cell E</a:t>
          </a:r>
          <a:r>
            <a:rPr lang="en-US" sz="1100" b="0" i="0">
              <a:solidFill>
                <a:schemeClr val="dk1"/>
              </a:solidFill>
              <a:latin typeface="+mn-lt"/>
              <a:ea typeface="+mn-ea"/>
              <a:cs typeface="+mn-cs"/>
            </a:rPr>
            <a:t>5 (Provision has been made for 50 peer companies).</a:t>
          </a:r>
        </a:p>
        <a:p>
          <a:r>
            <a:rPr lang="en-US" sz="1100" b="1" i="0">
              <a:solidFill>
                <a:schemeClr val="dk1"/>
              </a:solidFill>
              <a:latin typeface="+mn-lt"/>
              <a:ea typeface="+mn-ea"/>
              <a:cs typeface="+mn-cs"/>
            </a:rPr>
            <a:t>B. Option</a:t>
          </a:r>
          <a:r>
            <a:rPr lang="en-US" sz="1100" b="1" i="0" baseline="0">
              <a:solidFill>
                <a:schemeClr val="dk1"/>
              </a:solidFill>
              <a:latin typeface="+mn-lt"/>
              <a:ea typeface="+mn-ea"/>
              <a:cs typeface="+mn-cs"/>
            </a:rPr>
            <a:t> to choose method of selection of peers :</a:t>
          </a:r>
          <a:r>
            <a:rPr lang="en-US" sz="1100" b="0" i="0" baseline="0">
              <a:solidFill>
                <a:schemeClr val="dk1"/>
              </a:solidFill>
              <a:latin typeface="+mn-lt"/>
              <a:ea typeface="+mn-ea"/>
              <a:cs typeface="+mn-cs"/>
            </a:rPr>
            <a:t> Cell C8</a:t>
          </a:r>
          <a:endParaRPr lang="en-US" sz="1100" b="0" i="0">
            <a:solidFill>
              <a:schemeClr val="dk1"/>
            </a:solidFill>
            <a:latin typeface="+mn-lt"/>
            <a:ea typeface="+mn-ea"/>
            <a:cs typeface="+mn-cs"/>
          </a:endParaRPr>
        </a:p>
        <a:p>
          <a:endParaRPr lang="en-US" sz="900">
            <a:latin typeface="Arial" pitchFamily="34" charset="0"/>
            <a:cs typeface="Arial" pitchFamily="34" charset="0"/>
          </a:endParaRPr>
        </a:p>
        <a:p>
          <a:endParaRPr lang="en-US" sz="1100"/>
        </a:p>
      </xdr:txBody>
    </xdr:sp>
    <xdr:clientData/>
  </xdr:twoCellAnchor>
  <xdr:twoCellAnchor editAs="oneCell">
    <xdr:from>
      <xdr:col>0</xdr:col>
      <xdr:colOff>35560</xdr:colOff>
      <xdr:row>0</xdr:row>
      <xdr:rowOff>83820</xdr:rowOff>
    </xdr:from>
    <xdr:to>
      <xdr:col>2</xdr:col>
      <xdr:colOff>445135</xdr:colOff>
      <xdr:row>0</xdr:row>
      <xdr:rowOff>321945</xdr:rowOff>
    </xdr:to>
    <xdr:pic>
      <xdr:nvPicPr>
        <xdr:cNvPr id="5" name="9C605C68-E37E-48F6-B0D6-328968F14016" descr="939929A8-E4CD-42DA-BF22-DF36397AADB8@ten">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560" y="83820"/>
          <a:ext cx="1143000"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35560</xdr:colOff>
      <xdr:row>0</xdr:row>
      <xdr:rowOff>83820</xdr:rowOff>
    </xdr:from>
    <xdr:to>
      <xdr:col>3</xdr:col>
      <xdr:colOff>139469</xdr:colOff>
      <xdr:row>0</xdr:row>
      <xdr:rowOff>321945</xdr:rowOff>
    </xdr:to>
    <xdr:pic>
      <xdr:nvPicPr>
        <xdr:cNvPr id="4" name="9C605C68-E37E-48F6-B0D6-328968F14016" descr="939929A8-E4CD-42DA-BF22-DF36397AADB8@ten">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560" y="83820"/>
          <a:ext cx="1142134"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35560</xdr:colOff>
      <xdr:row>0</xdr:row>
      <xdr:rowOff>83820</xdr:rowOff>
    </xdr:from>
    <xdr:to>
      <xdr:col>2</xdr:col>
      <xdr:colOff>445135</xdr:colOff>
      <xdr:row>0</xdr:row>
      <xdr:rowOff>321945</xdr:rowOff>
    </xdr:to>
    <xdr:pic>
      <xdr:nvPicPr>
        <xdr:cNvPr id="2" name="9C605C68-E37E-48F6-B0D6-328968F14016" descr="939929A8-E4CD-42DA-BF22-DF36397AADB8@ten">
          <a:extLst>
            <a:ext uri="{FF2B5EF4-FFF2-40B4-BE49-F238E27FC236}">
              <a16:creationId xmlns:a16="http://schemas.microsoft.com/office/drawing/2014/main" id="{FC628140-E58B-47C7-A5D7-885E861CBC6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560" y="83820"/>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35560</xdr:colOff>
      <xdr:row>0</xdr:row>
      <xdr:rowOff>83820</xdr:rowOff>
    </xdr:from>
    <xdr:to>
      <xdr:col>2</xdr:col>
      <xdr:colOff>445135</xdr:colOff>
      <xdr:row>0</xdr:row>
      <xdr:rowOff>321945</xdr:rowOff>
    </xdr:to>
    <xdr:pic>
      <xdr:nvPicPr>
        <xdr:cNvPr id="2" name="9C605C68-E37E-48F6-B0D6-328968F14016" descr="939929A8-E4CD-42DA-BF22-DF36397AADB8@ten">
          <a:extLst>
            <a:ext uri="{FF2B5EF4-FFF2-40B4-BE49-F238E27FC236}">
              <a16:creationId xmlns:a16="http://schemas.microsoft.com/office/drawing/2014/main" id="{CA05D3FD-624D-46F3-A04B-16C3012A09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5560" y="83820"/>
          <a:ext cx="1247775" cy="2381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EBC587D-9868-4468-AB0C-B39510C5A3B5}" name="표2" displayName="표2" ref="C14:C25" totalsRowShown="0">
  <autoFilter ref="C14:C25" xr:uid="{2EBC587D-9868-4468-AB0C-B39510C5A3B5}"/>
  <tableColumns count="1">
    <tableColumn id="1" xr3:uid="{C0B4C49D-587E-437D-8A5F-9C665C7A452B}" name="Geography"/>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74EDA46-0E48-4135-8BA1-0E12BDD0A041}" name="표6" displayName="표6" ref="D14:D25" totalsRowShown="0">
  <autoFilter ref="D14:D25" xr:uid="{A74EDA46-0E48-4135-8BA1-0E12BDD0A041}"/>
  <tableColumns count="1">
    <tableColumn id="1" xr3:uid="{B424DF76-ACFF-4E16-8EFE-4DA7C9F35BB8}" name="Geography_code"/>
  </tableColumns>
  <tableStyleInfo name="TableStyleMedium9"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R43"/>
  <sheetViews>
    <sheetView showGridLines="0" workbookViewId="0">
      <selection activeCell="T11" sqref="T11"/>
    </sheetView>
  </sheetViews>
  <sheetFormatPr defaultRowHeight="16.5"/>
  <cols>
    <col min="1" max="1" width="3.75" customWidth="1"/>
    <col min="2" max="2" width="7.25" customWidth="1"/>
  </cols>
  <sheetData>
    <row r="1" spans="1:18" ht="33" customHeight="1" thickBot="1">
      <c r="A1" s="103"/>
      <c r="B1" s="103"/>
      <c r="C1" s="103" t="s">
        <v>496</v>
      </c>
      <c r="D1" s="103"/>
      <c r="E1" s="103"/>
      <c r="F1" s="103"/>
      <c r="G1" s="103"/>
      <c r="H1" s="103"/>
      <c r="I1" s="103"/>
      <c r="J1" s="103"/>
      <c r="K1" s="103"/>
      <c r="L1" s="103"/>
      <c r="M1" s="103"/>
      <c r="N1" s="103"/>
      <c r="O1" s="103"/>
      <c r="P1" s="103"/>
      <c r="Q1" s="103"/>
      <c r="R1" s="103"/>
    </row>
    <row r="2" spans="1:18">
      <c r="A2" s="113"/>
    </row>
    <row r="14" spans="1:18">
      <c r="C14" s="28" t="s">
        <v>473</v>
      </c>
      <c r="D14" s="28"/>
      <c r="E14" s="28"/>
      <c r="F14" s="28"/>
      <c r="G14" s="28"/>
      <c r="H14" s="28"/>
      <c r="I14" s="28"/>
      <c r="J14" s="28"/>
      <c r="K14" s="28"/>
      <c r="L14" s="28"/>
      <c r="M14" s="28"/>
      <c r="N14" s="28"/>
      <c r="O14" s="28"/>
      <c r="P14" s="28"/>
      <c r="Q14" s="28"/>
    </row>
    <row r="32" spans="3:3">
      <c r="C32" s="29"/>
    </row>
    <row r="33" spans="3:3">
      <c r="C33" s="29"/>
    </row>
    <row r="34" spans="3:3">
      <c r="C34" s="29"/>
    </row>
    <row r="35" spans="3:3">
      <c r="C35" s="29"/>
    </row>
    <row r="36" spans="3:3">
      <c r="C36" s="29"/>
    </row>
    <row r="37" spans="3:3">
      <c r="C37" s="29"/>
    </row>
    <row r="38" spans="3:3">
      <c r="C38" s="29"/>
    </row>
    <row r="39" spans="3:3">
      <c r="C39" s="29"/>
    </row>
    <row r="40" spans="3:3">
      <c r="C40" s="29"/>
    </row>
    <row r="41" spans="3:3">
      <c r="C41" s="29"/>
    </row>
    <row r="42" spans="3:3">
      <c r="C42" s="29"/>
    </row>
    <row r="43" spans="3:3">
      <c r="C43" s="29"/>
    </row>
  </sheetData>
  <phoneticPr fontId="141" type="noConversion"/>
  <pageMargins left="0.7" right="0.7" top="0.75" bottom="0.75" header="0.3" footer="0.3"/>
  <pageSetup orientation="portrait" r:id="rId1"/>
  <headerFooter>
    <oddFooter>&amp;L&amp;1#&amp;"Calibri"&amp;8&amp;K000000Sensitivity: Confidential</odd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AJ158"/>
  <sheetViews>
    <sheetView zoomScale="85" zoomScaleNormal="85" workbookViewId="0">
      <selection activeCell="E8" sqref="E8"/>
    </sheetView>
  </sheetViews>
  <sheetFormatPr defaultColWidth="9.125" defaultRowHeight="16.5" outlineLevelCol="1"/>
  <cols>
    <col min="1" max="1" width="3.75" style="1" customWidth="1"/>
    <col min="2" max="2" width="7.25" style="1" customWidth="1"/>
    <col min="3" max="3" width="4.625" style="1" customWidth="1"/>
    <col min="4" max="4" width="29.875" style="1" bestFit="1" customWidth="1"/>
    <col min="5" max="5" width="18.625" style="1" bestFit="1" customWidth="1"/>
    <col min="6" max="6" width="14.875" style="1" customWidth="1"/>
    <col min="7" max="8" width="13.125" style="1" customWidth="1"/>
    <col min="9" max="9" width="10.875" style="1" customWidth="1"/>
    <col min="10" max="10" width="10.75" style="1" bestFit="1" customWidth="1"/>
    <col min="11" max="11" width="9.125" style="1"/>
    <col min="12" max="12" width="11.125" style="1" bestFit="1" customWidth="1"/>
    <col min="13" max="13" width="10.75" style="1" bestFit="1" customWidth="1"/>
    <col min="14" max="15" width="9.125" style="1"/>
    <col min="16" max="16" width="2.625" style="1" customWidth="1"/>
    <col min="17" max="28" width="9.125" style="1"/>
    <col min="29" max="29" width="35.875" style="6" hidden="1" customWidth="1" outlineLevel="1"/>
    <col min="30" max="30" width="9.125" style="6" hidden="1" customWidth="1" outlineLevel="1"/>
    <col min="31" max="31" width="20.25" style="6" hidden="1" customWidth="1" outlineLevel="1"/>
    <col min="32" max="32" width="9" style="6" hidden="1" customWidth="1" outlineLevel="1"/>
    <col min="33" max="35" width="9.125" style="6" hidden="1" customWidth="1" outlineLevel="1"/>
    <col min="36" max="36" width="9.125" style="1" collapsed="1"/>
    <col min="37" max="16384" width="9.125" style="1"/>
  </cols>
  <sheetData>
    <row r="1" spans="1:36" ht="33" customHeight="1" thickBot="1">
      <c r="A1" s="103"/>
      <c r="B1" s="103"/>
      <c r="C1" s="103" t="s">
        <v>500</v>
      </c>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row>
    <row r="4" spans="1:36" ht="9" customHeight="1">
      <c r="AF4" s="16"/>
    </row>
    <row r="5" spans="1:36" ht="9" customHeight="1">
      <c r="AC5" s="6" t="s">
        <v>11</v>
      </c>
      <c r="AD5" s="6" t="str">
        <f>_xll.TR($E$6,"TR.CompanyMarketCap.Currency",)</f>
        <v>TWD</v>
      </c>
    </row>
    <row r="6" spans="1:36">
      <c r="D6" s="32" t="s">
        <v>0</v>
      </c>
      <c r="E6" s="104" t="s">
        <v>503</v>
      </c>
      <c r="AC6" s="6" t="s">
        <v>361</v>
      </c>
      <c r="AD6" s="6" t="s">
        <v>362</v>
      </c>
    </row>
    <row r="7" spans="1:36">
      <c r="D7" s="32" t="s">
        <v>1</v>
      </c>
      <c r="E7" s="105" t="str">
        <f>_xll.TR($E$6,"TR.CommonName","Null=BLANK")</f>
        <v>Taiwan Semiconductor Manufacturing Co Ltd</v>
      </c>
      <c r="AC7" s="6" t="s">
        <v>12</v>
      </c>
      <c r="AD7" s="6" t="s">
        <v>13</v>
      </c>
    </row>
    <row r="8" spans="1:36">
      <c r="D8" s="32" t="s">
        <v>304</v>
      </c>
      <c r="E8" s="104" t="s">
        <v>11</v>
      </c>
      <c r="F8" s="97" t="str">
        <f>VLOOKUP($E$8,$AC$5:$AD$164,2,FALSE)</f>
        <v>TWD</v>
      </c>
      <c r="AC8" s="6" t="s">
        <v>14</v>
      </c>
      <c r="AD8" s="6" t="s">
        <v>15</v>
      </c>
    </row>
    <row r="9" spans="1:36">
      <c r="D9" s="32" t="s">
        <v>2</v>
      </c>
      <c r="E9" s="106">
        <f>_xll.TR($E$6,"TR.PriceClose.Date","Null=BLANK")</f>
        <v>45211</v>
      </c>
      <c r="AC9" s="6" t="s">
        <v>16</v>
      </c>
      <c r="AD9" s="6" t="s">
        <v>17</v>
      </c>
    </row>
    <row r="10" spans="1:36">
      <c r="D10" s="32" t="s">
        <v>10</v>
      </c>
      <c r="E10" s="33">
        <f>_xll.TR($E$6,"TR.NetIncome(period=FY0).PED","Null=BLANK")</f>
        <v>44926</v>
      </c>
      <c r="AC10" s="6" t="s">
        <v>18</v>
      </c>
      <c r="AD10" s="6" t="s">
        <v>19</v>
      </c>
    </row>
    <row r="11" spans="1:36">
      <c r="D11" s="32" t="s">
        <v>305</v>
      </c>
      <c r="E11" s="33">
        <f>_xll.TR($E$6,"TR.NetIncome(period=FI0).PED","Null=BLANK")</f>
        <v>45107</v>
      </c>
      <c r="H11" s="2"/>
      <c r="AC11" s="6" t="s">
        <v>20</v>
      </c>
      <c r="AD11" s="6" t="s">
        <v>21</v>
      </c>
    </row>
    <row r="12" spans="1:36">
      <c r="E12" s="2"/>
      <c r="H12" s="2"/>
      <c r="J12" s="17"/>
      <c r="AC12" s="6" t="s">
        <v>22</v>
      </c>
      <c r="AD12" s="6" t="s">
        <v>23</v>
      </c>
    </row>
    <row r="13" spans="1:36" ht="15.95" customHeight="1">
      <c r="D13" s="34" t="s">
        <v>366</v>
      </c>
      <c r="E13" s="34"/>
      <c r="F13" s="34"/>
      <c r="G13" s="34"/>
      <c r="H13" s="34"/>
      <c r="AC13" s="6" t="s">
        <v>24</v>
      </c>
      <c r="AD13" s="6" t="s">
        <v>25</v>
      </c>
    </row>
    <row r="14" spans="1:36" ht="132.75" customHeight="1">
      <c r="D14" s="141" t="str">
        <f>_xll.TR($E$6,"TR.BusinessSummary","Null=BLANK")</f>
        <v>Taiwan Semiconductor Manufacturing Co Ltd is a Taiwan-based company mainly engaged in the provision of integrated circuit manufacturing services. The integrated circuit manufacturing services include process technology, special process technology, design ecosystem support, mask technology, 3DFabricTM advanced packaging and silicon stacking technology services. The Company has completed the transfer and mass production of 5nm technology, and is engaged in the research and development of 3nm process technology and 2nm process technology. The product application range covers the entire electronic application industry, including personal computers and peripheral products, information application products, wired and wireless communication system products, servers and data centers.</v>
      </c>
      <c r="E14" s="142"/>
      <c r="F14" s="142"/>
      <c r="G14" s="142"/>
      <c r="H14" s="143"/>
      <c r="K14" s="99"/>
      <c r="AC14" s="6" t="s">
        <v>26</v>
      </c>
      <c r="AD14" s="6" t="s">
        <v>27</v>
      </c>
    </row>
    <row r="15" spans="1:36" ht="15.95" customHeight="1">
      <c r="D15"/>
      <c r="AC15" s="6" t="s">
        <v>28</v>
      </c>
      <c r="AD15" s="6" t="s">
        <v>29</v>
      </c>
    </row>
    <row r="16" spans="1:36" ht="15.95" customHeight="1">
      <c r="AC16" s="6" t="s">
        <v>30</v>
      </c>
      <c r="AD16" s="6" t="s">
        <v>31</v>
      </c>
    </row>
    <row r="17" spans="4:30">
      <c r="E17" s="2"/>
      <c r="H17" s="2"/>
      <c r="AC17" s="6" t="s">
        <v>32</v>
      </c>
      <c r="AD17" s="6" t="s">
        <v>33</v>
      </c>
    </row>
    <row r="18" spans="4:30" ht="15.95" customHeight="1">
      <c r="D18" s="34" t="s">
        <v>446</v>
      </c>
      <c r="E18" s="34"/>
      <c r="F18" s="34"/>
      <c r="AC18" s="6" t="s">
        <v>34</v>
      </c>
      <c r="AD18" s="6" t="s">
        <v>35</v>
      </c>
    </row>
    <row r="19" spans="4:30" ht="18" customHeight="1">
      <c r="D19" s="35"/>
      <c r="E19" s="36" t="s">
        <v>459</v>
      </c>
      <c r="F19" s="36" t="s">
        <v>460</v>
      </c>
    </row>
    <row r="20" spans="4:30" ht="12.75" customHeight="1">
      <c r="D20" s="32"/>
      <c r="E20" s="39" t="str">
        <f>" as of "&amp;TEXT($E$10,"DD MMM' YY")</f>
        <v xml:space="preserve"> as of 31 Dec' 22</v>
      </c>
      <c r="F20" s="39" t="str">
        <f>"as of "&amp;TEXT($E$9,"DD MMM 'YY")</f>
        <v>as of 12 Oct '23</v>
      </c>
      <c r="AC20" s="6" t="s">
        <v>36</v>
      </c>
      <c r="AD20" s="6" t="s">
        <v>37</v>
      </c>
    </row>
    <row r="21" spans="4:30">
      <c r="D21" s="32" t="str">
        <f>"Price in "&amp;$F$8&amp;""</f>
        <v>Price in TWD</v>
      </c>
      <c r="E21" s="32">
        <f>_xll.TR($E$6,"TR.PriceClose","sdate=#1 Curn=#2 Null=BLANK",,$E$10,$F$8)</f>
        <v>448.5</v>
      </c>
      <c r="F21" s="32">
        <f>_xll.TR($E$6,"TR.PriceClose","Curn=#1 Null=BLANK",,$F$8)</f>
        <v>544</v>
      </c>
      <c r="AC21" s="6" t="s">
        <v>38</v>
      </c>
      <c r="AD21" s="6" t="s">
        <v>39</v>
      </c>
    </row>
    <row r="22" spans="4:30">
      <c r="D22" s="32" t="s">
        <v>3</v>
      </c>
      <c r="E22" s="40">
        <f>_xll.TR($E$6,"TR.CompanySharesOutstanding","sdate=#1 Scale=6 Null=BLANK",,$E$10)</f>
        <v>25930.380458</v>
      </c>
      <c r="F22" s="40">
        <f>_xll.TR($E$6,"TR.CompanySharesOutstanding","Scale=6 Null=BLANK")</f>
        <v>25932.070992000001</v>
      </c>
      <c r="G22" s="2"/>
      <c r="AC22" s="6" t="s">
        <v>40</v>
      </c>
      <c r="AD22" s="6" t="s">
        <v>41</v>
      </c>
    </row>
    <row r="23" spans="4:30">
      <c r="D23" s="32" t="s">
        <v>4</v>
      </c>
      <c r="E23" s="40">
        <f>_xll.TR($E$6,"TR.CompanyMarketCap","Sdate=#1 Curn=#2 Scale=6 Null=BLANK",,$E$10,$F$8)</f>
        <v>11629775.635413</v>
      </c>
      <c r="F23" s="40">
        <f>_xll.TR($E$6,"TR.CompanyMarketCap","Curn=#1 Scale=6 Null=BLANK",,$F$8)</f>
        <v>14097372.2111183</v>
      </c>
      <c r="AC23" s="6" t="s">
        <v>42</v>
      </c>
      <c r="AD23" s="6" t="s">
        <v>43</v>
      </c>
    </row>
    <row r="24" spans="4:30">
      <c r="D24" s="41" t="s">
        <v>5</v>
      </c>
      <c r="E24" s="40">
        <f>_xll.TR($E$6,"TR.CashandSTInvestments","Period=FY0 Curn=#1 Scale=6 NULL=BLANK",,$F$8)</f>
        <v>1586500.125</v>
      </c>
      <c r="F24" s="40">
        <f>_xll.TR($E$6,"TR.CashandSTInvestments","Period=FI0 Curn=#1 Scale=6 NULL=BLANK",,$F$8)</f>
        <v>1514776.7919999999</v>
      </c>
      <c r="AC24" s="6" t="s">
        <v>44</v>
      </c>
      <c r="AD24" s="6" t="s">
        <v>45</v>
      </c>
    </row>
    <row r="25" spans="4:30">
      <c r="D25" s="41" t="s">
        <v>441</v>
      </c>
      <c r="E25" s="40">
        <f>_xll.TR($E$6,"TR.LTInvestmentAffiliateCompanies","Period=FY0 Curn=#1 Scale=6 NULL=BLANK",,$F$8)</f>
        <v>27641.505000000001</v>
      </c>
      <c r="F25" s="40">
        <f>_xll.TR($E$6,"TR.LTInvestmentAffiliateCompanies","Period=FI0 Curn=#1 Scale=6 NULL=BLANK",,$F$8)</f>
        <v>26845.396000000001</v>
      </c>
    </row>
    <row r="26" spans="4:30">
      <c r="D26" s="41" t="s">
        <v>6</v>
      </c>
      <c r="E26" s="40">
        <f>_xll.TR($E$6,"TR.TotalDebtOutstanding","Period=FY0 Curn=#1 Scale=6 NULL=BLANK",,$F$8)</f>
        <v>890777.97600000002</v>
      </c>
      <c r="F26" s="40">
        <f>_xll.TR($E$6,"TR.TotalDebtOutstanding","Period=FI0 Curn=#1 Scale=6 NULL=BLANK",,$F$8)</f>
        <v>947819.82900000003</v>
      </c>
      <c r="AC26" s="6" t="s">
        <v>46</v>
      </c>
      <c r="AD26" s="6" t="s">
        <v>47</v>
      </c>
    </row>
    <row r="27" spans="4:30">
      <c r="D27" s="41" t="s">
        <v>7</v>
      </c>
      <c r="E27" s="40" t="str">
        <f>_xll.TR($E$6,"TR.RedeemablePreferredTtl+TR.PreferredStockNonRedeemableNet","Period=FY0 Curn=#1 Scale=6 Null=BLANK",,$F$8)</f>
        <v/>
      </c>
      <c r="F27" s="40" t="str">
        <f>_xll.TR($E$6,"TR.RedeemablePreferredTtl+TR.PreferredStockNonRedeemableNet","Period=FI0 Curn=#1 Scale=6 Null=BLANK",,$F$8)</f>
        <v/>
      </c>
      <c r="AC27" s="6" t="s">
        <v>48</v>
      </c>
      <c r="AD27" s="6" t="s">
        <v>49</v>
      </c>
    </row>
    <row r="28" spans="4:30">
      <c r="D28" s="41" t="s">
        <v>8</v>
      </c>
      <c r="E28" s="40">
        <f>_xll.TR($E$6,"TR.MinorityInterestBSStmt","Period=FY0 Curn=#1 Scale=6 Null=BLANK",,$F$8)</f>
        <v>14835.672</v>
      </c>
      <c r="F28" s="40">
        <f>_xll.TR($E$6,"TR.MinorityInterestBSStmt","Period=FI0 Curn=#1 Scale=6 Null=BLANK",,$F$8)</f>
        <v>16717.743999999999</v>
      </c>
      <c r="AC28" s="6" t="s">
        <v>50</v>
      </c>
      <c r="AD28" s="6" t="s">
        <v>51</v>
      </c>
    </row>
    <row r="29" spans="4:30">
      <c r="D29" s="41" t="s">
        <v>442</v>
      </c>
      <c r="E29" s="40">
        <f>_xll.TR($E$6,"TR.PensionBenefitsUnderfunded","Period=FY0 Curn=#1 Scale=6 NULL=BLANK",,$F$8)</f>
        <v>9321.0910000000003</v>
      </c>
      <c r="F29" s="40">
        <f>_xll.TR($E$6,"TR.PensionBenefitsUnderfunded","Period=FY0 Curn=#1 Scale=6 NULL=BLANK",,$F$8)</f>
        <v>9321.0910000000003</v>
      </c>
    </row>
    <row r="30" spans="4:30">
      <c r="D30" s="41" t="s">
        <v>443</v>
      </c>
      <c r="E30" s="40"/>
      <c r="F30" s="40"/>
    </row>
    <row r="31" spans="4:30">
      <c r="D31" s="41" t="s">
        <v>9</v>
      </c>
      <c r="E31" s="42">
        <f>SUM(E23,E26:E30)-SUM(E24:E25)</f>
        <v>10930568.744413</v>
      </c>
      <c r="F31" s="42">
        <f>SUM(F23,F26:F30)-SUM(F24:F25)</f>
        <v>13529608.687118301</v>
      </c>
      <c r="AC31" s="6" t="s">
        <v>52</v>
      </c>
      <c r="AD31" s="6" t="s">
        <v>53</v>
      </c>
    </row>
    <row r="32" spans="4:30">
      <c r="D32" s="13" t="s">
        <v>497</v>
      </c>
      <c r="AC32" s="6" t="s">
        <v>54</v>
      </c>
      <c r="AD32" s="6" t="s">
        <v>55</v>
      </c>
    </row>
    <row r="33" spans="4:30">
      <c r="AC33" s="6" t="s">
        <v>56</v>
      </c>
      <c r="AD33" s="6" t="s">
        <v>57</v>
      </c>
    </row>
    <row r="34" spans="4:30" ht="15.95" customHeight="1">
      <c r="D34" s="34" t="s">
        <v>306</v>
      </c>
      <c r="E34" s="34"/>
      <c r="F34" s="34"/>
      <c r="G34" s="34"/>
      <c r="H34" s="34"/>
      <c r="I34" s="34"/>
      <c r="AC34" s="6" t="s">
        <v>58</v>
      </c>
      <c r="AD34" s="6" t="s">
        <v>59</v>
      </c>
    </row>
    <row r="35" spans="4:30" ht="17.25" thickBot="1">
      <c r="AC35" s="6" t="s">
        <v>60</v>
      </c>
      <c r="AD35" s="6" t="s">
        <v>61</v>
      </c>
    </row>
    <row r="36" spans="4:30" ht="17.25" thickBot="1">
      <c r="D36" s="10"/>
      <c r="E36" s="11" t="str">
        <f>TEXT(_xll.TR($E$6,"TR.NetIncome.PED","Period=FY0"),"MM/YYYY")&amp;"A"</f>
        <v>12/2022A</v>
      </c>
      <c r="F36" s="96" t="str">
        <f>TEXT($E$11,"MM/YYYY")&amp;"LTM"</f>
        <v>06/2023LTM</v>
      </c>
      <c r="G36" s="95" t="str">
        <f>TEXT(_xll.TR($E$6,"TR.NetIncomeMeanEstimate.PED","Period=FY1"),"MM/YYYY")&amp;"E"</f>
        <v>12/2023E</v>
      </c>
      <c r="H36" s="27" t="str">
        <f>TEXT(_xll.TR($E$6,"TR.NetIncomeMeanEstimate.PED","Period=FY2"),"MM/YYYY")&amp;"E"</f>
        <v>12/2024E</v>
      </c>
      <c r="I36" s="12" t="str">
        <f>TEXT(_xll.TR($E$6,"TR.NetIncomeMeanEstimate.PED","Period=FY3"),"MM/YYYY")&amp;"E"</f>
        <v>12/2025E</v>
      </c>
      <c r="J36" s="2"/>
      <c r="AC36" s="6" t="s">
        <v>62</v>
      </c>
      <c r="AD36" s="6" t="s">
        <v>63</v>
      </c>
    </row>
    <row r="37" spans="4:30">
      <c r="D37" s="9" t="s">
        <v>307</v>
      </c>
      <c r="E37" s="19">
        <f>IFERROR(E31/H51,"-")</f>
        <v>4.8282215595063125</v>
      </c>
      <c r="F37" s="19">
        <f>IFERROR(F31/F51,"-")</f>
        <v>6.072129678402705</v>
      </c>
      <c r="G37" s="45">
        <f>IFERROR($F$31/I51,"")</f>
        <v>6.4139757417406322</v>
      </c>
      <c r="H37" s="45">
        <f t="shared" ref="H37:I37" si="0">IFERROR($F$31/J51,"")</f>
        <v>5.2820505025637088</v>
      </c>
      <c r="I37" s="45">
        <f t="shared" si="0"/>
        <v>4.4372043432754511</v>
      </c>
      <c r="AC37" s="6" t="s">
        <v>64</v>
      </c>
      <c r="AD37" s="6" t="s">
        <v>65</v>
      </c>
    </row>
    <row r="38" spans="4:30">
      <c r="D38" s="7" t="s">
        <v>308</v>
      </c>
      <c r="E38" s="20">
        <f>IFERROR(E31/H55,"-")</f>
        <v>7.0098130329216835</v>
      </c>
      <c r="F38" s="20">
        <f>IFERROR(F31/F55,"-")</f>
        <v>8.9260096208028692</v>
      </c>
      <c r="G38" s="46">
        <f>IFERROR($F$31/I55,"")</f>
        <v>9.3045408057815386</v>
      </c>
      <c r="H38" s="46">
        <f t="shared" ref="H38:I38" si="1">IFERROR($F$31/J55,"")</f>
        <v>7.5539647299524209</v>
      </c>
      <c r="I38" s="46">
        <f t="shared" si="1"/>
        <v>6.3251870428060482</v>
      </c>
      <c r="AC38" s="6" t="s">
        <v>66</v>
      </c>
      <c r="AD38" s="6" t="s">
        <v>67</v>
      </c>
    </row>
    <row r="39" spans="4:30">
      <c r="D39" s="7" t="s">
        <v>309</v>
      </c>
      <c r="E39" s="20">
        <f>IFERROR(E31/H57,"-")</f>
        <v>9.7414356757245013</v>
      </c>
      <c r="F39" s="20">
        <f>IFERROR(F31/F57,"-")</f>
        <v>12.661519892077891</v>
      </c>
      <c r="G39" s="46">
        <f>IFERROR($F$31/I57,"")</f>
        <v>15.25518008266515</v>
      </c>
      <c r="H39" s="46">
        <f t="shared" ref="H39:I39" si="2">IFERROR($F$31/J57,"")</f>
        <v>12.382367122931525</v>
      </c>
      <c r="I39" s="46">
        <f t="shared" si="2"/>
        <v>10.141993104893745</v>
      </c>
      <c r="AC39" s="6" t="s">
        <v>68</v>
      </c>
      <c r="AD39" s="6" t="s">
        <v>69</v>
      </c>
    </row>
    <row r="40" spans="4:30">
      <c r="D40" s="7" t="s">
        <v>310</v>
      </c>
      <c r="E40" s="50">
        <f>_xll.TR($E$6,"TR.EBITDA/(TR.InterestExpenseSupplemental)","Period=FY0 Curn=#1 Null=BLANK",,$F$8)</f>
        <v>132.70859466702299</v>
      </c>
      <c r="F40" s="50">
        <f>_xll.TR($E$6,"TR.EBITDA/TR.InterestExpenseSupplemental","Period=LTM Curn=#1 Null=BLANK",,$F$8)</f>
        <v>119.59694229714999</v>
      </c>
      <c r="G40" s="43">
        <f>_xll.TR($E$6,"TR.EBITDAMean/TR.IntExpMean","Period=FY1 Curn=#1 NULL=BLANK",,$F$8)</f>
        <v>60.282303359027701</v>
      </c>
      <c r="H40" s="44">
        <f>_xll.TR($E$6,"TR.EBITDAMean/TR.IntExpMean","Period=FY2 Curn=#1 NULL=BLANK",,$F$8)</f>
        <v>134.81826204892701</v>
      </c>
      <c r="I40" s="44">
        <f>_xll.TR($E$6,"TR.EBITDAMean/TR.IntExpMean","Period=FY3 Curn=#1 NULL=BLANK",,$F$8)</f>
        <v>118.43752076389001</v>
      </c>
      <c r="J40" s="3"/>
      <c r="M40" s="3"/>
      <c r="N40" s="3"/>
      <c r="O40" s="3"/>
      <c r="AC40" s="6" t="s">
        <v>70</v>
      </c>
      <c r="AD40" s="6" t="s">
        <v>71</v>
      </c>
    </row>
    <row r="41" spans="4:30">
      <c r="D41" s="7" t="s">
        <v>311</v>
      </c>
      <c r="E41" s="50">
        <f>_xll.TR($E$6,"TR.EBIT/TR.InterestExpenseSupplemental","Period=FY0 Curn=#1 Null=BLANK",,$F$8)</f>
        <v>95.495414376734502</v>
      </c>
      <c r="F41" s="50">
        <f>_xll.TR($E$6,"TR.EBIT/TR.InterestExpenseSupplemental","Period=LTM Curn=#1 Null=BLANK",,$F$8)</f>
        <v>84.312425890583299</v>
      </c>
      <c r="G41" s="44">
        <f>_xll.TR($E$6,"TR.EBITMean/TR.IntExpMean","Period=FY1:FY3 Curn=#1 Transpose=Y NULL=BLANK",,$F$8)</f>
        <v>36.767783037051103</v>
      </c>
      <c r="H41" s="44">
        <v>82.246987701166702</v>
      </c>
      <c r="I41" s="44">
        <v>73.865113490991206</v>
      </c>
      <c r="J41" s="3"/>
      <c r="AC41" s="6" t="s">
        <v>72</v>
      </c>
      <c r="AD41" s="6" t="s">
        <v>73</v>
      </c>
    </row>
    <row r="42" spans="4:30">
      <c r="D42" s="7" t="s">
        <v>312</v>
      </c>
      <c r="E42" s="50">
        <f>_xll.TR($E$6,"(TR.EBITDA-TR.CapitalExpendituresCFStmt)/(TR.InterestExpenseSupplemental)","Period=FY0 Curn=#1 Null=BLANK",,$F$8)</f>
        <v>39.974301922453698</v>
      </c>
      <c r="F42" s="50">
        <f>_xll.TR($E$6,"(TR.EBITDATTM-TR.CapitalExpendituresCFStmt(Period=LTM))/TR.InterestExpenseSupplemental(Methodology=InterimSum)"," Null=BLANK")</f>
        <v>30.173135299588399</v>
      </c>
      <c r="G42" s="44">
        <f>_xll.TR($E$6,"(TR.EBITMean-TR.CAPEXMean)/TR.IntExpMean","Period=FY1:FY3 Curn=#1 Transpose=Y NULL=BLANK",,$F$8)</f>
        <v>-3.3941275665939599</v>
      </c>
      <c r="H42" s="44">
        <v>8.8710113074896402</v>
      </c>
      <c r="I42" s="44">
        <v>20.8164732765972</v>
      </c>
      <c r="AC42" s="6" t="s">
        <v>74</v>
      </c>
      <c r="AD42" s="6" t="s">
        <v>75</v>
      </c>
    </row>
    <row r="43" spans="4:30">
      <c r="D43" s="7" t="s">
        <v>313</v>
      </c>
      <c r="E43" s="20">
        <f>_xll.TR($E$6,"TR.TotalDebtOutstanding/TR.EBITDA","Period=FY0 NULL=BLANK")</f>
        <v>0.57125911849701505</v>
      </c>
      <c r="F43" s="20">
        <f>_xll.TR($E$6,"TR.TotalDebtOutstanding(Period=FI0)/TR.EBITDATTM","NULL=BLANK")</f>
        <v>0.62531364417781199</v>
      </c>
      <c r="G43" s="44" t="s">
        <v>359</v>
      </c>
      <c r="H43" s="44" t="s">
        <v>359</v>
      </c>
      <c r="I43" s="44" t="s">
        <v>359</v>
      </c>
      <c r="AC43" s="6" t="s">
        <v>76</v>
      </c>
      <c r="AD43" s="6" t="s">
        <v>77</v>
      </c>
    </row>
    <row r="44" spans="4:30">
      <c r="D44" s="7" t="s">
        <v>314</v>
      </c>
      <c r="E44" s="20">
        <f>_xll.TR($E$6,"TR.TotalDebtOutstanding(Period=FY0)/TR.EV*100","Curn=#1 NULL=BLANK",,$F$8)</f>
        <v>6.5753984737453504</v>
      </c>
      <c r="F44" s="20">
        <f>_xll.TR($E$6,"TR.TotalDebtOutstanding(Period=FI0)/TR.EV*100","Curn=#1 NULL=BLANK",,$F$8)</f>
        <v>6.9964606500241802</v>
      </c>
      <c r="G44" s="44" t="s">
        <v>359</v>
      </c>
      <c r="H44" s="44" t="s">
        <v>359</v>
      </c>
      <c r="I44" s="44" t="s">
        <v>359</v>
      </c>
      <c r="AC44" s="6" t="s">
        <v>78</v>
      </c>
      <c r="AD44" s="6" t="s">
        <v>79</v>
      </c>
    </row>
    <row r="45" spans="4:30">
      <c r="D45" s="8" t="s">
        <v>315</v>
      </c>
      <c r="E45" s="21">
        <f>_xll.TR($E$6,"TR.PriceClose(sdate=#1)//TR.DilutedEpsExclExtra(Period=FY0)","Curn=#2 NULL=BLANK",,$E$10,$F$8)</f>
        <v>11.4402175299333</v>
      </c>
      <c r="F45" s="21">
        <f>_xll.TR($E$6,"TR.PriceClose//TR.DilutedEpsExclExtra(Period=LTM)","Curn=#1 Methodology=InterimSum NULL=BLANK",,$F$8)</f>
        <v>14.6087369377348</v>
      </c>
      <c r="G45" s="47">
        <f>_xll.TR($E$6,"TR.PtoEPSMeanEst","Period=FY1 Curn=#1 NULL=BLANK",,$F$8)</f>
        <v>18.040879837791302</v>
      </c>
      <c r="H45" s="48">
        <f>_xll.TR($E$6,"TR.PtoEPSMeanEst","Period=FY2 Curn=#1 NULL=BLANK",,$F$8)</f>
        <v>14.776914764908501</v>
      </c>
      <c r="I45" s="48">
        <f>_xll.TR($E$6,"TR.PtoEPSMeanEst","Period=FY2 Curn=#1 NULL=BLANK",,$F$8)</f>
        <v>14.776914764908501</v>
      </c>
      <c r="AC45" s="6" t="s">
        <v>80</v>
      </c>
      <c r="AD45" s="6" t="s">
        <v>81</v>
      </c>
    </row>
    <row r="46" spans="4:30">
      <c r="D46" s="13" t="s">
        <v>498</v>
      </c>
      <c r="E46" s="14"/>
      <c r="F46" s="14"/>
      <c r="G46" s="15"/>
      <c r="H46" s="15"/>
      <c r="AC46" s="6" t="s">
        <v>82</v>
      </c>
      <c r="AD46" s="6" t="s">
        <v>83</v>
      </c>
    </row>
    <row r="47" spans="4:30">
      <c r="AC47" s="6" t="s">
        <v>84</v>
      </c>
      <c r="AD47" s="6" t="s">
        <v>85</v>
      </c>
    </row>
    <row r="48" spans="4:30" ht="15.95" customHeight="1">
      <c r="D48" s="34" t="s">
        <v>316</v>
      </c>
      <c r="E48" s="34"/>
      <c r="F48" s="34"/>
      <c r="G48" s="34"/>
      <c r="H48" s="34"/>
      <c r="I48" s="34"/>
      <c r="J48" s="34"/>
      <c r="K48" s="34"/>
      <c r="L48" s="34"/>
      <c r="AC48" s="6" t="s">
        <v>86</v>
      </c>
      <c r="AD48" s="6" t="s">
        <v>87</v>
      </c>
    </row>
    <row r="49" spans="4:30">
      <c r="AC49" s="6" t="s">
        <v>88</v>
      </c>
      <c r="AD49" s="6" t="s">
        <v>89</v>
      </c>
    </row>
    <row r="50" spans="4:30" ht="20.100000000000001" customHeight="1">
      <c r="D50" s="34" t="str">
        <f>_xll.TR(E6,"TR.InterimFrequency",)</f>
        <v>Quarterly</v>
      </c>
      <c r="E50" s="34" t="str">
        <f>TEXT($E$11,"MMM 'YY")&amp;LEFT(D50,1)</f>
        <v>Jun '23Q</v>
      </c>
      <c r="F50" s="34" t="str">
        <f>TEXT($E$11,"MMM 'YY")&amp;"LTM"</f>
        <v>Jun '23LTM</v>
      </c>
      <c r="G50" s="53" t="str">
        <f>TEXT(_xll.TR($E$6,"TR.NetIncome.PED","Period=FY-1"),"MMM 'YY")&amp;"A"</f>
        <v>Dec '21A</v>
      </c>
      <c r="H50" s="53" t="str">
        <f>TEXT(_xll.TR($E$6,"TR.NetIncome.PED","Period=FY0"),"MMM 'YY")&amp;"A"</f>
        <v>Dec '22A</v>
      </c>
      <c r="I50" s="55" t="str">
        <f>TEXT(_xll.TR($E$6,"TR.NetIncomeMeanEstimate.PED","Period=FY1"),"MMM 'YY")&amp;"E"</f>
        <v>Dec '23E</v>
      </c>
      <c r="J50" s="55" t="str">
        <f>TEXT(_xll.TR($E$6,"TR.NetIncomeMeanEstimate.PED","Period=FY2"),"MMM 'YY")&amp;"E"</f>
        <v>Dec '24E</v>
      </c>
      <c r="K50" s="55" t="str">
        <f>TEXT(_xll.TR($E$6,"TR.NetIncomeMeanEstimate.PED","Period=FY3"),"MMM 'YY")&amp;"E"</f>
        <v>Dec '25E</v>
      </c>
      <c r="L50" s="55" t="s">
        <v>444</v>
      </c>
      <c r="M50" s="4"/>
      <c r="AC50" s="6" t="s">
        <v>90</v>
      </c>
      <c r="AD50" s="6" t="s">
        <v>91</v>
      </c>
    </row>
    <row r="51" spans="4:30">
      <c r="D51" s="31" t="s">
        <v>317</v>
      </c>
      <c r="E51" s="38">
        <f>_xll.TR($E$6,"TR.TotalRevenue","Period=FI0 Curn=#1 Scale=6 NULL=BLANK",,$F$8)</f>
        <v>480841.25400000002</v>
      </c>
      <c r="F51" s="38">
        <f>_xll.TR($E$6,"TR.TotalRevenue(Methodology=InterimSum)","Period=LTM Curn=#1 Scale=6 NULL=BLANK",,$F$8)</f>
        <v>2228148.838</v>
      </c>
      <c r="G51" s="38">
        <f>_xll.TR($E$6,"TR.TotalRevenue","Period=FY-1 Curn=#1 Scale=6 NULL=BLANK",,$F$8)</f>
        <v>1587415.037</v>
      </c>
      <c r="H51" s="38">
        <f>_xll.TR($E$6,"TR.TotalRevenue","Period=FY0 Curn=#1 Scale=6 NULL=BLANK",,$F$8)</f>
        <v>2263891.2919999999</v>
      </c>
      <c r="I51" s="38">
        <f>_xll.TR($E$6,"TR.RevenueMeanEstimate","Period=FY1:FY3 Curn=#1 Scale=6 NULL=BLANK Transpose=Y",,$F$8)</f>
        <v>2109395.0510399998</v>
      </c>
      <c r="J51" s="38">
        <v>2561431.1488600001</v>
      </c>
      <c r="K51" s="38">
        <v>3049129.0552400001</v>
      </c>
      <c r="L51" s="54">
        <f>IFERROR((K51/H51)^(1/3)-1,"")</f>
        <v>0.10435002617398803</v>
      </c>
      <c r="M51" s="4"/>
      <c r="AC51" s="6" t="s">
        <v>92</v>
      </c>
      <c r="AD51" s="6" t="s">
        <v>93</v>
      </c>
    </row>
    <row r="52" spans="4:30">
      <c r="D52" s="32" t="s">
        <v>357</v>
      </c>
      <c r="E52" s="52">
        <f>_xll.TR($E$6,"PERCENT_CHG(TR.TotalRevenue(period=FI0),TR.TotalRevenue(period=FI-1))","NULL=BLANK",,$F$8)</f>
        <v>-5.4640026257204504</v>
      </c>
      <c r="F52" s="52">
        <f>_xll.TR($E$6,"PERCENT_CHG(TR.TotalRevenue(Sdate=FI0),TR.TotalRevenue(Sdate=FI-4))","period=LTM NULL=BLANK",,$F$8)</f>
        <v>18.639948744235401</v>
      </c>
      <c r="G52" s="52">
        <f>_xll.TR($E$6,"PERCENT_CHG(TR.TotalRevenue(period=FY-1),TR.TotalRevenue(period=FY-2))","NULL=BLANK",,$F$8)</f>
        <v>18.5297244379285</v>
      </c>
      <c r="H52" s="52">
        <f>_xll.TR($E$6,"PERCENT_CHG(TR.TotalRevenue(period=FY0),TR.TotalRevenue(period=FY-1))","NULL=BLANK",,$F$8)</f>
        <v>42.614958232879601</v>
      </c>
      <c r="I52" s="52">
        <f>_xll.TR($E$6,"PERCENT_CHG(TR.RevenueMeanEstimate(period=FY1),TR.TotalRevenue(period=FY0))","NULL=BLANK",,$F$8)</f>
        <v>-6.8243665897717598</v>
      </c>
      <c r="J52" s="52">
        <f>_xll.TR($E$6,"PERCENT_CHG(TR.RevenueMeanEstimate(period=FY2),TR.RevenueMeanEstimate(period=FY1))","NULL=BLANK",,$F$8)</f>
        <v>21.429655748795501</v>
      </c>
      <c r="K52" s="101">
        <f>_xll.TR($E$6,"PERCENT_CHG(TR.RevenueMeanEstimate(period=FY3),TR.RevenueMeanEstimate(period=FY2))","NULL=BLANK",,$F$8)</f>
        <v>19.0400552674257</v>
      </c>
      <c r="L52" s="52"/>
      <c r="M52" s="4"/>
      <c r="AC52" s="6" t="s">
        <v>94</v>
      </c>
      <c r="AD52" s="6" t="s">
        <v>95</v>
      </c>
    </row>
    <row r="53" spans="4:30">
      <c r="D53" s="32" t="s">
        <v>318</v>
      </c>
      <c r="E53" s="40">
        <f>_xll.TR($E$6,"TR.GrossProfit","Period=FI0 Curn=#1 Scale=6 NULL=BLANK",,$F$8)</f>
        <v>260199.84700000001</v>
      </c>
      <c r="F53" s="40">
        <f>_xll.TR($E$6,"TR.GrossProfit(Methodology=InterimSum)","Period=LTM Curn=#1 Scale=6 NULL=BLANK",,$F$8)</f>
        <v>1306383.885</v>
      </c>
      <c r="G53" s="40">
        <f>_xll.TR($E$6,"TR.GrossProfit","Period=FY-1 Curn=#1 Scale=6 NULL=BLANK",,$F$8)</f>
        <v>819537.26599999995</v>
      </c>
      <c r="H53" s="40">
        <f>_xll.TR($E$6,"TR.GrossProfit","Period=FY0 Curn=#1 Scale=6 NULL=BLANK",,$F$8)</f>
        <v>1348354.8060000001</v>
      </c>
      <c r="I53" s="40">
        <f>_xll.TR($E$6,"TR.GrossIncomeMean","Period=FY1:FY3 Curn=#1 Scale=6 Transpose=Y NULL=BLANK",,$F$8)</f>
        <v>1111970.7222200001</v>
      </c>
      <c r="J53" s="40">
        <v>1321727.4736800001</v>
      </c>
      <c r="K53" s="100">
        <v>1661955.6666699999</v>
      </c>
      <c r="L53" s="51">
        <f>IFERROR((K53/H53)^(1/3)-1,"")</f>
        <v>7.2189991810604148E-2</v>
      </c>
      <c r="M53" s="4"/>
      <c r="AC53" s="6" t="s">
        <v>96</v>
      </c>
      <c r="AD53" s="6" t="s">
        <v>97</v>
      </c>
    </row>
    <row r="54" spans="4:30">
      <c r="D54" s="32" t="s">
        <v>358</v>
      </c>
      <c r="E54" s="52">
        <f>_xll.TR($E$6,"TR.GrossMargin","Period=FI0 Scale=6 NULL=BLANK")</f>
        <v>54.113460000000003</v>
      </c>
      <c r="F54" s="52">
        <f>_xll.TR($E$6,"TR.GrossMargin(Methodology=InterimSum)","Period=LTM Scale=6 NULL=BLANK")</f>
        <v>58.2709525</v>
      </c>
      <c r="G54" s="52">
        <f>_xll.TR($E$6,"TR.GrossMargin","Period=FY-1 Scale=6 NULL=BLANK")</f>
        <v>51.627160000000003</v>
      </c>
      <c r="H54" s="52">
        <f>_xll.TR($E$6,"TR.GrossMargin","Period=FY0 Scale=6 NULL=BLANK")</f>
        <v>59.559170000000002</v>
      </c>
      <c r="I54" s="52">
        <f>_xll.TR($E$6,"TR.GPMMean","Period=FY1:FY3 Transpose=Y NULL=BLANK")</f>
        <v>53.936100000000003</v>
      </c>
      <c r="J54" s="52">
        <v>53.743670000000002</v>
      </c>
      <c r="K54" s="52">
        <v>55.018799999999999</v>
      </c>
      <c r="L54" s="52"/>
      <c r="AC54" s="6" t="s">
        <v>98</v>
      </c>
      <c r="AD54" s="6" t="s">
        <v>99</v>
      </c>
    </row>
    <row r="55" spans="4:30">
      <c r="D55" s="32" t="s">
        <v>319</v>
      </c>
      <c r="E55" s="40">
        <f>_xll.TR($E$6,"TR.EBITDA","Period=FI0 Curn=#1 Scale=6 NULL=BLANK",,$F$8)</f>
        <v>325897.73100000003</v>
      </c>
      <c r="F55" s="40">
        <f>_xll.TR($E$6,"TR.EBITDATTM","Curn=#1 Scale=6 NULL=BLANK",,$F$8)</f>
        <v>1515751.0759999999</v>
      </c>
      <c r="G55" s="40">
        <f>_xll.TR($E$6,"TR.EBITDA","Period=FY-1 Curn=#1 Scale=6 NULL=BLANK",,$F$8)</f>
        <v>1072375.7660000001</v>
      </c>
      <c r="H55" s="40">
        <f>_xll.TR($E$6,"TR.EBITDA","Period=FY0 Curn=#1 Scale=6 NULL=BLANK",,$F$8)</f>
        <v>1559323.8640000001</v>
      </c>
      <c r="I55" s="40">
        <f>_xll.TR($E$6,"TR.EBITDAMean","Period=FY1:FY3 Curn=#1 Scale=6 Transpose=Y NULL=BLANK",,$F$8)</f>
        <v>1454086.66258</v>
      </c>
      <c r="J55" s="40">
        <v>1791060.6113199999</v>
      </c>
      <c r="K55" s="40">
        <v>2139005.3125</v>
      </c>
      <c r="L55" s="51">
        <f>IFERROR((K55/H55)^(1/3)-1,"")</f>
        <v>0.11111372591645186</v>
      </c>
      <c r="AC55" s="6" t="s">
        <v>100</v>
      </c>
      <c r="AD55" s="6" t="s">
        <v>101</v>
      </c>
    </row>
    <row r="56" spans="4:30">
      <c r="D56" s="32" t="s">
        <v>358</v>
      </c>
      <c r="E56" s="52">
        <f>_xll.TR($E$6,"TR.EBITDAMarginPercent","Period=FI0 NULL=BLANK",,$F$8)</f>
        <v>67.776574553200007</v>
      </c>
      <c r="F56" s="52">
        <f>_xll.TR($E$6,"TR.EBITDAMarginPercent","Period=LTM NULL=BLANK",,$F$8)</f>
        <v>67.970845087049995</v>
      </c>
      <c r="G56" s="52">
        <f>_xll.TR($E$6,"TR.EBITDAMarginPercent","Period=FY-1 NULL=BLANK",,$F$8)</f>
        <v>67.554844889600005</v>
      </c>
      <c r="H56" s="52">
        <f>_xll.TR($E$6,"TR.EBITDAMarginPercent","Period=FY0 NULL=BLANK",,$F$8)</f>
        <v>68.878036216200002</v>
      </c>
      <c r="I56" s="52">
        <f>_xll.TR($E$6,"TR.EBITDAMean/TR.RevenueMeanEstimate*100","Period=FY1:FY3 Transpose=Y NULL=BLANK")</f>
        <v>68.933823555862105</v>
      </c>
      <c r="J56" s="52">
        <v>69.924214520352706</v>
      </c>
      <c r="K56" s="52">
        <v>70.151353837387404</v>
      </c>
      <c r="L56" s="52"/>
      <c r="P56" s="5"/>
      <c r="AC56" s="6" t="s">
        <v>102</v>
      </c>
      <c r="AD56" s="6" t="s">
        <v>103</v>
      </c>
    </row>
    <row r="57" spans="4:30">
      <c r="D57" s="32" t="s">
        <v>320</v>
      </c>
      <c r="E57" s="40">
        <f>_xll.TR($E$6,"TR.EBIT","Period=FI0 Curn=#1 Scale=6 NULL=BLANK",,$F$8)</f>
        <v>201958.04300000001</v>
      </c>
      <c r="F57" s="40">
        <f>_xll.TR($E$6,"TR.EBITTTM","Curn=#1 Scale=6 NULL=BLANK",,$F$8)</f>
        <v>1068561.1839999999</v>
      </c>
      <c r="G57" s="40">
        <f>_xll.TR($E$6,"TR.EBIT","Period=FY-1 Curn=#1 Scale=6 NULL=BLANK",,$F$8)</f>
        <v>649980.897</v>
      </c>
      <c r="H57" s="40">
        <f>_xll.TR($E$6,"TR.EBIT","Period=FY0 Curn=#1 Scale=6 NULL=BLANK",,$F$8)</f>
        <v>1122069.591</v>
      </c>
      <c r="I57" s="40">
        <f>_xll.TR($E$6,"TR.EBITMean","Period=FY1:FY3 Curn=#1 Scale=6 Transpose=Y NULL=BLANK",,$F$8)</f>
        <v>886886.19955999998</v>
      </c>
      <c r="J57" s="40">
        <v>1092651.2316099999</v>
      </c>
      <c r="K57" s="40">
        <v>1334018.72267</v>
      </c>
      <c r="L57" s="51">
        <f>IFERROR((K57/H57)^(1/3)-1,"")</f>
        <v>5.9369285880372491E-2</v>
      </c>
      <c r="P57" s="5"/>
      <c r="AC57" s="6" t="s">
        <v>104</v>
      </c>
      <c r="AD57" s="6" t="s">
        <v>105</v>
      </c>
    </row>
    <row r="58" spans="4:30">
      <c r="D58" s="32" t="s">
        <v>358</v>
      </c>
      <c r="E58" s="52">
        <f>_xll.TR($E$6,"TR.EBITMarginPercent","Period=FI0 NULL=BLANK",,$F$8)</f>
        <v>42.000980847599998</v>
      </c>
      <c r="F58" s="52">
        <f>_xll.TR($E$6,"TR.EBITMarginPercent","Period=LTM Curn=#1 Scale=6 NULL=BLANK",,$F$8)</f>
        <v>47.509506675875002</v>
      </c>
      <c r="G58" s="52">
        <f>_xll.TR($E$6,"TR.EBITMarginPercent","Period=FY-1 NULL=BLANK",,$F$8)</f>
        <v>40.945869974099999</v>
      </c>
      <c r="H58" s="52">
        <f>_xll.TR($E$6,"TR.EBITMarginPercent","Period=FY0 NULL=BLANK",,$F$8)</f>
        <v>49.563757542799998</v>
      </c>
      <c r="I58" s="52">
        <f>_xll.TR($E$6,"TR.EBITMean/TR.RevenueMeanEstimate*100","Period=FY1:FY3 Transpose=Y NULL=BLANK")</f>
        <v>42.044575724340298</v>
      </c>
      <c r="J58" s="52">
        <v>42.657841187583699</v>
      </c>
      <c r="K58" s="52">
        <v>43.750812068038201</v>
      </c>
      <c r="L58" s="52"/>
      <c r="P58" s="5"/>
      <c r="AC58" s="6" t="s">
        <v>106</v>
      </c>
      <c r="AD58" s="6" t="s">
        <v>107</v>
      </c>
    </row>
    <row r="59" spans="4:30">
      <c r="D59" s="32" t="s">
        <v>321</v>
      </c>
      <c r="E59" s="40">
        <f>_xll.TR($E$6,"TR.NetIncome","Period=FI0 Curn=#1 Scale=6 NULL=BLANK",,$F$8)</f>
        <v>181799.02100000001</v>
      </c>
      <c r="F59" s="40">
        <f>_xll.TR($E$6,"TR.NetIncome(Methodology=InterimSum)","Period=LTM Curn=#1 Scale=6 NULL=BLANK",,$F$8)</f>
        <v>965555.53899999999</v>
      </c>
      <c r="G59" s="40">
        <f>_xll.TR($E$6,"TR.NetIncome","Period=FY-1 Curn=#1 Scale=6 NULL=BLANK",,$F$8)</f>
        <v>596540.01300000004</v>
      </c>
      <c r="H59" s="40">
        <f>_xll.TR($E$6,"TR.NetIncome","Period=FY0 Curn=#1 Scale=6 NULL=BLANK",,$F$8)</f>
        <v>1016530.249</v>
      </c>
      <c r="I59" s="40">
        <f>_xll.TR($E$6,"TR.NetIncomeMeanEstimate","Period=FY1:FY3 Curn=#1 Scale=6 Transpose=Y NULL=BLANK",,$F$8)</f>
        <v>782505.05330000003</v>
      </c>
      <c r="J59" s="40">
        <v>913743.06082000001</v>
      </c>
      <c r="K59" s="40">
        <v>1170020.53088</v>
      </c>
      <c r="L59" s="51">
        <f>IFERROR((K59/H59)^(1/3)-1,"")</f>
        <v>4.7991415896227574E-2</v>
      </c>
      <c r="P59" s="5"/>
      <c r="AC59" s="6" t="s">
        <v>108</v>
      </c>
      <c r="AD59" s="6" t="s">
        <v>109</v>
      </c>
    </row>
    <row r="60" spans="4:30">
      <c r="D60" s="32" t="s">
        <v>358</v>
      </c>
      <c r="E60" s="52">
        <f>_xll.TR($E$6,"TR.NetProfitMargin","Period=FI0 Curn=#1 Scale=6 NULL=BLANK",,$F$8)</f>
        <v>37.808529999999998</v>
      </c>
      <c r="F60" s="52">
        <f>_xll.TR($E$6,"TR.NetProfitMargin(Methodology=InterimSum)","Period=LTM Curn=#1 Scale=6 NULL=BLANK",,$F$8)</f>
        <v>42.903797500000003</v>
      </c>
      <c r="G60" s="52">
        <f>_xll.TR($E$6,"TR.NetProfitMargin","Period=FY-1 Curn=#1 Scale=6 NULL=BLANK",,$F$8)</f>
        <v>37.579329999999999</v>
      </c>
      <c r="H60" s="52">
        <f>_xll.TR($E$6,"TR.NetProfitMargin","Period=FY0 Curn=#1 Scale=6 NULL=BLANK",,$F$8)</f>
        <v>44.901899999999998</v>
      </c>
      <c r="I60" s="52">
        <f>_xll.TR($E$6,"TR.NetIncomeMeanEstimate/TR.RevenueMeanEstimate*100","Period=FY1:FY3 Transpose=Y NULL=BLANK")</f>
        <v>37.096183235767</v>
      </c>
      <c r="J60" s="52">
        <v>35.673145507997504</v>
      </c>
      <c r="K60" s="52">
        <v>38.372286304815198</v>
      </c>
      <c r="L60" s="52"/>
      <c r="P60" s="5"/>
      <c r="AC60" s="6" t="s">
        <v>110</v>
      </c>
      <c r="AD60" s="6" t="s">
        <v>111</v>
      </c>
    </row>
    <row r="61" spans="4:30">
      <c r="D61" s="32" t="s">
        <v>439</v>
      </c>
      <c r="E61" s="40">
        <f>_xll.TR($E$6,"TR.CapitalExpendituresCFStmt","Period=FI0 Curn=#1 Scale=6 NULL=BLANK",,$F$8)</f>
        <v>252469.36600000001</v>
      </c>
      <c r="F61" s="40">
        <f>_xll.TR($E$6,"TR.CapitalExpendituresCFStmt","Period=LTM Curn=#1 Scale=6 NULL=BLANK",,$F$8)</f>
        <v>1161217.219</v>
      </c>
      <c r="G61" s="40">
        <f>_xll.TR($E$6,"TR.CapitalExpendituresCFStmt","Period=FY-1 Curn=#1 Scale=6 NULL=BLANK",,$F$8)</f>
        <v>848236.45900000096</v>
      </c>
      <c r="H61" s="40">
        <f>_xll.TR($E$6,"TR.CapitalExpendituresCFStmt","Period=FY0 Curn=#1 Scale=6 NULL=BLANK",,$F$8)</f>
        <v>1089626.456</v>
      </c>
      <c r="I61" s="40">
        <f>_xll.TR($E$6,"TR.CAPEXMean","Period=FY1:FY3 Curn=#1 Scale=6 Transpose=Y NULL=BLANK",,$F$8)</f>
        <v>968756.92032999999</v>
      </c>
      <c r="J61" s="40">
        <v>974799.84638999996</v>
      </c>
      <c r="K61" s="40">
        <v>958069.05200000003</v>
      </c>
      <c r="L61" s="51">
        <f>IFERROR((K61/H61)^(1/3)-1,"")</f>
        <v>-4.1983349122772129E-2</v>
      </c>
      <c r="P61" s="5"/>
    </row>
    <row r="62" spans="4:30">
      <c r="D62" s="32" t="s">
        <v>445</v>
      </c>
      <c r="E62" s="52">
        <f>_xll.TR($E$6,"TR.CapitalExpendituresCFStmt/TR.TotalRevenue*100","Period=FI0 Curn=#1 Scale=6 NULL=BLANK",,$F$8)</f>
        <v>52.505762327955303</v>
      </c>
      <c r="F62" s="52">
        <f>_xll.TR($E$6,"TR.CapitalExpendituresCFStmt/TR.TotalRevenue*100","Period=LTM Curn=#1 Scale=6 NULL=BLANK",,$F$8)</f>
        <v>52.115783254511697</v>
      </c>
      <c r="G62" s="52">
        <f>_xll.TR($E$6,"TR.CapitalExpendituresCFStmt/TR.TotalRevenue*100","Period=FY-1 Curn=#1 Scale=6 NULL=BLANK",,$F$8)</f>
        <v>53.435077735124203</v>
      </c>
      <c r="H62" s="52">
        <f>_xll.TR($E$6,"TR.CapitalExpendituresCFStmt/TR.TotalRevenue*100","Period=FY0 Curn=#1 Scale=6 NULL=BLANK",,$F$8)</f>
        <v>48.130688070158499</v>
      </c>
      <c r="I62" s="52">
        <f>_xll.TR($E$6,"TR.CAPEXMean/TR.RevenueMeanEstimate*100","Period=FY1:FY3 Transpose=Y NULL=BLANK")</f>
        <v>45.925817444786901</v>
      </c>
      <c r="J62" s="52">
        <v>38.056843605726002</v>
      </c>
      <c r="K62" s="52">
        <v>31.421072530647301</v>
      </c>
      <c r="L62" s="52"/>
      <c r="P62" s="5"/>
    </row>
    <row r="63" spans="4:30">
      <c r="D63" s="13" t="s">
        <v>499</v>
      </c>
      <c r="P63" s="5"/>
      <c r="AC63" s="6" t="s">
        <v>112</v>
      </c>
      <c r="AD63" s="6" t="s">
        <v>113</v>
      </c>
    </row>
    <row r="64" spans="4:30">
      <c r="P64" s="5"/>
      <c r="AC64" s="6" t="s">
        <v>114</v>
      </c>
      <c r="AD64" s="6" t="s">
        <v>115</v>
      </c>
    </row>
    <row r="65" spans="16:30">
      <c r="P65" s="5"/>
      <c r="AC65" s="6" t="s">
        <v>116</v>
      </c>
      <c r="AD65" s="6" t="s">
        <v>117</v>
      </c>
    </row>
    <row r="66" spans="16:30">
      <c r="AC66" s="6" t="s">
        <v>118</v>
      </c>
      <c r="AD66" s="6" t="s">
        <v>119</v>
      </c>
    </row>
    <row r="67" spans="16:30">
      <c r="AC67" s="6" t="s">
        <v>120</v>
      </c>
      <c r="AD67" s="6" t="s">
        <v>121</v>
      </c>
    </row>
    <row r="68" spans="16:30">
      <c r="AC68" s="6" t="s">
        <v>122</v>
      </c>
      <c r="AD68" s="6" t="s">
        <v>123</v>
      </c>
    </row>
    <row r="69" spans="16:30">
      <c r="AC69" s="6" t="s">
        <v>124</v>
      </c>
      <c r="AD69" s="6" t="s">
        <v>125</v>
      </c>
    </row>
    <row r="70" spans="16:30">
      <c r="AC70" s="6" t="s">
        <v>126</v>
      </c>
      <c r="AD70" s="6" t="s">
        <v>127</v>
      </c>
    </row>
    <row r="71" spans="16:30">
      <c r="AC71" s="6" t="s">
        <v>128</v>
      </c>
      <c r="AD71" s="6" t="s">
        <v>129</v>
      </c>
    </row>
    <row r="72" spans="16:30">
      <c r="AC72" s="6" t="s">
        <v>130</v>
      </c>
      <c r="AD72" s="6" t="s">
        <v>131</v>
      </c>
    </row>
    <row r="73" spans="16:30">
      <c r="AC73" s="6" t="s">
        <v>132</v>
      </c>
      <c r="AD73" s="6" t="s">
        <v>133</v>
      </c>
    </row>
    <row r="74" spans="16:30">
      <c r="AC74" s="6" t="s">
        <v>134</v>
      </c>
      <c r="AD74" s="6" t="s">
        <v>135</v>
      </c>
    </row>
    <row r="75" spans="16:30">
      <c r="AC75" s="6" t="s">
        <v>136</v>
      </c>
      <c r="AD75" s="6" t="s">
        <v>137</v>
      </c>
    </row>
    <row r="76" spans="16:30">
      <c r="AC76" s="6" t="s">
        <v>138</v>
      </c>
      <c r="AD76" s="6" t="s">
        <v>139</v>
      </c>
    </row>
    <row r="77" spans="16:30">
      <c r="AC77" s="6" t="s">
        <v>140</v>
      </c>
      <c r="AD77" s="6" t="s">
        <v>141</v>
      </c>
    </row>
    <row r="78" spans="16:30">
      <c r="AC78" s="6" t="s">
        <v>142</v>
      </c>
      <c r="AD78" s="6" t="s">
        <v>143</v>
      </c>
    </row>
    <row r="79" spans="16:30">
      <c r="AC79" s="6" t="s">
        <v>144</v>
      </c>
      <c r="AD79" s="6" t="s">
        <v>145</v>
      </c>
    </row>
    <row r="80" spans="16:30">
      <c r="AC80" s="6" t="s">
        <v>146</v>
      </c>
      <c r="AD80" s="6" t="s">
        <v>147</v>
      </c>
    </row>
    <row r="81" spans="29:30">
      <c r="AC81" s="6" t="s">
        <v>148</v>
      </c>
      <c r="AD81" s="6" t="s">
        <v>149</v>
      </c>
    </row>
    <row r="82" spans="29:30">
      <c r="AC82" s="6" t="s">
        <v>150</v>
      </c>
      <c r="AD82" s="6" t="s">
        <v>151</v>
      </c>
    </row>
    <row r="83" spans="29:30">
      <c r="AC83" s="6" t="s">
        <v>152</v>
      </c>
      <c r="AD83" s="6" t="s">
        <v>153</v>
      </c>
    </row>
    <row r="84" spans="29:30">
      <c r="AC84" s="6" t="s">
        <v>154</v>
      </c>
      <c r="AD84" s="6" t="s">
        <v>155</v>
      </c>
    </row>
    <row r="85" spans="29:30">
      <c r="AC85" s="6" t="s">
        <v>156</v>
      </c>
      <c r="AD85" s="6" t="s">
        <v>157</v>
      </c>
    </row>
    <row r="86" spans="29:30">
      <c r="AC86" s="6" t="s">
        <v>158</v>
      </c>
      <c r="AD86" s="6" t="s">
        <v>159</v>
      </c>
    </row>
    <row r="87" spans="29:30">
      <c r="AC87" s="6" t="s">
        <v>160</v>
      </c>
      <c r="AD87" s="6" t="s">
        <v>161</v>
      </c>
    </row>
    <row r="88" spans="29:30">
      <c r="AC88" s="6" t="s">
        <v>162</v>
      </c>
      <c r="AD88" s="6" t="s">
        <v>163</v>
      </c>
    </row>
    <row r="89" spans="29:30">
      <c r="AC89" s="6" t="s">
        <v>164</v>
      </c>
      <c r="AD89" s="6" t="s">
        <v>165</v>
      </c>
    </row>
    <row r="90" spans="29:30">
      <c r="AC90" s="6" t="s">
        <v>166</v>
      </c>
      <c r="AD90" s="6" t="s">
        <v>167</v>
      </c>
    </row>
    <row r="91" spans="29:30">
      <c r="AC91" s="6" t="s">
        <v>168</v>
      </c>
      <c r="AD91" s="6" t="s">
        <v>169</v>
      </c>
    </row>
    <row r="92" spans="29:30">
      <c r="AC92" s="6" t="s">
        <v>170</v>
      </c>
      <c r="AD92" s="6" t="s">
        <v>171</v>
      </c>
    </row>
    <row r="93" spans="29:30">
      <c r="AC93" s="6" t="s">
        <v>172</v>
      </c>
      <c r="AD93" s="6" t="s">
        <v>173</v>
      </c>
    </row>
    <row r="94" spans="29:30">
      <c r="AC94" s="6" t="s">
        <v>174</v>
      </c>
      <c r="AD94" s="6" t="s">
        <v>175</v>
      </c>
    </row>
    <row r="95" spans="29:30">
      <c r="AC95" s="6" t="s">
        <v>176</v>
      </c>
      <c r="AD95" s="6" t="s">
        <v>177</v>
      </c>
    </row>
    <row r="96" spans="29:30">
      <c r="AC96" s="6" t="s">
        <v>178</v>
      </c>
      <c r="AD96" s="6" t="s">
        <v>179</v>
      </c>
    </row>
    <row r="97" spans="29:30">
      <c r="AC97" s="6" t="s">
        <v>180</v>
      </c>
      <c r="AD97" s="6" t="s">
        <v>181</v>
      </c>
    </row>
    <row r="98" spans="29:30">
      <c r="AC98" s="6" t="s">
        <v>182</v>
      </c>
      <c r="AD98" s="6" t="s">
        <v>183</v>
      </c>
    </row>
    <row r="99" spans="29:30">
      <c r="AC99" s="6" t="s">
        <v>184</v>
      </c>
      <c r="AD99" s="6" t="s">
        <v>185</v>
      </c>
    </row>
    <row r="100" spans="29:30">
      <c r="AC100" s="6" t="s">
        <v>186</v>
      </c>
      <c r="AD100" s="6" t="s">
        <v>187</v>
      </c>
    </row>
    <row r="101" spans="29:30">
      <c r="AC101" s="6" t="s">
        <v>188</v>
      </c>
      <c r="AD101" s="6" t="s">
        <v>189</v>
      </c>
    </row>
    <row r="102" spans="29:30">
      <c r="AC102" s="6" t="s">
        <v>190</v>
      </c>
      <c r="AD102" s="6" t="s">
        <v>191</v>
      </c>
    </row>
    <row r="103" spans="29:30">
      <c r="AC103" s="6" t="s">
        <v>192</v>
      </c>
      <c r="AD103" s="6" t="s">
        <v>193</v>
      </c>
    </row>
    <row r="104" spans="29:30">
      <c r="AC104" s="6" t="s">
        <v>194</v>
      </c>
      <c r="AD104" s="6" t="s">
        <v>195</v>
      </c>
    </row>
    <row r="105" spans="29:30">
      <c r="AC105" s="6" t="s">
        <v>196</v>
      </c>
      <c r="AD105" s="6" t="s">
        <v>197</v>
      </c>
    </row>
    <row r="106" spans="29:30">
      <c r="AC106" s="6" t="s">
        <v>198</v>
      </c>
      <c r="AD106" s="6" t="s">
        <v>199</v>
      </c>
    </row>
    <row r="107" spans="29:30">
      <c r="AC107" s="6" t="s">
        <v>200</v>
      </c>
      <c r="AD107" s="6" t="s">
        <v>201</v>
      </c>
    </row>
    <row r="108" spans="29:30">
      <c r="AC108" s="6" t="s">
        <v>202</v>
      </c>
      <c r="AD108" s="6" t="s">
        <v>203</v>
      </c>
    </row>
    <row r="109" spans="29:30">
      <c r="AC109" s="6" t="s">
        <v>204</v>
      </c>
      <c r="AD109" s="6" t="s">
        <v>205</v>
      </c>
    </row>
    <row r="110" spans="29:30">
      <c r="AC110" s="6" t="s">
        <v>206</v>
      </c>
      <c r="AD110" s="6" t="s">
        <v>207</v>
      </c>
    </row>
    <row r="111" spans="29:30">
      <c r="AC111" s="6" t="s">
        <v>208</v>
      </c>
      <c r="AD111" s="6" t="s">
        <v>209</v>
      </c>
    </row>
    <row r="112" spans="29:30">
      <c r="AC112" s="6" t="s">
        <v>210</v>
      </c>
      <c r="AD112" s="6" t="s">
        <v>211</v>
      </c>
    </row>
    <row r="113" spans="29:30">
      <c r="AC113" s="6" t="s">
        <v>212</v>
      </c>
      <c r="AD113" s="6" t="s">
        <v>213</v>
      </c>
    </row>
    <row r="114" spans="29:30">
      <c r="AC114" s="6" t="s">
        <v>214</v>
      </c>
      <c r="AD114" s="6" t="s">
        <v>215</v>
      </c>
    </row>
    <row r="115" spans="29:30">
      <c r="AC115" s="6" t="s">
        <v>216</v>
      </c>
      <c r="AD115" s="6" t="s">
        <v>217</v>
      </c>
    </row>
    <row r="116" spans="29:30">
      <c r="AC116" s="6" t="s">
        <v>218</v>
      </c>
      <c r="AD116" s="6" t="s">
        <v>219</v>
      </c>
    </row>
    <row r="117" spans="29:30">
      <c r="AC117" s="6" t="s">
        <v>220</v>
      </c>
      <c r="AD117" s="6" t="s">
        <v>221</v>
      </c>
    </row>
    <row r="118" spans="29:30">
      <c r="AC118" s="6" t="s">
        <v>222</v>
      </c>
      <c r="AD118" s="6" t="s">
        <v>223</v>
      </c>
    </row>
    <row r="119" spans="29:30">
      <c r="AC119" s="6" t="s">
        <v>224</v>
      </c>
      <c r="AD119" s="6" t="s">
        <v>225</v>
      </c>
    </row>
    <row r="120" spans="29:30">
      <c r="AC120" s="6" t="s">
        <v>226</v>
      </c>
      <c r="AD120" s="6" t="s">
        <v>227</v>
      </c>
    </row>
    <row r="121" spans="29:30">
      <c r="AC121" s="6" t="s">
        <v>228</v>
      </c>
      <c r="AD121" s="6" t="s">
        <v>229</v>
      </c>
    </row>
    <row r="122" spans="29:30">
      <c r="AC122" s="6" t="s">
        <v>230</v>
      </c>
      <c r="AD122" s="6" t="s">
        <v>231</v>
      </c>
    </row>
    <row r="123" spans="29:30">
      <c r="AC123" s="6" t="s">
        <v>232</v>
      </c>
      <c r="AD123" s="6" t="s">
        <v>233</v>
      </c>
    </row>
    <row r="124" spans="29:30">
      <c r="AC124" s="6" t="s">
        <v>234</v>
      </c>
      <c r="AD124" s="6" t="s">
        <v>235</v>
      </c>
    </row>
    <row r="125" spans="29:30">
      <c r="AC125" s="6" t="s">
        <v>236</v>
      </c>
      <c r="AD125" s="6" t="s">
        <v>237</v>
      </c>
    </row>
    <row r="126" spans="29:30">
      <c r="AC126" s="6" t="s">
        <v>238</v>
      </c>
      <c r="AD126" s="6" t="s">
        <v>239</v>
      </c>
    </row>
    <row r="127" spans="29:30">
      <c r="AC127" s="6" t="s">
        <v>240</v>
      </c>
      <c r="AD127" s="6" t="s">
        <v>241</v>
      </c>
    </row>
    <row r="128" spans="29:30">
      <c r="AC128" s="6" t="s">
        <v>242</v>
      </c>
      <c r="AD128" s="6" t="s">
        <v>243</v>
      </c>
    </row>
    <row r="129" spans="29:30">
      <c r="AC129" s="6" t="s">
        <v>244</v>
      </c>
      <c r="AD129" s="6" t="s">
        <v>245</v>
      </c>
    </row>
    <row r="130" spans="29:30">
      <c r="AC130" s="6" t="s">
        <v>246</v>
      </c>
      <c r="AD130" s="6" t="s">
        <v>247</v>
      </c>
    </row>
    <row r="131" spans="29:30">
      <c r="AC131" s="6" t="s">
        <v>248</v>
      </c>
      <c r="AD131" s="6" t="s">
        <v>249</v>
      </c>
    </row>
    <row r="132" spans="29:30">
      <c r="AC132" s="6" t="s">
        <v>250</v>
      </c>
      <c r="AD132" s="6" t="s">
        <v>251</v>
      </c>
    </row>
    <row r="133" spans="29:30">
      <c r="AC133" s="6" t="s">
        <v>252</v>
      </c>
      <c r="AD133" s="6" t="s">
        <v>253</v>
      </c>
    </row>
    <row r="134" spans="29:30">
      <c r="AC134" s="6" t="s">
        <v>254</v>
      </c>
      <c r="AD134" s="6" t="s">
        <v>255</v>
      </c>
    </row>
    <row r="135" spans="29:30">
      <c r="AC135" s="6" t="s">
        <v>256</v>
      </c>
      <c r="AD135" s="6" t="s">
        <v>257</v>
      </c>
    </row>
    <row r="136" spans="29:30">
      <c r="AC136" s="6" t="s">
        <v>258</v>
      </c>
      <c r="AD136" s="6" t="s">
        <v>259</v>
      </c>
    </row>
    <row r="137" spans="29:30">
      <c r="AC137" s="6" t="s">
        <v>260</v>
      </c>
      <c r="AD137" s="6" t="s">
        <v>261</v>
      </c>
    </row>
    <row r="138" spans="29:30">
      <c r="AC138" s="6" t="s">
        <v>262</v>
      </c>
      <c r="AD138" s="6" t="s">
        <v>263</v>
      </c>
    </row>
    <row r="139" spans="29:30">
      <c r="AC139" s="6" t="s">
        <v>264</v>
      </c>
      <c r="AD139" s="6" t="s">
        <v>265</v>
      </c>
    </row>
    <row r="140" spans="29:30">
      <c r="AC140" s="6" t="s">
        <v>266</v>
      </c>
      <c r="AD140" s="6" t="s">
        <v>267</v>
      </c>
    </row>
    <row r="141" spans="29:30">
      <c r="AC141" s="6" t="s">
        <v>268</v>
      </c>
      <c r="AD141" s="6" t="s">
        <v>269</v>
      </c>
    </row>
    <row r="142" spans="29:30">
      <c r="AC142" s="6" t="s">
        <v>270</v>
      </c>
      <c r="AD142" s="6" t="s">
        <v>271</v>
      </c>
    </row>
    <row r="143" spans="29:30">
      <c r="AC143" s="6" t="s">
        <v>272</v>
      </c>
      <c r="AD143" s="6" t="s">
        <v>273</v>
      </c>
    </row>
    <row r="144" spans="29:30">
      <c r="AC144" s="6" t="s">
        <v>274</v>
      </c>
      <c r="AD144" s="6" t="s">
        <v>275</v>
      </c>
    </row>
    <row r="145" spans="29:30">
      <c r="AC145" s="6" t="s">
        <v>276</v>
      </c>
      <c r="AD145" s="6" t="s">
        <v>277</v>
      </c>
    </row>
    <row r="146" spans="29:30">
      <c r="AC146" s="6" t="s">
        <v>278</v>
      </c>
      <c r="AD146" s="6" t="s">
        <v>279</v>
      </c>
    </row>
    <row r="147" spans="29:30">
      <c r="AC147" s="6" t="s">
        <v>280</v>
      </c>
      <c r="AD147" s="6" t="s">
        <v>281</v>
      </c>
    </row>
    <row r="148" spans="29:30">
      <c r="AC148" s="6" t="s">
        <v>282</v>
      </c>
      <c r="AD148" s="6" t="s">
        <v>283</v>
      </c>
    </row>
    <row r="149" spans="29:30">
      <c r="AC149" s="6" t="s">
        <v>284</v>
      </c>
      <c r="AD149" s="6" t="s">
        <v>285</v>
      </c>
    </row>
    <row r="150" spans="29:30">
      <c r="AC150" s="6" t="s">
        <v>286</v>
      </c>
      <c r="AD150" s="6" t="s">
        <v>287</v>
      </c>
    </row>
    <row r="151" spans="29:30">
      <c r="AC151" s="6" t="s">
        <v>288</v>
      </c>
      <c r="AD151" s="6" t="s">
        <v>289</v>
      </c>
    </row>
    <row r="152" spans="29:30">
      <c r="AC152" s="6" t="s">
        <v>290</v>
      </c>
      <c r="AD152" s="6" t="s">
        <v>291</v>
      </c>
    </row>
    <row r="153" spans="29:30">
      <c r="AC153" s="6" t="s">
        <v>292</v>
      </c>
      <c r="AD153" s="6" t="s">
        <v>293</v>
      </c>
    </row>
    <row r="154" spans="29:30">
      <c r="AC154" s="6" t="s">
        <v>294</v>
      </c>
      <c r="AD154" s="6" t="s">
        <v>295</v>
      </c>
    </row>
    <row r="155" spans="29:30">
      <c r="AC155" s="6" t="s">
        <v>296</v>
      </c>
      <c r="AD155" s="6" t="s">
        <v>297</v>
      </c>
    </row>
    <row r="156" spans="29:30">
      <c r="AC156" s="6" t="s">
        <v>298</v>
      </c>
      <c r="AD156" s="6" t="s">
        <v>299</v>
      </c>
    </row>
    <row r="157" spans="29:30">
      <c r="AC157" s="6" t="s">
        <v>300</v>
      </c>
      <c r="AD157" s="6" t="s">
        <v>301</v>
      </c>
    </row>
    <row r="158" spans="29:30">
      <c r="AC158" s="6" t="s">
        <v>302</v>
      </c>
      <c r="AD158" s="6" t="s">
        <v>303</v>
      </c>
    </row>
  </sheetData>
  <mergeCells count="1">
    <mergeCell ref="D14:H14"/>
  </mergeCells>
  <phoneticPr fontId="141" type="noConversion"/>
  <dataValidations count="1">
    <dataValidation type="list" allowBlank="1" showInputMessage="1" showErrorMessage="1" sqref="E8" xr:uid="{00000000-0002-0000-0100-000000000000}">
      <formula1>$AC$5:$AC$158</formula1>
    </dataValidation>
  </dataValidations>
  <pageMargins left="0.7" right="0.7" top="0.75" bottom="0.75" header="0.3" footer="0.3"/>
  <pageSetup orientation="portrait" r:id="rId1"/>
  <headerFooter>
    <oddFooter>&amp;L&amp;1#&amp;"Calibri"&amp;8&amp;K000000Sensitivity: Confidential</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C2449-16C0-44A6-AE6B-09F06DDB42B5}">
  <dimension ref="A1:CT155"/>
  <sheetViews>
    <sheetView showGridLines="0" topLeftCell="CB1" zoomScale="85" zoomScaleNormal="85" workbookViewId="0">
      <selection activeCell="CD4" sqref="CD4"/>
    </sheetView>
  </sheetViews>
  <sheetFormatPr defaultColWidth="9.125" defaultRowHeight="16.5"/>
  <cols>
    <col min="1" max="1" width="3.75" style="1" customWidth="1"/>
    <col min="2" max="2" width="7.25" style="1" customWidth="1"/>
    <col min="3" max="3" width="12.625" style="1" bestFit="1" customWidth="1"/>
    <col min="4" max="4" width="12.375" style="1" bestFit="1" customWidth="1"/>
    <col min="5" max="5" width="23.875" style="1" bestFit="1" customWidth="1"/>
    <col min="6" max="6" width="18.75" style="18" customWidth="1"/>
    <col min="7" max="7" width="23.125" style="1" customWidth="1"/>
    <col min="8" max="8" width="13" style="1" bestFit="1" customWidth="1"/>
    <col min="9" max="11" width="11.625" style="1" customWidth="1"/>
    <col min="12" max="12" width="12.375" style="1" customWidth="1"/>
    <col min="13" max="13" width="11.625" style="1" customWidth="1"/>
    <col min="14" max="14" width="15.375" style="1" customWidth="1"/>
    <col min="15" max="15" width="9.625" style="1" customWidth="1"/>
    <col min="16" max="16" width="6.875" style="1" customWidth="1"/>
    <col min="17" max="18" width="11.625" style="1" customWidth="1"/>
    <col min="19" max="26" width="15.25" style="1" customWidth="1"/>
    <col min="27" max="30" width="22.75" style="1" customWidth="1"/>
    <col min="31" max="39" width="15.25" style="1" customWidth="1"/>
    <col min="40" max="40" width="16.25" style="1" customWidth="1"/>
    <col min="41" max="46" width="22.125" style="1" customWidth="1"/>
    <col min="47" max="50" width="14.875" style="1" customWidth="1"/>
    <col min="51" max="54" width="14" style="1" customWidth="1"/>
    <col min="55" max="57" width="19.75" style="1" customWidth="1"/>
    <col min="58" max="60" width="25.625" style="1" customWidth="1"/>
    <col min="61" max="63" width="32" style="1" customWidth="1"/>
    <col min="64" max="79" width="11.125" style="1" customWidth="1"/>
    <col min="80" max="87" width="25.625" style="1" customWidth="1"/>
    <col min="88" max="89" width="9.125" style="1"/>
    <col min="90" max="90" width="51.25" style="1" bestFit="1" customWidth="1"/>
    <col min="91" max="91" width="9.125" style="1"/>
    <col min="92" max="92" width="11" style="1" bestFit="1" customWidth="1"/>
    <col min="93" max="93" width="9.875" style="1" bestFit="1" customWidth="1"/>
    <col min="94" max="94" width="11" style="1" bestFit="1" customWidth="1"/>
    <col min="95" max="96" width="9.125" style="1"/>
    <col min="97" max="97" width="27.625" style="1" customWidth="1"/>
    <col min="98" max="16384" width="9.125" style="1"/>
  </cols>
  <sheetData>
    <row r="1" spans="1:98" ht="33" customHeight="1" thickBot="1">
      <c r="A1" s="103"/>
      <c r="B1" s="103"/>
      <c r="C1" s="103" t="s">
        <v>501</v>
      </c>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row>
    <row r="2" spans="1:98">
      <c r="E2" s="102"/>
    </row>
    <row r="3" spans="1:98">
      <c r="CD3" s="144"/>
    </row>
    <row r="5" spans="1:98" ht="15.95" customHeight="1">
      <c r="D5" s="34" t="s">
        <v>371</v>
      </c>
      <c r="E5" s="104">
        <v>20</v>
      </c>
      <c r="G5" s="98" t="s">
        <v>495</v>
      </c>
      <c r="H5" s="94" t="str">
        <f>Valuation!F8</f>
        <v>TWD</v>
      </c>
      <c r="Q5" s="1" t="s">
        <v>327</v>
      </c>
      <c r="S5" s="26" t="s">
        <v>432</v>
      </c>
      <c r="T5" s="26"/>
      <c r="U5" s="26"/>
      <c r="V5" s="26"/>
      <c r="W5" s="26" t="s">
        <v>433</v>
      </c>
      <c r="X5" s="26"/>
      <c r="Y5" s="26"/>
      <c r="Z5" s="26"/>
      <c r="AA5" s="26" t="s">
        <v>434</v>
      </c>
      <c r="AB5" s="26"/>
      <c r="AC5" s="26"/>
      <c r="AD5" s="26"/>
      <c r="AE5" s="26" t="s">
        <v>435</v>
      </c>
      <c r="AF5" s="26"/>
      <c r="AG5" s="26"/>
      <c r="AH5" s="26"/>
      <c r="AI5" s="26" t="s">
        <v>436</v>
      </c>
      <c r="AJ5" s="26"/>
      <c r="AK5" s="26"/>
      <c r="AL5" s="26"/>
      <c r="AM5" s="26" t="s">
        <v>367</v>
      </c>
      <c r="AN5" s="26" t="s">
        <v>363</v>
      </c>
      <c r="AO5" s="26" t="s">
        <v>437</v>
      </c>
      <c r="AP5" s="26"/>
      <c r="AQ5" s="26"/>
      <c r="AR5" s="26"/>
      <c r="AS5" s="26"/>
      <c r="AT5" s="26" t="s">
        <v>457</v>
      </c>
      <c r="AU5" s="26" t="s">
        <v>317</v>
      </c>
      <c r="AV5" s="26"/>
      <c r="AW5" s="26"/>
      <c r="AX5" s="26"/>
      <c r="AY5" s="26" t="s">
        <v>319</v>
      </c>
      <c r="AZ5" s="26"/>
      <c r="BA5" s="26"/>
      <c r="BB5" s="26"/>
      <c r="BC5" s="26"/>
      <c r="BD5" s="26"/>
      <c r="BE5" s="26"/>
      <c r="BF5" s="26"/>
      <c r="BG5" s="26"/>
      <c r="BH5" s="26"/>
      <c r="BI5" s="26"/>
      <c r="BJ5" s="26"/>
      <c r="BK5" s="26"/>
      <c r="BL5" s="26" t="s">
        <v>320</v>
      </c>
      <c r="BM5" s="26"/>
      <c r="BN5" s="26"/>
      <c r="BO5" s="26"/>
      <c r="BP5" s="26" t="s">
        <v>438</v>
      </c>
      <c r="BQ5" s="26"/>
      <c r="BR5" s="26"/>
      <c r="BS5" s="26"/>
      <c r="BT5" s="26" t="s">
        <v>439</v>
      </c>
      <c r="BU5" s="26"/>
      <c r="BV5" s="26"/>
      <c r="BW5" s="26"/>
      <c r="BX5" s="26" t="s">
        <v>440</v>
      </c>
      <c r="BY5" s="26"/>
      <c r="BZ5" s="26"/>
      <c r="CA5" s="26"/>
      <c r="CD5" s="56" t="str">
        <f>_xll.TR($D$8,"TR.TRBCEconSectorCode","Null=BLANK")</f>
        <v>57</v>
      </c>
    </row>
    <row r="6" spans="1:98">
      <c r="F6" s="24" t="s">
        <v>464</v>
      </c>
      <c r="G6" s="6" t="s">
        <v>360</v>
      </c>
      <c r="H6" s="6" t="s">
        <v>325</v>
      </c>
      <c r="I6" s="6" t="s">
        <v>372</v>
      </c>
      <c r="J6" s="6" t="s">
        <v>463</v>
      </c>
      <c r="K6" s="6" t="s">
        <v>465</v>
      </c>
      <c r="L6" s="6" t="s">
        <v>466</v>
      </c>
      <c r="M6" s="6" t="s">
        <v>467</v>
      </c>
      <c r="N6" s="6" t="s">
        <v>468</v>
      </c>
      <c r="O6" s="6" t="s">
        <v>469</v>
      </c>
      <c r="P6" s="6"/>
      <c r="Q6" s="6"/>
      <c r="R6" s="6" t="s">
        <v>476</v>
      </c>
      <c r="S6" s="6" t="s">
        <v>477</v>
      </c>
      <c r="T6" s="6" t="s">
        <v>479</v>
      </c>
      <c r="U6" s="6" t="s">
        <v>474</v>
      </c>
      <c r="V6" s="6" t="s">
        <v>475</v>
      </c>
      <c r="W6" s="6" t="s">
        <v>478</v>
      </c>
      <c r="X6" s="6" t="s">
        <v>480</v>
      </c>
      <c r="Y6" s="6" t="s">
        <v>451</v>
      </c>
      <c r="Z6" s="6" t="s">
        <v>452</v>
      </c>
      <c r="AA6" s="6" t="s">
        <v>481</v>
      </c>
      <c r="AB6" s="6" t="s">
        <v>482</v>
      </c>
      <c r="AC6" s="6" t="s">
        <v>455</v>
      </c>
      <c r="AD6" s="6" t="s">
        <v>456</v>
      </c>
      <c r="AE6" s="6" t="s">
        <v>483</v>
      </c>
      <c r="AF6" s="6" t="s">
        <v>484</v>
      </c>
      <c r="AG6" s="6" t="s">
        <v>453</v>
      </c>
      <c r="AH6" s="6" t="s">
        <v>454</v>
      </c>
      <c r="AI6" s="6" t="s">
        <v>485</v>
      </c>
      <c r="AJ6" s="6" t="s">
        <v>486</v>
      </c>
      <c r="AK6" s="6" t="s">
        <v>487</v>
      </c>
      <c r="AL6" s="6" t="s">
        <v>488</v>
      </c>
      <c r="AM6" s="6" t="s">
        <v>382</v>
      </c>
      <c r="AN6" s="6" t="s">
        <v>383</v>
      </c>
      <c r="AO6" s="6" t="s">
        <v>489</v>
      </c>
      <c r="AP6" s="6" t="s">
        <v>405</v>
      </c>
      <c r="AQ6" s="6" t="s">
        <v>470</v>
      </c>
      <c r="AR6" s="6" t="s">
        <v>471</v>
      </c>
      <c r="AS6" s="6" t="s">
        <v>472</v>
      </c>
      <c r="AT6" s="6" t="s">
        <v>328</v>
      </c>
      <c r="AU6" s="6" t="s">
        <v>331</v>
      </c>
      <c r="AV6" s="6" t="s">
        <v>332</v>
      </c>
      <c r="AW6" s="6" t="s">
        <v>333</v>
      </c>
      <c r="AX6" s="6" t="s">
        <v>409</v>
      </c>
      <c r="AY6" s="6" t="s">
        <v>334</v>
      </c>
      <c r="AZ6" s="6" t="s">
        <v>335</v>
      </c>
      <c r="BA6" s="6" t="s">
        <v>336</v>
      </c>
      <c r="BB6" s="6" t="s">
        <v>411</v>
      </c>
      <c r="BC6" s="6" t="s">
        <v>490</v>
      </c>
      <c r="BD6" s="6" t="s">
        <v>329</v>
      </c>
      <c r="BE6" s="6" t="s">
        <v>330</v>
      </c>
      <c r="BF6" s="6" t="s">
        <v>337</v>
      </c>
      <c r="BG6" s="6" t="s">
        <v>337</v>
      </c>
      <c r="BH6" s="6" t="s">
        <v>337</v>
      </c>
      <c r="BI6" s="6" t="s">
        <v>491</v>
      </c>
      <c r="BJ6" s="6" t="s">
        <v>491</v>
      </c>
      <c r="BK6" s="6" t="s">
        <v>491</v>
      </c>
      <c r="BL6" s="6" t="s">
        <v>384</v>
      </c>
      <c r="BM6" s="6" t="s">
        <v>385</v>
      </c>
      <c r="BN6" s="6" t="s">
        <v>386</v>
      </c>
      <c r="BO6" s="6" t="s">
        <v>413</v>
      </c>
      <c r="BP6" s="6" t="s">
        <v>492</v>
      </c>
      <c r="BQ6" s="6" t="s">
        <v>393</v>
      </c>
      <c r="BR6" s="6" t="s">
        <v>394</v>
      </c>
      <c r="BS6" s="6" t="s">
        <v>415</v>
      </c>
      <c r="BT6" s="6" t="s">
        <v>417</v>
      </c>
      <c r="BU6" s="6" t="s">
        <v>418</v>
      </c>
      <c r="BV6" s="6" t="s">
        <v>419</v>
      </c>
      <c r="BW6" s="6" t="s">
        <v>420</v>
      </c>
      <c r="BX6" s="6" t="s">
        <v>493</v>
      </c>
      <c r="BY6" s="6" t="s">
        <v>425</v>
      </c>
      <c r="BZ6" s="6" t="s">
        <v>426</v>
      </c>
      <c r="CA6" s="6" t="s">
        <v>427</v>
      </c>
      <c r="CB6" s="1" t="s">
        <v>328</v>
      </c>
      <c r="CD6" s="56" t="str">
        <f>"SCREEN(U(IN(Peers("&amp;$D$8&amp;"))),,IN(TR.TRBCEconSectorCode,"&amp;CD5&amp;"),TOP(TR.CompanyMarketCap,"&amp;$E$5&amp;",nnumber),CURN=USD)"</f>
        <v>SCREEN(U(IN(Peers(2330.TW))),,IN(TR.TRBCEconSectorCode,57),TOP(TR.CompanyMarketCap,20,nnumber),CURN=USD)</v>
      </c>
    </row>
    <row r="7" spans="1:98" ht="15.95" customHeight="1">
      <c r="D7" s="34"/>
      <c r="E7" s="34" t="s">
        <v>322</v>
      </c>
      <c r="F7" s="49" t="s">
        <v>338</v>
      </c>
      <c r="G7" s="34" t="s">
        <v>323</v>
      </c>
      <c r="H7" s="34" t="s">
        <v>324</v>
      </c>
      <c r="I7" s="34" t="s">
        <v>326</v>
      </c>
      <c r="J7" s="34" t="s">
        <v>369</v>
      </c>
      <c r="K7" s="34" t="s">
        <v>364</v>
      </c>
      <c r="L7" s="34" t="s">
        <v>461</v>
      </c>
      <c r="M7" s="34" t="s">
        <v>365</v>
      </c>
      <c r="N7" s="34" t="s">
        <v>370</v>
      </c>
      <c r="O7" s="34" t="s">
        <v>447</v>
      </c>
      <c r="P7" s="34" t="s">
        <v>448</v>
      </c>
      <c r="Q7" s="34" t="s">
        <v>449</v>
      </c>
      <c r="R7" s="34" t="s">
        <v>450</v>
      </c>
      <c r="S7" s="34" t="s">
        <v>373</v>
      </c>
      <c r="T7" s="34" t="s">
        <v>374</v>
      </c>
      <c r="U7" s="34" t="s">
        <v>375</v>
      </c>
      <c r="V7" s="34" t="s">
        <v>398</v>
      </c>
      <c r="W7" s="34" t="s">
        <v>339</v>
      </c>
      <c r="X7" s="34" t="s">
        <v>340</v>
      </c>
      <c r="Y7" s="34" t="s">
        <v>346</v>
      </c>
      <c r="Z7" s="34" t="s">
        <v>399</v>
      </c>
      <c r="AA7" s="34" t="s">
        <v>395</v>
      </c>
      <c r="AB7" s="34" t="s">
        <v>396</v>
      </c>
      <c r="AC7" s="34" t="s">
        <v>397</v>
      </c>
      <c r="AD7" s="34" t="s">
        <v>400</v>
      </c>
      <c r="AE7" s="34" t="s">
        <v>376</v>
      </c>
      <c r="AF7" s="34" t="s">
        <v>377</v>
      </c>
      <c r="AG7" s="34" t="s">
        <v>378</v>
      </c>
      <c r="AH7" s="34" t="s">
        <v>401</v>
      </c>
      <c r="AI7" s="34" t="s">
        <v>379</v>
      </c>
      <c r="AJ7" s="34" t="s">
        <v>380</v>
      </c>
      <c r="AK7" s="34" t="s">
        <v>381</v>
      </c>
      <c r="AL7" s="34" t="s">
        <v>402</v>
      </c>
      <c r="AM7" s="34" t="s">
        <v>367</v>
      </c>
      <c r="AN7" s="34" t="s">
        <v>363</v>
      </c>
      <c r="AO7" s="34" t="s">
        <v>403</v>
      </c>
      <c r="AP7" s="34" t="s">
        <v>404</v>
      </c>
      <c r="AQ7" s="34" t="s">
        <v>406</v>
      </c>
      <c r="AR7" s="34" t="s">
        <v>407</v>
      </c>
      <c r="AS7" s="34" t="s">
        <v>408</v>
      </c>
      <c r="AT7" s="34" t="s">
        <v>458</v>
      </c>
      <c r="AU7" s="109" t="s">
        <v>341</v>
      </c>
      <c r="AV7" s="109" t="s">
        <v>342</v>
      </c>
      <c r="AW7" s="109" t="s">
        <v>345</v>
      </c>
      <c r="AX7" s="109" t="s">
        <v>410</v>
      </c>
      <c r="AY7" s="109" t="s">
        <v>343</v>
      </c>
      <c r="AZ7" s="109" t="s">
        <v>344</v>
      </c>
      <c r="BA7" s="109" t="s">
        <v>347</v>
      </c>
      <c r="BB7" s="109" t="s">
        <v>412</v>
      </c>
      <c r="BC7" s="109" t="s">
        <v>348</v>
      </c>
      <c r="BD7" s="109" t="s">
        <v>349</v>
      </c>
      <c r="BE7" s="109" t="s">
        <v>350</v>
      </c>
      <c r="BF7" s="109" t="s">
        <v>351</v>
      </c>
      <c r="BG7" s="109" t="s">
        <v>352</v>
      </c>
      <c r="BH7" s="109" t="s">
        <v>353</v>
      </c>
      <c r="BI7" s="109" t="s">
        <v>354</v>
      </c>
      <c r="BJ7" s="109" t="s">
        <v>355</v>
      </c>
      <c r="BK7" s="109" t="s">
        <v>356</v>
      </c>
      <c r="BL7" s="109" t="s">
        <v>387</v>
      </c>
      <c r="BM7" s="109" t="s">
        <v>388</v>
      </c>
      <c r="BN7" s="109" t="s">
        <v>389</v>
      </c>
      <c r="BO7" s="109" t="s">
        <v>414</v>
      </c>
      <c r="BP7" s="109" t="s">
        <v>390</v>
      </c>
      <c r="BQ7" s="109" t="s">
        <v>391</v>
      </c>
      <c r="BR7" s="109" t="s">
        <v>392</v>
      </c>
      <c r="BS7" s="109" t="s">
        <v>416</v>
      </c>
      <c r="BT7" s="109" t="s">
        <v>421</v>
      </c>
      <c r="BU7" s="109" t="s">
        <v>422</v>
      </c>
      <c r="BV7" s="109" t="s">
        <v>423</v>
      </c>
      <c r="BW7" s="109" t="s">
        <v>424</v>
      </c>
      <c r="BX7" s="109" t="s">
        <v>428</v>
      </c>
      <c r="BY7" s="109" t="s">
        <v>429</v>
      </c>
      <c r="BZ7" s="109" t="s">
        <v>430</v>
      </c>
      <c r="CA7" s="108" t="s">
        <v>431</v>
      </c>
      <c r="CD7" s="56"/>
    </row>
    <row r="8" spans="1:98">
      <c r="C8" s="104" t="s">
        <v>494</v>
      </c>
      <c r="D8" s="57" t="str">
        <f>Valuation!$E$6</f>
        <v>2330.TW</v>
      </c>
      <c r="E8" s="30" t="str">
        <f>_xll.TR($D$8,"TR.CommonName","Null=BLANK")</f>
        <v>Taiwan Semiconductor Manufacturing Co Ltd</v>
      </c>
      <c r="F8" s="58">
        <f>_xll.TR($D$8,F$6,"Null=BLANK")</f>
        <v>44926</v>
      </c>
      <c r="G8" s="59" t="str">
        <f>_xll.TR($D$8,G$6,"Null=BLANK")</f>
        <v>Semiconductors</v>
      </c>
      <c r="H8" s="60">
        <f>_xll.TR($D$8,H$6,"Curn=#1 Null=BLANK",,$H$5)</f>
        <v>544</v>
      </c>
      <c r="I8" s="61">
        <f>_xll.TR($D$8,I$6,"Curn=#1 Scale=6 Null=BLANK",,$H$5)</f>
        <v>14097372.2111183</v>
      </c>
      <c r="J8" s="61">
        <f>_xll.TR($D$8,J$6,"Curn=#1 Scale=6 Null=BLANK",,$H$5)</f>
        <v>947819.82900000003</v>
      </c>
      <c r="K8" s="61">
        <f>_xll.TR($D$8,K$6,"Curn=#1 Scale=6 Null=BLANK",,$H$5)</f>
        <v>1514776.7919999999</v>
      </c>
      <c r="L8" s="61">
        <f>_xll.TR($D$8,L$6,"Curn=#1 Scale=6 Null=BLANK",,$H$5)</f>
        <v>26845.396000000001</v>
      </c>
      <c r="M8" s="61">
        <f>_xll.TR($D$8,M$6,"Curn=#1 Scale=6 Null=BLANK",,$H$5)</f>
        <v>16717.743999999999</v>
      </c>
      <c r="N8" s="61" t="str">
        <f>_xll.TR($D$8,N$6,"Curn=#1 Scale=6 Null=BLANK",,$H$5)</f>
        <v/>
      </c>
      <c r="O8" s="61">
        <f>_xll.TR($D$8,O$6,"Curn=#1 Scale=6 Null=BLANK",,$H$5)</f>
        <v>8604.6419999999998</v>
      </c>
      <c r="P8" s="61"/>
      <c r="Q8" s="61">
        <f>IF(D8="","",SUM(I8,J8,M8:P8)-SUM(K8:L8))</f>
        <v>13528892.238118302</v>
      </c>
      <c r="R8" s="61">
        <f>IF(D8="","",_xll.TR($D8,R$6,"Curn=#2 scale=6",,$F8,$H$5))</f>
        <v>10930568.539000001</v>
      </c>
      <c r="S8" s="62">
        <f>_xll.TR($D8,S$6,"Curn=#2 Scale=6 Null=BLANK",,$R8,$H$5)</f>
        <v>4.8282214687718303</v>
      </c>
      <c r="T8" s="62">
        <f>_xll.TR(D8,T$6,"Curn=#2 Scale=6 Transpose=Y Null=BLANK",,$Q8,$H$5)</f>
        <v>6.4136360950729099</v>
      </c>
      <c r="U8" s="62">
        <v>5.2817707960409201</v>
      </c>
      <c r="V8" s="62">
        <v>4.4369693748674202</v>
      </c>
      <c r="W8" s="62">
        <f>_xll.TR($D8,W$6,"Curn=#2 Scale=6 Null=BLANK",,$R8,$H$5)</f>
        <v>7.00981290118958</v>
      </c>
      <c r="X8" s="62">
        <f>_xll.TR($D8,X$6,"Curn=#2 Scale=6 Transpose=Y Null=BLANK",,$Q8,$H$5)</f>
        <v>9.3040480916824109</v>
      </c>
      <c r="Y8" s="62">
        <v>7.5535647161307402</v>
      </c>
      <c r="Z8" s="62">
        <v>6.32485209786888</v>
      </c>
      <c r="AA8" s="62">
        <f>_xll.TR($D8,AA$6,"Curn=#2 Scale=6 Null=BLANK",,$R8,$H$5)</f>
        <v>23.271511302442601</v>
      </c>
      <c r="AB8" s="62">
        <f>_xll.TR($D8,AB$6,"Curn=#2 Scale=6 Period=FY1:FY3 Transpose=Y Null=BLANK",,$Q8,$H$5)</f>
        <v>27.875671034291098</v>
      </c>
      <c r="AC8" s="62">
        <v>16.574228260595699</v>
      </c>
      <c r="AD8" s="62">
        <v>11.456073194323199</v>
      </c>
      <c r="AE8" s="62">
        <f>_xll.TR($D8,AE$6,"Curn=#2 Scale=6 Null=BLANK",,$R8,$H$5)</f>
        <v>9.7414354926583098</v>
      </c>
      <c r="AF8" s="63" t="str">
        <f>IFERROR($Q8/_xll.TR($D$8,AF$6,"Curn=#1 Scale=6 Null=BLANK",,$H$5),"-")</f>
        <v>-</v>
      </c>
      <c r="AG8" s="62">
        <f>IFERROR($Q8/_xll.TR($D$8,AG$6,"Curn=#1 Scale=6 Null=BLANK",,$H$5),"-")</f>
        <v>12.381711425139519</v>
      </c>
      <c r="AH8" s="62">
        <f>IFERROR($Q8/_xll.TR($D$8,AH$6,"Curn=#1 Scale=6 Null=BLANK",,$H$5),"-")</f>
        <v>10.141456044215492</v>
      </c>
      <c r="AI8" s="63">
        <f>_xll.TR($D$8,AI$6,"Curn=#1 Null=BLANK",,$H$5)</f>
        <v>11.4402175299</v>
      </c>
      <c r="AJ8" s="63">
        <f>_xll.TR($D$8,AJ$6,"Null=BLANK")</f>
        <v>18.239860130119801</v>
      </c>
      <c r="AK8" s="63">
        <f>_xll.TR($D$8,AK$6,"Curn=#1 Null=BLANK",,$H$5)</f>
        <v>14.776914764908501</v>
      </c>
      <c r="AL8" s="63">
        <f>_xll.TR($D$8,AL$6,"Curn=#1 Null=BLANK",,$H$5)</f>
        <v>12.0693874408705</v>
      </c>
      <c r="AM8" s="63" t="str">
        <f>_xll.TR($D$8,AM$6,"Null=BLANK")</f>
        <v/>
      </c>
      <c r="AN8" s="64">
        <f>_xll.TR($D$8,AN$6,"Null=BLANK")</f>
        <v>2.11390467647059</v>
      </c>
      <c r="AO8" s="64" t="str">
        <f>_xll.TR($D$8,AO$6,"Null=BLANK")</f>
        <v/>
      </c>
      <c r="AP8" s="64" t="str">
        <f>_xll.TR($D$8,AP$6,"Null=BLANK")</f>
        <v/>
      </c>
      <c r="AQ8" s="64" t="str">
        <f>_xll.TR($D$8,AQ$6,"Null=BLANK")</f>
        <v/>
      </c>
      <c r="AR8" s="64" t="str">
        <f>_xll.TR($D$8,AR$6,"Curn=#1",,$H$5)</f>
        <v>NaN</v>
      </c>
      <c r="AS8" s="64" t="str">
        <f>_xll.TR($D$8,AS$6,"Curn=#1",,$H$5)</f>
        <v>NaN</v>
      </c>
      <c r="AT8" s="65">
        <f>IF($D8="","",IFERROR((AX8/AU8)^(1/3)-1,"-"))</f>
        <v>0.10435002617398803</v>
      </c>
      <c r="AU8" s="107">
        <f>_xll.TR($D$8,AU$6,"Curn=#1",,$H$5)</f>
        <v>2263891.2919999999</v>
      </c>
      <c r="AV8" s="107">
        <f>_xll.TR($D$8,AV$6,"Curn=#1",,$H$5)</f>
        <v>2109395.0510399998</v>
      </c>
      <c r="AW8" s="107">
        <f>_xll.TR($D$8,AW$6,"Curn=#1",,$H$5)</f>
        <v>2561431.1488600001</v>
      </c>
      <c r="AX8" s="107">
        <f>_xll.TR($D$8,AX$6,"Curn=#1",,$H$5)</f>
        <v>3049129.0552400001</v>
      </c>
      <c r="AY8" s="107">
        <f>_xll.TR($D$8,AY$6,"Curn=#1",,$H$5)</f>
        <v>1559323.8640000001</v>
      </c>
      <c r="AZ8" s="107">
        <f>_xll.TR($D$8,AZ$6,"Curn=#1",,$H$5)</f>
        <v>1454086.66258</v>
      </c>
      <c r="BA8" s="107">
        <f>_xll.TR($D$8,BA$6,"Curn=#1",,$H$5)</f>
        <v>1791060.6113199999</v>
      </c>
      <c r="BB8" s="107">
        <f>_xll.TR($D$8,BB$6,"Curn=#1",,$H$5)</f>
        <v>2139005.3125</v>
      </c>
      <c r="BC8" s="110">
        <f>_xll.TR($D$8,BC$6,"Null=BLANK")</f>
        <v>68.878036216200002</v>
      </c>
      <c r="BD8" s="110">
        <f>_xll.TR($D$8,BD$6,"Null=BLANK")</f>
        <v>68.933823555862105</v>
      </c>
      <c r="BE8" s="110">
        <f>_xll.TR($D$8,BE$6,"Null=BLANK")</f>
        <v>69.924214520352706</v>
      </c>
      <c r="BF8" s="107">
        <f>_xll.TR($D$8,BF$6,"Curn=#1 Null=BLANK",,$H$5,"CY"&amp;YEAR(Valuation!$E$10))</f>
        <v>1523076.22755</v>
      </c>
      <c r="BG8" s="107">
        <f>_xll.TR($D$8,BG$6,"Curn=#1 Null=BLANK",,$H$5,"CY"&amp;YEAR(Valuation!$E$10)+1)</f>
        <v>1438034.2133800001</v>
      </c>
      <c r="BH8" s="107">
        <f>_xll.TR($D$8,BH$6,"Curn=#1 Null=BLANK",,$H$5,"CY"&amp;YEAR(Valuation!$E$10)+2)</f>
        <v>1795394.4033299999</v>
      </c>
      <c r="BI8" s="110">
        <f>_xll.TR($D$8,BI$6,"Null=BLANK",,"CY"&amp;YEAR(Valuation!$E$10))</f>
        <v>68.037582674171105</v>
      </c>
      <c r="BJ8" s="110">
        <f>_xll.TR($D$8,BJ$6,"Null=BLANK",,"CY"&amp;YEAR(Valuation!$E$10)+1)</f>
        <v>67.751232999317196</v>
      </c>
      <c r="BK8" s="110">
        <f>_xll.TR($D$8,BK$6,"Null=BLANK",,"CY"&amp;YEAR(Valuation!$E$10)+2)</f>
        <v>70.028599574741506</v>
      </c>
      <c r="BL8" s="107">
        <f>_xll.TR($D$8,BL$6,"Curn=#1 Null=BLANK",,$H$5)</f>
        <v>1122069.591</v>
      </c>
      <c r="BM8" s="107">
        <f>_xll.TR($D$8,BM$6,"Curn=#1 Null=BLANK",,$H$5)</f>
        <v>886886.19955999998</v>
      </c>
      <c r="BN8" s="107">
        <f>_xll.TR($D$8,BN$6,"Curn=#1 Null=BLANK",,$H$5)</f>
        <v>1092651.2316099999</v>
      </c>
      <c r="BO8" s="107">
        <f>_xll.TR($D$8,BO$6,"Curn=#1 Null=BLANK",,$H$5)</f>
        <v>1334018.72267</v>
      </c>
      <c r="BP8" s="111">
        <f>_xll.TR($D$8,BP$6,"Curn=#1 Null=BLANK",,$H$5)</f>
        <v>39.203800000000001</v>
      </c>
      <c r="BQ8" s="111">
        <f>_xll.TR($D$8,BQ$6,"Curn=#1 Null=BLANK",,$H$5)</f>
        <v>30.153739999999999</v>
      </c>
      <c r="BR8" s="111">
        <f>_xll.TR($D$8,BR$6,"Curn=#1 Null=BLANK",,$H$5)</f>
        <v>36.81418</v>
      </c>
      <c r="BS8" s="111">
        <f>_xll.TR($D$8,BS$6,"Curn=#1 Null=BLANK",,$H$5)</f>
        <v>45.072710000000001</v>
      </c>
      <c r="BT8" s="107">
        <f>_xll.TR($D$8,BT$6,"Curn=#1 Null=BLANK",,$H$5)</f>
        <v>1089626.456</v>
      </c>
      <c r="BU8" s="107">
        <f>_xll.TR($D$8,BU$6,"Curn=#1 Null=BLANK",,$H$5)</f>
        <v>968756.92032999999</v>
      </c>
      <c r="BV8" s="107">
        <f>_xll.TR($D$8,BV$6,"Curn=#1 Null=BLANK",,$H$5)</f>
        <v>974799.84638999996</v>
      </c>
      <c r="BW8" s="107">
        <f>_xll.TR($D$8,BW$6,"Curn=#1 Null=BLANK",,$H$5)</f>
        <v>958069.05200000003</v>
      </c>
      <c r="BX8" s="107">
        <f>_xll.TR($D$8,BX$6,"Curn=#1 Null=BLANK",,$H$5)</f>
        <v>-695722.14899999998</v>
      </c>
      <c r="BY8" s="107">
        <f>_xll.TR($D$8,BY$6,"Curn=#1",,$H$5)</f>
        <v>-613523.43850000005</v>
      </c>
      <c r="BZ8" s="107">
        <f>_xll.TR($D$8,BZ$6,"Curn=#1",,$H$5)</f>
        <v>-978380.85109000001</v>
      </c>
      <c r="CA8" s="107">
        <f>_xll.TR($D$8,CA$6,"Curn=#1",,$H$5)</f>
        <v>-1531847.1228</v>
      </c>
      <c r="CD8" s="93"/>
      <c r="CM8" s="23"/>
      <c r="CN8" s="23"/>
      <c r="CO8" s="23"/>
      <c r="CP8" s="23"/>
      <c r="CQ8" s="23"/>
      <c r="CR8" s="23"/>
      <c r="CS8" s="23"/>
      <c r="CT8" s="23"/>
    </row>
    <row r="9" spans="1:98">
      <c r="C9" s="94" t="s">
        <v>368</v>
      </c>
      <c r="D9" s="83" t="s">
        <v>368</v>
      </c>
      <c r="E9" s="83"/>
      <c r="F9" s="84"/>
      <c r="G9" s="83"/>
      <c r="H9" s="85"/>
      <c r="I9" s="42">
        <f t="array" ref="I9">IFERROR(MEDIAN(IF(ISNUMBER(I10:I59),I10:I59,"")),"-")</f>
        <v>2290323.71989349</v>
      </c>
      <c r="J9" s="42">
        <f t="array" ref="J9">IFERROR(MEDIAN(IF(ISNUMBER(J10:J59),J10:J59,"")),"-")</f>
        <v>181928.28047200001</v>
      </c>
      <c r="K9" s="42">
        <f t="array" ref="K9">IFERROR(MEDIAN(IF(ISNUMBER(K10:K59),K10:K59,"")),"-")</f>
        <v>210151.26860270149</v>
      </c>
      <c r="L9" s="42">
        <f t="array" ref="L9">IFERROR(MEDIAN(IF(ISNUMBER(L10:L59),L10:L59,"")),"-")</f>
        <v>35273.244256202299</v>
      </c>
      <c r="M9" s="42">
        <f t="array" ref="M9">IFERROR(MEDIAN(IF(ISNUMBER(M10:M59),M10:M59,"")),"-")</f>
        <v>1400.8050000000001</v>
      </c>
      <c r="N9" s="86">
        <f t="array" ref="N9">IFERROR(MEDIAN(IF(ISNUMBER(N10:N59),N10:N59,"")),"-")</f>
        <v>0</v>
      </c>
      <c r="O9" s="42">
        <f t="array" ref="O9">IFERROR(MEDIAN(IF(ISNUMBER(O10:O59),O10:O59,"")),"-")</f>
        <v>1982.0456879999999</v>
      </c>
      <c r="P9" s="42"/>
      <c r="Q9" s="42">
        <f t="array" ref="Q9">IFERROR(MEDIAN(IF(ISNUMBER(Q10:Q59),Q10:Q59,"")),"-")</f>
        <v>2612256.9516596589</v>
      </c>
      <c r="R9" s="42">
        <f t="array" ref="R9">IFERROR(MEDIAN(IF(ISNUMBER(R10:R59),R10:R59,"")),"-")</f>
        <v>2326225.7545115398</v>
      </c>
      <c r="S9" s="87">
        <f t="array" ref="S9">IFERROR(MEDIAN(IF(ISNUMBER(S10:S59),S10:S59,"")),"-")</f>
        <v>3.1513235966006801</v>
      </c>
      <c r="T9" s="87">
        <f t="array" ref="T9">IFERROR(MEDIAN(IF(ISNUMBER(T10:T59),T10:T59,"")),"-")</f>
        <v>4.3747218319136554</v>
      </c>
      <c r="U9" s="87">
        <f t="array" ref="U9">IFERROR(MEDIAN(IF(ISNUMBER(U10:U59),U10:U59,"")),"-")</f>
        <v>4.1790329853840698</v>
      </c>
      <c r="V9" s="87">
        <f t="array" ref="V9">IFERROR(MEDIAN(IF(ISNUMBER(V10:V59),V10:V59,"")),"-")</f>
        <v>3.753050011762765</v>
      </c>
      <c r="W9" s="87">
        <f t="array" ref="W9">IFERROR(MEDIAN(IF(ISNUMBER(W10:W59),W10:W59,"")),"-")</f>
        <v>9.5395722762857407</v>
      </c>
      <c r="X9" s="87">
        <f t="array" ref="X9">IFERROR(MEDIAN(IF(ISNUMBER(X10:X59),X10:X59,"")),"-")</f>
        <v>15.272325965203899</v>
      </c>
      <c r="Y9" s="87">
        <f t="array" ref="Y9">IFERROR(MEDIAN(IF(ISNUMBER(Y10:Y59),Y10:Y59,"")),"-")</f>
        <v>11.922193036809251</v>
      </c>
      <c r="Z9" s="87">
        <f t="array" ref="Z9">IFERROR(MEDIAN(IF(ISNUMBER(Z10:Z59),Z10:Z59,"")),"-")</f>
        <v>10.169465055304505</v>
      </c>
      <c r="AA9" s="87">
        <f t="array" ref="AA9">IFERROR(MEDIAN(IF(ISNUMBER(AA10:AA59),AA10:AA59,"")),"-")</f>
        <v>11.200385462391299</v>
      </c>
      <c r="AB9" s="87">
        <f t="array" ref="AB9">IFERROR(MEDIAN(IF(ISNUMBER(AB10:AB59),AB10:AB59,"")),"-")</f>
        <v>18.032483976640698</v>
      </c>
      <c r="AC9" s="87">
        <f t="array" ref="AC9">IFERROR(MEDIAN(IF(ISNUMBER(AC10:AC59),AC10:AC59,"")),"-")</f>
        <v>16.212619604388049</v>
      </c>
      <c r="AD9" s="87">
        <f t="array" ref="AD9">IFERROR(MEDIAN(IF(ISNUMBER(AD10:AD59),AD10:AD59,"")),"-")</f>
        <v>14.83200617521015</v>
      </c>
      <c r="AE9" s="87">
        <f t="array" ref="AE9">IFERROR(MEDIAN(IF(ISNUMBER(AE10:AE59),AE10:AE59,"")),"-")</f>
        <v>13.523964039058701</v>
      </c>
      <c r="AF9" s="87">
        <f t="array" ref="AF9">IFERROR(MEDIAN(IF(ISNUMBER(AF10:AF59),AF10:AF59,"")),"-")</f>
        <v>19.295177920301501</v>
      </c>
      <c r="AG9" s="87">
        <f t="array" ref="AG9">IFERROR(MEDIAN(IF(ISNUMBER(AG10:AG59),AG10:AG59,"")),"-")</f>
        <v>16.326197967971499</v>
      </c>
      <c r="AH9" s="87">
        <f t="array" ref="AH9">IFERROR(MEDIAN(IF(ISNUMBER(AH10:AH59),AH10:AH59,"")),"-")</f>
        <v>14.478065315007051</v>
      </c>
      <c r="AI9" s="88">
        <f t="array" ref="AI9">IFERROR(MEDIAN(IF(ISNUMBER(AI10:AI59),AI10:AI59,"")),"-")</f>
        <v>18.077459226800002</v>
      </c>
      <c r="AJ9" s="88">
        <f t="array" ref="AJ9">IFERROR(MEDIAN(IF(ISNUMBER(AJ10:AJ59),AJ10:AJ59,"")),"-")</f>
        <v>23.166298464944603</v>
      </c>
      <c r="AK9" s="88">
        <f t="array" ref="AK9">IFERROR(MEDIAN(IF(ISNUMBER(AK10:AK59),AK10:AK59,"")),"-")</f>
        <v>18.722911038451851</v>
      </c>
      <c r="AL9" s="88">
        <f t="array" ref="AL9">IFERROR(MEDIAN(IF(ISNUMBER(AL10:AL59),AL10:AL59,"")),"-")</f>
        <v>16.473707342837152</v>
      </c>
      <c r="AM9" s="88">
        <f t="array" ref="AM9">IFERROR(MEDIAN(IF(ISNUMBER(AM10:AM59),AM10:AM59,"")),"-")</f>
        <v>1.6762722256284499</v>
      </c>
      <c r="AN9" s="89">
        <f t="array" ref="AN9">IFERROR(MEDIAN(IF(ISNUMBER(AN10:AN59),AN10:AN59,"")),"-")</f>
        <v>1.2610738043444001</v>
      </c>
      <c r="AO9" s="89">
        <f t="array" ref="AO9">IFERROR(MEDIAN(IF(ISNUMBER(AO10:AO59),AO10:AO59,"")),"-")</f>
        <v>0.85214483368292204</v>
      </c>
      <c r="AP9" s="89">
        <f t="array" ref="AP9">IFERROR(MEDIAN(IF(ISNUMBER(AP10:AP59),AP10:AP59,"")),"-")</f>
        <v>1.4768610239312649</v>
      </c>
      <c r="AQ9" s="89">
        <f t="array" ref="AQ9">IFERROR(MEDIAN(IF(ISNUMBER(AQ10:AQ59),AQ10:AQ59,"")),"-")</f>
        <v>0.86332359310108953</v>
      </c>
      <c r="AR9" s="89">
        <f t="array" ref="AR9">IFERROR(MEDIAN(IF(ISNUMBER(AR10:AR59),AR10:AR59,"")),"-")</f>
        <v>0.74934465151479601</v>
      </c>
      <c r="AS9" s="89">
        <f t="array" ref="AS9">IFERROR(MEDIAN(IF(ISNUMBER(AS10:AS59),AS10:AS59,"")),"-")</f>
        <v>0.77978635522777395</v>
      </c>
      <c r="AT9" s="90">
        <f t="array" ref="AT9">IFERROR(MEDIAN(IF(ISNUMBER(AT10:AT59),AT10:AT59,"")),"-")</f>
        <v>5.9884417035093618E-2</v>
      </c>
      <c r="AU9" s="42">
        <f t="array" ref="AU9">IFERROR(MEDIAN(IF(ISNUMBER(AU10:AU59),AU10:AU59,"")),"-")</f>
        <v>707259.59686900699</v>
      </c>
      <c r="AV9" s="42">
        <f t="array" ref="AV9">IFERROR(MEDIAN(IF(ISNUMBER(AV10:AV59),AV10:AV59,"")),"-")</f>
        <v>717362.70716821495</v>
      </c>
      <c r="AW9" s="42">
        <f t="array" ref="AW9">IFERROR(MEDIAN(IF(ISNUMBER(AW10:AW59),AW10:AW59,"")),"-")</f>
        <v>931811.72014641645</v>
      </c>
      <c r="AX9" s="42">
        <f t="array" ref="AX9">IFERROR(MEDIAN(IF(ISNUMBER(AX10:AX59),AX10:AX59,"")),"-")</f>
        <v>1047904.82590823</v>
      </c>
      <c r="AY9" s="42">
        <f t="array" ref="AY9">IFERROR(MEDIAN(IF(ISNUMBER(AY10:AY59),AY10:AY59,"")),"-")</f>
        <v>175841.755156</v>
      </c>
      <c r="AZ9" s="42">
        <f t="array" ref="AZ9">IFERROR(MEDIAN(IF(ISNUMBER(AZ10:AZ59),AZ10:AZ59,"")),"-")</f>
        <v>162765.05275769503</v>
      </c>
      <c r="BA9" s="42">
        <f t="array" ref="BA9">IFERROR(MEDIAN(IF(ISNUMBER(BA10:BA59),BA10:BA59,"")),"-")</f>
        <v>257921.69751725</v>
      </c>
      <c r="BB9" s="42">
        <f t="array" ref="BB9">IFERROR(MEDIAN(IF(ISNUMBER(BB10:BB59),BB10:BB59,"")),"-")</f>
        <v>296522.43399699999</v>
      </c>
      <c r="BC9" s="91">
        <f t="array" ref="BC9">IFERROR(MEDIAN(IF(ISNUMBER(BC10:BC59),BC10:BC59,"")),"-")</f>
        <v>31.9271015532</v>
      </c>
      <c r="BD9" s="91">
        <f t="array" ref="BD9">IFERROR(MEDIAN(IF(ISNUMBER(BD10:BD59),BD10:BD59,"")),"-")</f>
        <v>31.026810000702149</v>
      </c>
      <c r="BE9" s="91">
        <f t="array" ref="BE9">IFERROR(MEDIAN(IF(ISNUMBER(BE10:BE59),BE10:BE59,"")),"-")</f>
        <v>36.105130925132798</v>
      </c>
      <c r="BF9" s="42">
        <f t="array" ref="BF9">IFERROR(MEDIAN(IF(ISNUMBER(BF10:BF59),BF10:BF59,"")),"-")</f>
        <v>205709.65942210701</v>
      </c>
      <c r="BG9" s="42">
        <f t="array" ref="BG9">IFERROR(MEDIAN(IF(ISNUMBER(BG10:BG59),BG10:BG59,"")),"-")</f>
        <v>141665.277248678</v>
      </c>
      <c r="BH9" s="42">
        <f t="array" ref="BH9">IFERROR(MEDIAN(IF(ISNUMBER(BH10:BH59),BH10:BH59,"")),"-")</f>
        <v>249357.69068890001</v>
      </c>
      <c r="BI9" s="91">
        <f t="array" ref="BI9">IFERROR(MEDIAN(IF(ISNUMBER(BI10:BI59),BI10:BI59,"")),"-")</f>
        <v>32.159045681144697</v>
      </c>
      <c r="BJ9" s="91">
        <f t="array" ref="BJ9">IFERROR(MEDIAN(IF(ISNUMBER(BJ10:BJ59),BJ10:BJ59,"")),"-")</f>
        <v>29.425093759020601</v>
      </c>
      <c r="BK9" s="91">
        <f t="array" ref="BK9">IFERROR(MEDIAN(IF(ISNUMBER(BK10:BK59),BK10:BK59,"")),"-")</f>
        <v>37.014389364545153</v>
      </c>
      <c r="BL9" s="42">
        <f t="array" ref="BL9">IFERROR(MEDIAN(IF(ISNUMBER(BL10:BL59),BL10:BL59,"")),"-")</f>
        <v>127733.4019885</v>
      </c>
      <c r="BM9" s="42">
        <f t="array" ref="BM9">IFERROR(MEDIAN(IF(ISNUMBER(BM10:BM59),BM10:BM59,"")),"-")</f>
        <v>99597.044020995003</v>
      </c>
      <c r="BN9" s="42">
        <f t="array" ref="BN9">IFERROR(MEDIAN(IF(ISNUMBER(BN10:BN59),BN10:BN59,"")),"-")</f>
        <v>185553.3780738205</v>
      </c>
      <c r="BO9" s="42">
        <f t="array" ref="BO9">IFERROR(MEDIAN(IF(ISNUMBER(BO10:BO59),BO10:BO59,"")),"-")</f>
        <v>241881.96540247</v>
      </c>
      <c r="BP9" s="92"/>
      <c r="BQ9" s="92"/>
      <c r="BR9" s="92"/>
      <c r="BS9" s="92"/>
      <c r="BT9" s="42">
        <f t="array" ref="BT9">IFERROR(MEDIAN(IF(ISNUMBER(BT10:BT59),BT10:BT59,"")),"-")</f>
        <v>63663.073499999999</v>
      </c>
      <c r="BU9" s="42">
        <f t="array" ref="BU9">IFERROR(MEDIAN(IF(ISNUMBER(BU10:BU59),BU10:BU59,"")),"-")</f>
        <v>48166.87692558</v>
      </c>
      <c r="BV9" s="42">
        <f t="array" ref="BV9">IFERROR(MEDIAN(IF(ISNUMBER(BV10:BV59),BV10:BV59,"")),"-")</f>
        <v>50495.858230309896</v>
      </c>
      <c r="BW9" s="42">
        <f t="array" ref="BW9">IFERROR(MEDIAN(IF(ISNUMBER(BW10:BW59),BW10:BW59,"")),"-")</f>
        <v>55555.189729683305</v>
      </c>
      <c r="BX9" s="42">
        <f t="array" ref="BX9">IFERROR(MEDIAN(IF(ISNUMBER(BX10:BX59),BX10:BX59,"")),"-")</f>
        <v>-39184.885641999994</v>
      </c>
      <c r="BY9" s="42">
        <f t="array" ref="BY9">IFERROR(MEDIAN(IF(ISNUMBER(BY10:BY59),BY10:BY59,"")),"-")</f>
        <v>-27092.24538525</v>
      </c>
      <c r="BZ9" s="42">
        <f t="array" ref="BZ9">IFERROR(MEDIAN(IF(ISNUMBER(BZ10:BZ59),BZ10:BZ59,"")),"-")</f>
        <v>-64851.518742599997</v>
      </c>
      <c r="CA9" s="42">
        <f t="array" ref="CA9">IFERROR(MEDIAN(IF(ISNUMBER(CA10:CA59),CA10:CA59,"")),"-")</f>
        <v>-108369.75221278</v>
      </c>
      <c r="CD9" s="56" t="s">
        <v>462</v>
      </c>
      <c r="CK9" s="22"/>
      <c r="CM9" s="23"/>
      <c r="CN9" s="23"/>
      <c r="CO9" s="23"/>
      <c r="CP9" s="23"/>
      <c r="CQ9" s="23"/>
      <c r="CR9" s="23"/>
      <c r="CS9" s="23"/>
      <c r="CT9" s="23"/>
    </row>
    <row r="10" spans="1:98">
      <c r="B10" s="23"/>
      <c r="C10" s="112"/>
      <c r="D10" s="37" t="str">
        <f>IF($C$8="User Input",C10,IF(CD10="","",CD10))</f>
        <v>NVDA.OQ</v>
      </c>
      <c r="E10" s="31" t="str">
        <f>_xll.TR($D$10:$D$59,"TR.CommonName","Null=BLANK")</f>
        <v>NVIDIA Corp</v>
      </c>
      <c r="F10" s="73">
        <f>_xll.TR($D$10:$D$59,F$6,"Null=BLANK")</f>
        <v>44955</v>
      </c>
      <c r="G10" s="81" t="str">
        <f>_xll.TR($D$10:$D$59,G$6,"Null=BLANK")</f>
        <v>Semiconductors</v>
      </c>
      <c r="H10" s="82">
        <f>_xll.TR($D$10:$D$59,H$6,"Curn=#1 Null=BLANK",,$H$5)</f>
        <v>15005.06748</v>
      </c>
      <c r="I10" s="74">
        <f>_xll.TR($D$10:$D$59,I$6,"Curn=#1 Scale=6 Null=BLANK",,$H$5)</f>
        <v>37062516.6756</v>
      </c>
      <c r="J10" s="74">
        <f>_xll.TR($D$10:$D$59,J$6,"Curn=#1 Scale=6 Null=BLANK",,$H$5)</f>
        <v>304096.46999999997</v>
      </c>
      <c r="K10" s="74">
        <f>_xll.TR($D$10:$D$59,K$6,"Curn=#1 Scale=6 Null=BLANK",,$H$5)</f>
        <v>502064.68199999997</v>
      </c>
      <c r="L10" s="74">
        <f>_xll.TR($D$10:$D$59,L$6,"Curn=#1 Scale=6 Null=BLANK",,$H$5)</f>
        <v>25067.200000000001</v>
      </c>
      <c r="M10" s="74" t="str">
        <f>_xll.TR($D$10:$D$59,M$6,"Curn=#1 Scale=6 Null=BLANK",,$H$5)</f>
        <v/>
      </c>
      <c r="N10" s="74">
        <f>_xll.TR($D$10:$D$59,N$6,"Curn=#1 Scale=6 Null=BLANK",,$H$5)</f>
        <v>0</v>
      </c>
      <c r="O10" s="74" t="str">
        <f>_xll.TR($D$10:$D$59,O$6,"Curn=#1 Scale=6 Null=BLANK",,$H$5)</f>
        <v/>
      </c>
      <c r="P10" s="74"/>
      <c r="Q10" s="74">
        <f t="shared" ref="Q10:Q59" si="0">IF(D10="","",SUM(I10,J10,M10:P10)-SUM(K10:L10))</f>
        <v>36839481.263599999</v>
      </c>
      <c r="R10" s="74">
        <f>IF(D10="","",_xll.TR($D10,R$6,"Curn=#2 scale=6",,$F10,$H$5))</f>
        <v>15095171.281300001</v>
      </c>
      <c r="S10" s="75">
        <f>_xll.TR($D10:$D59,S$6,"Curn=#2 Scale=6 Null=BLANK",,$R10,$H$5)</f>
        <v>18.520015570549401</v>
      </c>
      <c r="T10" s="75">
        <f>_xll.TR(D10,T$6,"Curn=#2 Scale=6 Transpose=Y Null=BLANK",,$Q10,$H$5)</f>
        <v>20.967745651997799</v>
      </c>
      <c r="U10" s="75">
        <v>13.9527657328701</v>
      </c>
      <c r="V10" s="75">
        <v>11.8293496385736</v>
      </c>
      <c r="W10" s="75">
        <f>_xll.TR($D10:$D59,W$6,"Curn=#2 Scale=6 Null=BLANK",,$R10,$H$5)</f>
        <v>63.460226117886201</v>
      </c>
      <c r="X10" s="75">
        <f>_xll.TR($D10,X$6,"Curn=#2 Scale=6 Transpose=Y Null=BLANK",,$Q10,$H$5)</f>
        <v>35.490222008662101</v>
      </c>
      <c r="Y10" s="75">
        <v>23.301837805782601</v>
      </c>
      <c r="Z10" s="75">
        <v>21.2709849931082</v>
      </c>
      <c r="AA10" s="75">
        <f>_xll.TR($D10:$D59,AA$6,"Curn=#2 Scale=6 Null=BLANK",,$R10,$H$5)</f>
        <v>82.722122868024499</v>
      </c>
      <c r="AB10" s="75">
        <f>_xll.TR($D10,AB$6,"Curn=#2 Scale=6 Period=FY1:FY3 Transpose=Y Null=BLANK",,$Q10,$H$5)</f>
        <v>37.174882434451298</v>
      </c>
      <c r="AC10" s="75">
        <v>24.410678901754402</v>
      </c>
      <c r="AD10" s="75">
        <v>22.529600902289801</v>
      </c>
      <c r="AE10" s="75">
        <f>_xll.TR($D10:$D59,AE$6,"Curn=#2 Scale=6 Null=BLANK",,$R10,$H$5)</f>
        <v>78.944200379266803</v>
      </c>
      <c r="AF10" s="75">
        <f>_xll.TR($D10,AF$6,"Curn=#2 Scale=6 Transpose=Y Null=BLANK",,$Q10,$H$5)</f>
        <v>36.805545202478598</v>
      </c>
      <c r="AG10" s="75">
        <v>23.2194076277903</v>
      </c>
      <c r="AH10" s="75">
        <v>20.289594118205201</v>
      </c>
      <c r="AI10" s="76">
        <f>_xll.TR($D$10:$D$59,AI$6,"Curn=#1 Null=BLANK",,$H$5)</f>
        <v>116.8843840397</v>
      </c>
      <c r="AJ10" s="76">
        <f>_xll.TR($D$10:$D$59,AJ$6,"Null=BLANK")</f>
        <v>43.3810649242319</v>
      </c>
      <c r="AK10" s="76">
        <f>_xll.TR($D$10:$D$59,AK$6,"Null=BLANK")</f>
        <v>27.440515065139401</v>
      </c>
      <c r="AL10" s="76">
        <f>_xll.TR($D$10:$D$59,AL$6,"Null=BLANK")</f>
        <v>23.4177531845062</v>
      </c>
      <c r="AM10" s="76">
        <f>_xll.TR($D$10:$D$59,AM$6,"Null=BLANK")</f>
        <v>0.36167945182590699</v>
      </c>
      <c r="AN10" s="77">
        <f>_xll.TR($D$10:$D$59,AN$6,"Null=BLANK")</f>
        <v>3.4936023407136002E-2</v>
      </c>
      <c r="AO10" s="77" t="str">
        <f>_xll.TR($D$10:$D$59,AO$6,"Null=BLANK")</f>
        <v/>
      </c>
      <c r="AP10" s="77" t="str">
        <f>_xll.TR($D$10:$D$59,AP$6,"Curn=#1",,$H$5)</f>
        <v>NULL</v>
      </c>
      <c r="AQ10" s="77" t="str">
        <f>_xll.TR($D$10:$D$59,AQ$6,"Null=BLANK")</f>
        <v/>
      </c>
      <c r="AR10" s="77" t="str">
        <f>_xll.TR($D$10:$D$59,AR$6,"Null=BLANK")</f>
        <v/>
      </c>
      <c r="AS10" s="77" t="str">
        <f>_xll.TR($D$10:$D$59,AS$6,"Null=BLANK")</f>
        <v/>
      </c>
      <c r="AT10" s="78">
        <f t="shared" ref="AT10:AT59" si="1">IF($D10="","",IFERROR((AX10/AU10)^(1/3)-1,"-"))</f>
        <v>0.56333474462199851</v>
      </c>
      <c r="AU10" s="74">
        <f>_xll.TR($D$10:$D$59,AU$6,"Curn=#1 Null=BLANK",,$H$5)</f>
        <v>815073.35800000001</v>
      </c>
      <c r="AV10" s="74">
        <f>_xll.TR($D$10:$D$59,AV$6,"Curn=#1 Null=BLANK",,$H$5)</f>
        <v>1756959.56422907</v>
      </c>
      <c r="AW10" s="74">
        <f>_xll.TR($D$10:$D$59,AW$6,"Curn=#1 Null=BLANK",,$H$5)</f>
        <v>2640299.5627464</v>
      </c>
      <c r="AX10" s="74">
        <f>_xll.TR($D$10:$D$59,AX$6,"Curn=#1 Null=BLANK",,$H$5)</f>
        <v>3114244.0108010899</v>
      </c>
      <c r="AY10" s="74">
        <f>_xll.TR($D$10:$D$59,AY$6,"Curn=#1 Null=BLANK",,$H$5)</f>
        <v>237868.22399999999</v>
      </c>
      <c r="AZ10" s="74">
        <f>_xll.TR($D$10:$D$59,AZ$6,"Curn=#1 Null=BLANK",,$H$5)</f>
        <v>1038017.774434</v>
      </c>
      <c r="BA10" s="74">
        <f>_xll.TR($D$10:$D$59,BA$6,"Curn=#1 Null=BLANK",,$H$5)</f>
        <v>1580968.9162997201</v>
      </c>
      <c r="BB10" s="74">
        <f>_xll.TR($D$10:$D$59,BB$6,"Curn=#1 Null=BLANK",,$H$5)</f>
        <v>1731912.3338921999</v>
      </c>
      <c r="BC10" s="77">
        <f>_xll.TR($D$10:$D$59,BC$6,"Null=BLANK")</f>
        <v>29.183658337699999</v>
      </c>
      <c r="BD10" s="77">
        <f>_xll.TR($D$10:$D$59,BD$6,"Null=BLANK")</f>
        <v>59.019695244494699</v>
      </c>
      <c r="BE10" s="77">
        <f>_xll.TR($D$10:$D$59,BE$6,"Null=BLANK")</f>
        <v>59.755453501059399</v>
      </c>
      <c r="BF10" s="74">
        <f>_xll.TR($D$10:$D$59,BF$6,"Curn=#1 Null=BLANK",,$H$5,"CY"&amp;YEAR(Valuation!$E$10))</f>
        <v>394000.71035350999</v>
      </c>
      <c r="BG10" s="74">
        <f>_xll.TR($D$10:$D$59,BG$6,"Curn=#1 Null=BLANK",,$H$5,"CY"&amp;YEAR(Valuation!$E$10)+1)</f>
        <v>869995.56225177296</v>
      </c>
      <c r="BH10" s="74">
        <f>_xll.TR($D$10:$D$59,BH$6,"Curn=#1 Null=BLANK",,$H$5,"CY"&amp;YEAR(Valuation!$E$10)+2)</f>
        <v>1622886.24287179</v>
      </c>
      <c r="BI10" s="77">
        <f>_xll.TR($D$10:$D$59,BI$6,"Null=BLANK",,"CY"&amp;YEAR(Valuation!$E$10))</f>
        <v>47.162560516103497</v>
      </c>
      <c r="BJ10" s="77">
        <f>_xll.TR($D$10:$D$59,BJ$6,"Null=BLANK",,"CY"&amp;YEAR(Valuation!$E$10)+1)</f>
        <v>57.731074565400903</v>
      </c>
      <c r="BK10" s="77">
        <f>_xll.TR($D$10:$D$59,BK$6,"Null=BLANK",,"CY"&amp;YEAR(Valuation!$E$10)+2)</f>
        <v>63.089765720391298</v>
      </c>
      <c r="BL10" s="74">
        <f>_xll.TR($D$10:$D$59,BL$6,"Curn=#1 Null=BLANK",,$H$5)</f>
        <v>191213.17600000001</v>
      </c>
      <c r="BM10" s="74">
        <f>_xll.TR($D$10:$D$59,BM$6,"Curn=#1 Null=BLANK",,$H$5)</f>
        <v>1000922.036637</v>
      </c>
      <c r="BN10" s="74">
        <f>_xll.TR($D$10:$D$59,BN$6,"Curn=#1 Null=BLANK",,$H$5)</f>
        <v>1586581.44316776</v>
      </c>
      <c r="BO10" s="74">
        <f>_xll.TR($D$10:$D$59,BO$6,"Curn=#1 Null=BLANK",,$H$5)</f>
        <v>1815683.5000728299</v>
      </c>
      <c r="BP10" s="82">
        <f>_xll.TR($D$10:$D$59,BP$6,"Curn=#1 Null=BLANK",,$H$5)</f>
        <v>52.647683440000002</v>
      </c>
      <c r="BQ10" s="82">
        <f>_xll.TR($D$10:$D$59,BQ$6,"Curn=#1 Null=BLANK",,$H$5)</f>
        <v>346.48321349999998</v>
      </c>
      <c r="BR10" s="82">
        <f>_xll.TR($D$10:$D$59,BR$6,"Curn=#1 Null=BLANK",,$H$5)</f>
        <v>547.19690079999998</v>
      </c>
      <c r="BS10" s="82">
        <f>_xll.TR($D$10:$D$59,BS$6,"Curn=#1 Null=BLANK",,$H$5)</f>
        <v>641.85537620000002</v>
      </c>
      <c r="BT10" s="74">
        <f>_xll.TR($D$10:$D$59,BT$6,"Curn=#1 Null=BLANK",,$H$5)</f>
        <v>55387.760999999999</v>
      </c>
      <c r="BU10" s="74">
        <f>_xll.TR($D$10:$D$59,BU$6,"Curn=#1 Null=BLANK",,$H$5)</f>
        <v>47040.026795999998</v>
      </c>
      <c r="BV10" s="74">
        <f>_xll.TR($D$10:$D$59,BV$6,"Curn=#1 Null=BLANK",,$H$5)</f>
        <v>71814.606750699997</v>
      </c>
      <c r="BW10" s="74">
        <f>_xll.TR($D$10:$D$59,BW$6,"Curn=#1 Null=BLANK",,$H$5)</f>
        <v>96753.263681779994</v>
      </c>
      <c r="BX10" s="74">
        <f>_xll.TR($D$10:$D$59,BX$6,"Curn=#1 Null=BLANK",,$H$5)</f>
        <v>-70798.430999999997</v>
      </c>
      <c r="BY10" s="74">
        <f>_xll.TR($D$10:$D$59,BY$6,"Curn=#1 Null=BLANK",,$H$5)</f>
        <v>-497216.80231517</v>
      </c>
      <c r="BZ10" s="74">
        <f>_xll.TR($D$10:$D$59,BZ$6,"Curn=#1 Null=BLANK",,$H$5)</f>
        <v>-1369584.6869334099</v>
      </c>
      <c r="CA10" s="74">
        <f>_xll.TR($D$10:$D$59,CA$6,"Curn=#1 Null=BLANK",,$H$5)</f>
        <v>-2154999.8158752001</v>
      </c>
      <c r="CD10" s="93" t="str">
        <f>_xll.TR($CD$6,"TR.CompanyMarketCap(Scale=6)","CURN=USD RH=In SORTD=TR.CompanyMarketCap",CD10:CD59)</f>
        <v>NVDA.OQ</v>
      </c>
      <c r="CM10" s="23"/>
      <c r="CN10" s="25"/>
      <c r="CO10" s="25"/>
      <c r="CP10" s="25"/>
      <c r="CQ10" s="23"/>
      <c r="CR10" s="23"/>
      <c r="CS10" s="23"/>
      <c r="CT10" s="23"/>
    </row>
    <row r="11" spans="1:98">
      <c r="B11" s="23"/>
      <c r="C11" s="112"/>
      <c r="D11" s="41" t="str">
        <f t="shared" ref="D11:D59" si="2">IF($C$8="User Input",C11,IF(CD11="","",CD11))</f>
        <v>AVGO.OQ</v>
      </c>
      <c r="E11" s="32" t="s">
        <v>510</v>
      </c>
      <c r="F11" s="66">
        <v>44864</v>
      </c>
      <c r="G11" s="32" t="s">
        <v>517</v>
      </c>
      <c r="H11" s="72">
        <v>28036.644479999999</v>
      </c>
      <c r="I11" s="67">
        <v>11571718.589921599</v>
      </c>
      <c r="J11" s="67">
        <v>1232710.8940000001</v>
      </c>
      <c r="K11" s="67">
        <v>377731.37</v>
      </c>
      <c r="L11" s="67"/>
      <c r="M11" s="67"/>
      <c r="N11" s="67">
        <v>0</v>
      </c>
      <c r="O11" s="67"/>
      <c r="P11" s="67"/>
      <c r="Q11" s="67">
        <f t="shared" si="0"/>
        <v>12426698.113921599</v>
      </c>
      <c r="R11" s="67">
        <f>IF(D11="","",_xll.TR($D11,R$6,"Curn=#2 scale=6",,$F11,$H$5))</f>
        <v>7215155.5199999996</v>
      </c>
      <c r="S11" s="68">
        <v>6.7696051561605897</v>
      </c>
      <c r="T11" s="68">
        <f>_xll.TR(D11,T$6,"Curn=#2 Scale=6 Transpose=Y Null=BLANK",,$Q11,$H$5)</f>
        <v>10.8041037707447</v>
      </c>
      <c r="U11" s="68">
        <v>9.9950614934101996</v>
      </c>
      <c r="V11" s="68">
        <v>9.1769395501765096</v>
      </c>
      <c r="W11" s="68">
        <v>11.663701935550799</v>
      </c>
      <c r="X11" s="68">
        <f>_xll.TR($D11,X$6,"Curn=#2 Scale=6 Transpose=Y Null=BLANK",,$Q11,$H$5)</f>
        <v>17.323365526215401</v>
      </c>
      <c r="Y11" s="68">
        <v>16.084039520332102</v>
      </c>
      <c r="Z11" s="68">
        <v>15.4465016488282</v>
      </c>
      <c r="AA11" s="68">
        <v>11.926099644505801</v>
      </c>
      <c r="AB11" s="68">
        <f>_xll.TR($D11,AB$6,"Curn=#2 Scale=6 Period=FY1:FY3 Transpose=Y Null=BLANK",,$Q11,$H$5)</f>
        <v>17.7116096752159</v>
      </c>
      <c r="AC11" s="68">
        <v>16.489376218333799</v>
      </c>
      <c r="AD11" s="68">
        <v>15.8537131301036</v>
      </c>
      <c r="AE11" s="68">
        <v>15.7325680688738</v>
      </c>
      <c r="AF11" s="68">
        <f>_xll.TR($D11,AF$6,"Curn=#2 Scale=6 Transpose=Y Null=BLANK",,$Q11,$H$5)</f>
        <v>17.8566638604978</v>
      </c>
      <c r="AG11" s="68">
        <v>16.3023148616135</v>
      </c>
      <c r="AH11" s="68">
        <v>14.7021270619753</v>
      </c>
      <c r="AI11" s="69">
        <v>17.823820448700001</v>
      </c>
      <c r="AJ11" s="69">
        <v>20.803806799773302</v>
      </c>
      <c r="AK11" s="69">
        <v>19.076628033237501</v>
      </c>
      <c r="AL11" s="69">
        <v>17.1067597873</v>
      </c>
      <c r="AM11" s="69">
        <v>1.9788335315972501</v>
      </c>
      <c r="AN11" s="70">
        <v>2.1434978623268601</v>
      </c>
      <c r="AO11" s="70">
        <v>1.4062062165948801</v>
      </c>
      <c r="AP11" s="70">
        <v>1.34268280681035</v>
      </c>
      <c r="AQ11" s="70">
        <v>1.1198684718288801</v>
      </c>
      <c r="AR11" s="70">
        <v>0.89619430594933902</v>
      </c>
      <c r="AS11" s="70">
        <v>0.77978635522777395</v>
      </c>
      <c r="AT11" s="71">
        <f t="shared" si="1"/>
        <v>8.3074937731442811E-2</v>
      </c>
      <c r="AU11" s="67">
        <v>1065816.3</v>
      </c>
      <c r="AV11" s="67">
        <v>1150183.1505515999</v>
      </c>
      <c r="AW11" s="67">
        <v>1243283.8079200001</v>
      </c>
      <c r="AX11" s="67">
        <v>1354122.2589487999</v>
      </c>
      <c r="AY11" s="67">
        <v>618599.1</v>
      </c>
      <c r="AZ11" s="67">
        <v>717337.40739444003</v>
      </c>
      <c r="BA11" s="67">
        <v>772610.51853378001</v>
      </c>
      <c r="BB11" s="67">
        <v>804499.19317908003</v>
      </c>
      <c r="BC11" s="70">
        <v>58.039936150300001</v>
      </c>
      <c r="BD11" s="70">
        <v>62.769804143710701</v>
      </c>
      <c r="BE11" s="70">
        <v>62.543853348601999</v>
      </c>
      <c r="BF11" s="67">
        <v>628686.30632600002</v>
      </c>
      <c r="BG11" s="67">
        <v>722907.79454363999</v>
      </c>
      <c r="BH11" s="67">
        <v>773966.28782970295</v>
      </c>
      <c r="BI11" s="70">
        <v>62.373438914512299</v>
      </c>
      <c r="BJ11" s="70">
        <v>63.9637919167033</v>
      </c>
      <c r="BK11" s="70">
        <v>61.462480221687599</v>
      </c>
      <c r="BL11" s="67">
        <v>458612.7</v>
      </c>
      <c r="BM11" s="67">
        <v>695913.76143960003</v>
      </c>
      <c r="BN11" s="67">
        <v>762265.86343160004</v>
      </c>
      <c r="BO11" s="67">
        <v>845231.30983279995</v>
      </c>
      <c r="BP11" s="72">
        <v>851.67431099999999</v>
      </c>
      <c r="BQ11" s="72">
        <v>1350.2753352</v>
      </c>
      <c r="BR11" s="72">
        <v>1472.5279095999999</v>
      </c>
      <c r="BS11" s="72">
        <v>1642.0916380000001</v>
      </c>
      <c r="BT11" s="67">
        <v>13610.4</v>
      </c>
      <c r="BU11" s="67">
        <v>15724.26540484</v>
      </c>
      <c r="BV11" s="67">
        <v>18992.070547560001</v>
      </c>
      <c r="BW11" s="67">
        <v>20664.011354999999</v>
      </c>
      <c r="BX11" s="67">
        <v>869877.9</v>
      </c>
      <c r="BY11" s="67">
        <v>803323.54620450002</v>
      </c>
      <c r="BZ11" s="67">
        <v>692409.14742654003</v>
      </c>
      <c r="CA11" s="67">
        <v>631897.94667920005</v>
      </c>
      <c r="CD11" s="93" t="s">
        <v>504</v>
      </c>
      <c r="CM11" s="23"/>
      <c r="CN11" s="25"/>
      <c r="CO11" s="25"/>
      <c r="CP11" s="25"/>
      <c r="CQ11" s="23"/>
      <c r="CR11" s="23"/>
      <c r="CS11" s="23"/>
      <c r="CT11" s="23"/>
    </row>
    <row r="12" spans="1:98">
      <c r="B12" s="23"/>
      <c r="C12" s="112"/>
      <c r="D12" s="41" t="str">
        <f t="shared" si="2"/>
        <v>005930.KS</v>
      </c>
      <c r="E12" s="32" t="s">
        <v>520</v>
      </c>
      <c r="F12" s="66">
        <v>44926</v>
      </c>
      <c r="G12" s="32" t="s">
        <v>519</v>
      </c>
      <c r="H12" s="72">
        <v>1633.5347648720101</v>
      </c>
      <c r="I12" s="67">
        <v>10810415.8554307</v>
      </c>
      <c r="J12" s="67">
        <v>250578.57804936101</v>
      </c>
      <c r="K12" s="67">
        <v>2794233.35661422</v>
      </c>
      <c r="L12" s="67">
        <v>264173.64496796002</v>
      </c>
      <c r="M12" s="67">
        <v>231911.60230149399</v>
      </c>
      <c r="N12" s="67"/>
      <c r="O12" s="67">
        <v>6507.90652063573</v>
      </c>
      <c r="P12" s="67"/>
      <c r="Q12" s="67">
        <f t="shared" si="0"/>
        <v>8241006.9407200096</v>
      </c>
      <c r="R12" s="67">
        <f>IF(D12="","",_xll.TR($D12,R$6,"Curn=#2 scale=6",,$F12,$H$5))</f>
        <v>6539638.01566232</v>
      </c>
      <c r="S12" s="68">
        <v>0.89229168185922303</v>
      </c>
      <c r="T12" s="68">
        <f>_xll.TR(D12,T$6,"Curn=#2 Scale=6 Transpose=Y Null=BLANK",,$Q12,$H$5)</f>
        <v>1.3134509089169399</v>
      </c>
      <c r="U12" s="68">
        <v>1.14925862600972</v>
      </c>
      <c r="V12" s="68">
        <v>1.04265368468645</v>
      </c>
      <c r="W12" s="68">
        <v>3.2681594282624</v>
      </c>
      <c r="X12" s="68">
        <f>_xll.TR($D12,X$6,"Curn=#2 Scale=6 Transpose=Y Null=BLANK",,$Q12,$H$5)</f>
        <v>7.3883233591012401</v>
      </c>
      <c r="Y12" s="68">
        <v>4.5662258893713004</v>
      </c>
      <c r="Z12" s="68">
        <v>3.71497718080954</v>
      </c>
      <c r="AA12" s="68">
        <v>9.1757939182269297</v>
      </c>
      <c r="AB12" s="68">
        <f>_xll.TR($D12,AB$6,"Curn=#2 Scale=6 Period=FY1:FY3 Transpose=Y Null=BLANK",,$Q12,$H$5)</f>
        <v>-59.545782200867201</v>
      </c>
      <c r="AC12" s="68">
        <v>13.919241301115299</v>
      </c>
      <c r="AD12" s="68">
        <v>8.3452127564396203</v>
      </c>
      <c r="AE12" s="68">
        <v>6.2124618851704296</v>
      </c>
      <c r="AF12" s="68">
        <f>_xll.TR($D12,AF$6,"Curn=#2 Scale=6 Transpose=Y Null=BLANK",,$Q12,$H$5)</f>
        <v>46.082072899192802</v>
      </c>
      <c r="AG12" s="68">
        <v>9.9951218159304993</v>
      </c>
      <c r="AH12" s="68">
        <v>6.6367920752184997</v>
      </c>
      <c r="AI12" s="69">
        <v>6.8634117892999997</v>
      </c>
      <c r="AJ12" s="69">
        <v>52.8367325054964</v>
      </c>
      <c r="AK12" s="69">
        <v>16.5932632120197</v>
      </c>
      <c r="AL12" s="69">
        <v>11.7897658564083</v>
      </c>
      <c r="AM12" s="69">
        <v>1.2472769526854901</v>
      </c>
      <c r="AN12" s="70">
        <v>2.1173020527859201</v>
      </c>
      <c r="AO12" s="70"/>
      <c r="AP12" s="70" t="s">
        <v>516</v>
      </c>
      <c r="AQ12" s="70"/>
      <c r="AR12" s="70"/>
      <c r="AS12" s="70"/>
      <c r="AT12" s="71">
        <f t="shared" si="1"/>
        <v>2.5489246770947993E-2</v>
      </c>
      <c r="AU12" s="67">
        <v>7329036.1757447002</v>
      </c>
      <c r="AV12" s="67">
        <v>6274316.6758439997</v>
      </c>
      <c r="AW12" s="67">
        <v>7170715.7590220999</v>
      </c>
      <c r="AX12" s="67">
        <v>7903877.4444059702</v>
      </c>
      <c r="AY12" s="67">
        <v>2001015.6050249001</v>
      </c>
      <c r="AZ12" s="67">
        <v>1115409.6186881701</v>
      </c>
      <c r="BA12" s="67">
        <v>1804774.2578619299</v>
      </c>
      <c r="BB12" s="67">
        <v>2218319.6664815499</v>
      </c>
      <c r="BC12" s="70">
        <v>27.302575086800001</v>
      </c>
      <c r="BD12" s="70">
        <v>17.777387982064699</v>
      </c>
      <c r="BE12" s="70">
        <v>25.168676580035701</v>
      </c>
      <c r="BF12" s="67">
        <v>1849885.25726547</v>
      </c>
      <c r="BG12" s="67">
        <v>1142956.2940941299</v>
      </c>
      <c r="BH12" s="67">
        <v>1807142.4403236699</v>
      </c>
      <c r="BI12" s="70">
        <v>26.487540870701199</v>
      </c>
      <c r="BJ12" s="70">
        <v>18.299948756815301</v>
      </c>
      <c r="BK12" s="70">
        <v>25.193055116460702</v>
      </c>
      <c r="BL12" s="67">
        <v>1052664.48898027</v>
      </c>
      <c r="BM12" s="67">
        <v>178833.25168005601</v>
      </c>
      <c r="BN12" s="67">
        <v>824502.90176406503</v>
      </c>
      <c r="BO12" s="67">
        <v>1241715.40215816</v>
      </c>
      <c r="BP12" s="72">
        <v>195.385537912627</v>
      </c>
      <c r="BQ12" s="72">
        <v>30.9166499783476</v>
      </c>
      <c r="BR12" s="72">
        <v>98.445660989016901</v>
      </c>
      <c r="BS12" s="72">
        <v>138.55531863545099</v>
      </c>
      <c r="BT12" s="67">
        <v>1288310.18967421</v>
      </c>
      <c r="BU12" s="67">
        <v>1253807.4469830501</v>
      </c>
      <c r="BV12" s="67">
        <v>1212715.6274781199</v>
      </c>
      <c r="BW12" s="67">
        <v>1230806.56391136</v>
      </c>
      <c r="BX12" s="67">
        <v>-2543654.7785648601</v>
      </c>
      <c r="BY12" s="67">
        <v>-2849767.8515254399</v>
      </c>
      <c r="BZ12" s="67">
        <v>-2206636.0239263498</v>
      </c>
      <c r="CA12" s="67">
        <v>-2955539.9406055901</v>
      </c>
      <c r="CD12" s="93" t="s">
        <v>502</v>
      </c>
      <c r="CM12" s="23"/>
      <c r="CN12" s="25"/>
      <c r="CO12" s="25"/>
      <c r="CP12" s="25"/>
      <c r="CQ12" s="23"/>
      <c r="CR12" s="23"/>
      <c r="CS12" s="23"/>
      <c r="CT12" s="23"/>
    </row>
    <row r="13" spans="1:98">
      <c r="B13" s="23"/>
      <c r="C13" s="112"/>
      <c r="D13" s="41" t="str">
        <f t="shared" si="2"/>
        <v>ASML.AS</v>
      </c>
      <c r="E13" s="32" t="s">
        <v>511</v>
      </c>
      <c r="F13" s="66">
        <v>44926</v>
      </c>
      <c r="G13" s="32" t="s">
        <v>518</v>
      </c>
      <c r="H13" s="72">
        <v>19301.714425251401</v>
      </c>
      <c r="I13" s="67">
        <v>7771028.3769250596</v>
      </c>
      <c r="J13" s="67">
        <v>178832.384490339</v>
      </c>
      <c r="K13" s="67">
        <v>215534.847205403</v>
      </c>
      <c r="L13" s="67">
        <v>35333.804209079302</v>
      </c>
      <c r="M13" s="67"/>
      <c r="N13" s="67"/>
      <c r="O13" s="67"/>
      <c r="P13" s="67"/>
      <c r="Q13" s="67">
        <f t="shared" si="0"/>
        <v>7698992.1100009168</v>
      </c>
      <c r="R13" s="67">
        <f>IF(D13="","",_xll.TR($D13,R$6,"Curn=#2 scale=6",,$F13,$H$5))</f>
        <v>6379612.4000057401</v>
      </c>
      <c r="S13" s="68">
        <v>9.2074983119385703</v>
      </c>
      <c r="T13" s="68">
        <f>_xll.TR(D13,T$6,"Curn=#2 Scale=6 Transpose=Y Null=BLANK",,$Q13,$H$5)</f>
        <v>8.3271259925787504</v>
      </c>
      <c r="U13" s="68">
        <v>7.8569390085290403</v>
      </c>
      <c r="V13" s="68">
        <v>6.6425786788059398</v>
      </c>
      <c r="W13" s="68">
        <v>23.5423312109649</v>
      </c>
      <c r="X13" s="68">
        <f>_xll.TR($D13,X$6,"Curn=#2 Scale=6 Transpose=Y Null=BLANK",,$Q13,$H$5)</f>
        <v>23.725441415594801</v>
      </c>
      <c r="Y13" s="68">
        <v>21.380675246026499</v>
      </c>
      <c r="Z13" s="68">
        <v>16.662275723227701</v>
      </c>
      <c r="AA13" s="68">
        <v>32.125044451438598</v>
      </c>
      <c r="AB13" s="68">
        <f>_xll.TR($D13,AB$6,"Curn=#2 Scale=6 Period=FY1:FY3 Transpose=Y Null=BLANK",,$Q13,$H$5)</f>
        <v>29.818221403183902</v>
      </c>
      <c r="AC13" s="68">
        <v>25.146940770080601</v>
      </c>
      <c r="AD13" s="68">
        <v>18.974205552414102</v>
      </c>
      <c r="AE13" s="68">
        <v>26.531579308383201</v>
      </c>
      <c r="AF13" s="68">
        <f>_xll.TR($D13,AF$6,"Curn=#2 Scale=6 Transpose=Y Null=BLANK",,$Q13,$H$5)</f>
        <v>25.761318188938599</v>
      </c>
      <c r="AG13" s="68">
        <v>23.375903304819602</v>
      </c>
      <c r="AH13" s="68">
        <v>18.008186879739998</v>
      </c>
      <c r="AI13" s="69">
        <v>31.350634884600002</v>
      </c>
      <c r="AJ13" s="69">
        <v>29.2831287662462</v>
      </c>
      <c r="AK13" s="69">
        <v>26.482279147785199</v>
      </c>
      <c r="AL13" s="69">
        <v>20.1547555414027</v>
      </c>
      <c r="AM13" s="69">
        <v>1.3177383359585</v>
      </c>
      <c r="AN13" s="70">
        <v>1.03685417034033</v>
      </c>
      <c r="AO13" s="70"/>
      <c r="AP13" s="70" t="s">
        <v>516</v>
      </c>
      <c r="AQ13" s="70"/>
      <c r="AR13" s="70"/>
      <c r="AS13" s="70"/>
      <c r="AT13" s="71">
        <f t="shared" si="1"/>
        <v>0.1870841526198479</v>
      </c>
      <c r="AU13" s="67">
        <v>692871.41673801397</v>
      </c>
      <c r="AV13" s="67">
        <v>924567.74604615802</v>
      </c>
      <c r="AW13" s="67">
        <v>979897.14590419305</v>
      </c>
      <c r="AX13" s="67">
        <v>1159036.6455975301</v>
      </c>
      <c r="AY13" s="67">
        <v>270984.73565924697</v>
      </c>
      <c r="AZ13" s="67">
        <v>324503.64042290702</v>
      </c>
      <c r="BA13" s="67">
        <v>360091.158085934</v>
      </c>
      <c r="BB13" s="67">
        <v>462061.25969145301</v>
      </c>
      <c r="BC13" s="70">
        <v>39.1103932292</v>
      </c>
      <c r="BD13" s="70">
        <v>35.0978759329018</v>
      </c>
      <c r="BE13" s="70">
        <v>36.747852526263102</v>
      </c>
      <c r="BF13" s="67">
        <v>205709.65942210701</v>
      </c>
      <c r="BG13" s="67">
        <v>300647.67195293802</v>
      </c>
      <c r="BH13" s="67">
        <v>368865.62370378303</v>
      </c>
      <c r="BI13" s="70">
        <v>32.159045681144697</v>
      </c>
      <c r="BJ13" s="70">
        <v>33.644039256959701</v>
      </c>
      <c r="BK13" s="70">
        <v>37.082313227779998</v>
      </c>
      <c r="BL13" s="67">
        <v>240453.54880136999</v>
      </c>
      <c r="BM13" s="67">
        <v>298858.624140853</v>
      </c>
      <c r="BN13" s="67">
        <v>329355.91876843403</v>
      </c>
      <c r="BO13" s="67">
        <v>427527.33306331001</v>
      </c>
      <c r="BP13" s="72">
        <v>525.86451567850997</v>
      </c>
      <c r="BQ13" s="72">
        <v>657.04218537378995</v>
      </c>
      <c r="BR13" s="72">
        <v>728.85397505016499</v>
      </c>
      <c r="BS13" s="72">
        <v>957.07266485002106</v>
      </c>
      <c r="BT13" s="67">
        <v>72397.854023972599</v>
      </c>
      <c r="BU13" s="67">
        <v>66306.077063918405</v>
      </c>
      <c r="BV13" s="67">
        <v>53930.970236719797</v>
      </c>
      <c r="BW13" s="67">
        <v>56300.286525366602</v>
      </c>
      <c r="BX13" s="67">
        <v>-95438.592144691793</v>
      </c>
      <c r="BY13" s="67">
        <v>-101344.915998848</v>
      </c>
      <c r="BZ13" s="67">
        <v>-143602.209784773</v>
      </c>
      <c r="CA13" s="67">
        <v>-212449.209680108</v>
      </c>
      <c r="CD13" s="93" t="s">
        <v>505</v>
      </c>
      <c r="CM13" s="23"/>
      <c r="CN13" s="25"/>
      <c r="CO13" s="25"/>
      <c r="CP13" s="25"/>
      <c r="CQ13" s="23"/>
      <c r="CR13" s="23"/>
      <c r="CS13" s="23"/>
      <c r="CT13" s="23"/>
    </row>
    <row r="14" spans="1:98">
      <c r="B14" s="23"/>
      <c r="C14" s="112"/>
      <c r="D14" s="41" t="str">
        <f t="shared" si="2"/>
        <v>AMD.OQ</v>
      </c>
      <c r="E14" s="32" t="s">
        <v>512</v>
      </c>
      <c r="F14" s="66">
        <v>44926</v>
      </c>
      <c r="G14" s="32" t="s">
        <v>517</v>
      </c>
      <c r="H14" s="72">
        <v>3472.2019799999998</v>
      </c>
      <c r="I14" s="67">
        <v>5609937.3646653304</v>
      </c>
      <c r="J14" s="67">
        <v>76795.243000000002</v>
      </c>
      <c r="K14" s="67">
        <v>195645.76500000001</v>
      </c>
      <c r="L14" s="67">
        <v>2801.61</v>
      </c>
      <c r="M14" s="67"/>
      <c r="N14" s="67"/>
      <c r="O14" s="67"/>
      <c r="P14" s="67"/>
      <c r="Q14" s="67">
        <f t="shared" si="0"/>
        <v>5488285.2326653302</v>
      </c>
      <c r="R14" s="67">
        <f>IF(D14="","",_xll.TR($D14,R$6,"Curn=#2 scale=6",,$F14,$H$5))</f>
        <v>3086388.5644800002</v>
      </c>
      <c r="S14" s="68">
        <v>4.2768628447947101</v>
      </c>
      <c r="T14" s="68">
        <f>_xll.TR(D14,T$6,"Curn=#2 Scale=6 Transpose=Y Null=BLANK",,$Q14,$H$5)</f>
        <v>7.4971251970936796</v>
      </c>
      <c r="U14" s="68">
        <v>6.2103903295783596</v>
      </c>
      <c r="V14" s="68">
        <v>5.3265560813126998</v>
      </c>
      <c r="W14" s="68">
        <v>17.439225984796099</v>
      </c>
      <c r="X14" s="68">
        <f>_xll.TR($D14,X$6,"Curn=#2 Scale=6 Transpose=Y Null=BLANK",,$Q14,$H$5)</f>
        <v>27.151118666377499</v>
      </c>
      <c r="Y14" s="68">
        <v>20.9771838928928</v>
      </c>
      <c r="Z14" s="68">
        <v>17.863069752721799</v>
      </c>
      <c r="AA14" s="68">
        <v>18.909374297489698</v>
      </c>
      <c r="AB14" s="68">
        <f>_xll.TR($D14,AB$6,"Curn=#2 Scale=6 Period=FY1:FY3 Transpose=Y Null=BLANK",,$Q14,$H$5)</f>
        <v>29.596956827295902</v>
      </c>
      <c r="AC14" s="68">
        <v>22.447529486008399</v>
      </c>
      <c r="AD14" s="68">
        <v>18.932904775153801</v>
      </c>
      <c r="AE14" s="68">
        <v>62.539182156133798</v>
      </c>
      <c r="AF14" s="68">
        <f>_xll.TR($D14,AF$6,"Curn=#2 Scale=6 Transpose=Y Null=BLANK",,$Q14,$H$5)</f>
        <v>33.774433876882597</v>
      </c>
      <c r="AG14" s="68">
        <v>22.3199421154163</v>
      </c>
      <c r="AH14" s="68">
        <v>18.355759489986799</v>
      </c>
      <c r="AI14" s="69">
        <v>77.086035966300003</v>
      </c>
      <c r="AJ14" s="69">
        <v>39.213911507116102</v>
      </c>
      <c r="AK14" s="69">
        <v>26.043883378419</v>
      </c>
      <c r="AL14" s="69">
        <v>20.196011889001198</v>
      </c>
      <c r="AM14" s="69">
        <v>3.0601006817982301</v>
      </c>
      <c r="AN14" s="70"/>
      <c r="AO14" s="70"/>
      <c r="AP14" s="70" t="s">
        <v>516</v>
      </c>
      <c r="AQ14" s="70"/>
      <c r="AR14" s="70"/>
      <c r="AS14" s="70"/>
      <c r="AT14" s="71">
        <f t="shared" si="1"/>
        <v>0.12604297110688689</v>
      </c>
      <c r="AU14" s="67">
        <v>721647.777</v>
      </c>
      <c r="AV14" s="67">
        <v>732051.96503760002</v>
      </c>
      <c r="AW14" s="67">
        <v>883726.29438863997</v>
      </c>
      <c r="AX14" s="67">
        <v>1030362.79894246</v>
      </c>
      <c r="AY14" s="67">
        <v>176979.67600000001</v>
      </c>
      <c r="AZ14" s="67">
        <v>202138.456986</v>
      </c>
      <c r="BA14" s="67">
        <v>261631.173216</v>
      </c>
      <c r="BB14" s="67">
        <v>307241.99751999998</v>
      </c>
      <c r="BC14" s="70">
        <v>24.524384560000001</v>
      </c>
      <c r="BD14" s="70">
        <v>27.7562093436309</v>
      </c>
      <c r="BE14" s="70">
        <v>29.635907541800801</v>
      </c>
      <c r="BF14" s="67">
        <v>198471.22926513999</v>
      </c>
      <c r="BG14" s="67">
        <v>171782.49767275999</v>
      </c>
      <c r="BH14" s="67">
        <v>244470.86799999999</v>
      </c>
      <c r="BI14" s="70">
        <v>28.483717083637799</v>
      </c>
      <c r="BJ14" s="70">
        <v>24.203985806007601</v>
      </c>
      <c r="BK14" s="70">
        <v>28.137563131395201</v>
      </c>
      <c r="BL14" s="67">
        <v>49351.277999999998</v>
      </c>
      <c r="BM14" s="67">
        <v>162498.21544520001</v>
      </c>
      <c r="BN14" s="67">
        <v>245891.553136</v>
      </c>
      <c r="BO14" s="67">
        <v>298995.26825132</v>
      </c>
      <c r="BP14" s="72">
        <v>25.691712710000001</v>
      </c>
      <c r="BQ14" s="72">
        <v>88.697069389999996</v>
      </c>
      <c r="BR14" s="72">
        <v>133.54993875</v>
      </c>
      <c r="BS14" s="72">
        <v>172.22009222</v>
      </c>
      <c r="BT14" s="67">
        <v>13759.65</v>
      </c>
      <c r="BU14" s="67">
        <v>16704.3508821</v>
      </c>
      <c r="BV14" s="67">
        <v>17137.219612500001</v>
      </c>
      <c r="BW14" s="67">
        <v>17361.216</v>
      </c>
      <c r="BX14" s="67">
        <v>-103594.876</v>
      </c>
      <c r="BY14" s="67">
        <v>-208407.08337444</v>
      </c>
      <c r="BZ14" s="67">
        <v>-316877.82557669998</v>
      </c>
      <c r="CA14" s="67">
        <v>-421144.39294595999</v>
      </c>
      <c r="CD14" s="93" t="s">
        <v>506</v>
      </c>
      <c r="CM14" s="23"/>
      <c r="CN14" s="25"/>
      <c r="CO14" s="25"/>
      <c r="CP14" s="25"/>
      <c r="CQ14" s="23"/>
      <c r="CR14" s="23"/>
      <c r="CS14" s="23"/>
      <c r="CT14" s="23"/>
    </row>
    <row r="15" spans="1:98">
      <c r="B15" s="23"/>
      <c r="C15" s="112"/>
      <c r="D15" s="41" t="str">
        <f t="shared" si="2"/>
        <v>INTC.OQ</v>
      </c>
      <c r="E15" s="32" t="s">
        <v>513</v>
      </c>
      <c r="F15" s="66">
        <v>44926</v>
      </c>
      <c r="G15" s="32" t="s">
        <v>517</v>
      </c>
      <c r="H15" s="72">
        <v>1182.2990400000001</v>
      </c>
      <c r="I15" s="67">
        <v>4951468.37952</v>
      </c>
      <c r="J15" s="67">
        <v>1526752.9339999999</v>
      </c>
      <c r="K15" s="67">
        <v>755096.15300000005</v>
      </c>
      <c r="L15" s="67">
        <v>183443.19699999999</v>
      </c>
      <c r="M15" s="67">
        <v>107519.56600000001</v>
      </c>
      <c r="N15" s="67">
        <v>0</v>
      </c>
      <c r="O15" s="67"/>
      <c r="P15" s="67"/>
      <c r="Q15" s="67">
        <f t="shared" si="0"/>
        <v>5647201.5295199994</v>
      </c>
      <c r="R15" s="67">
        <f>IF(D15="","",_xll.TR($D15,R$6,"Curn=#2 scale=6",,$F15,$H$5))</f>
        <v>3638813.13307</v>
      </c>
      <c r="S15" s="68">
        <v>1.88734909759888</v>
      </c>
      <c r="T15" s="68">
        <f>_xll.TR(D15,T$6,"Curn=#2 Scale=6 Transpose=Y Null=BLANK",,$Q15,$H$5)</f>
        <v>3.3502553587944699</v>
      </c>
      <c r="U15" s="68">
        <v>2.9976340799096302</v>
      </c>
      <c r="V15" s="68">
        <v>2.7427048373733798</v>
      </c>
      <c r="W15" s="68">
        <v>7.0429608806296997</v>
      </c>
      <c r="X15" s="68">
        <f>_xll.TR($D15,X$6,"Curn=#2 Scale=6 Transpose=Y Null=BLANK",,$Q15,$H$5)</f>
        <v>16.059579456546899</v>
      </c>
      <c r="Y15" s="68">
        <v>9.5568632811316707</v>
      </c>
      <c r="Z15" s="68">
        <v>7.7067139049241398</v>
      </c>
      <c r="AA15" s="68">
        <v>-14.596456519072699</v>
      </c>
      <c r="AB15" s="68">
        <f>_xll.TR($D15,AB$6,"Curn=#2 Scale=6 Period=FY1:FY3 Transpose=Y Null=BLANK",,$Q15,$H$5)</f>
        <v>-15.2704272251442</v>
      </c>
      <c r="AC15" s="68">
        <v>-44.513190310352101</v>
      </c>
      <c r="AD15" s="68">
        <v>163.012875883867</v>
      </c>
      <c r="AE15" s="68">
        <v>30.814321595028499</v>
      </c>
      <c r="AF15" s="68">
        <f>_xll.TR($D15,AF$6,"Curn=#2 Scale=6 Transpose=Y Null=BLANK",,$Q15,$H$5)</f>
        <v>69.207490820950198</v>
      </c>
      <c r="AG15" s="68">
        <v>21.545919174802499</v>
      </c>
      <c r="AH15" s="68">
        <v>14.589766900587501</v>
      </c>
      <c r="AI15" s="69">
        <v>13.5975675634</v>
      </c>
      <c r="AJ15" s="69">
        <v>59.323124437009398</v>
      </c>
      <c r="AK15" s="69">
        <v>21.102261283530201</v>
      </c>
      <c r="AL15" s="69">
        <v>14.9380685822606</v>
      </c>
      <c r="AM15" s="69">
        <v>1.45009949827916</v>
      </c>
      <c r="AN15" s="70">
        <v>1.3724951962668099</v>
      </c>
      <c r="AO15" s="70">
        <v>0.81156418299106403</v>
      </c>
      <c r="AP15" s="70">
        <v>2.6025196850393701</v>
      </c>
      <c r="AQ15" s="70">
        <v>2.91933535430804</v>
      </c>
      <c r="AR15" s="70">
        <v>2.2238327911206901</v>
      </c>
      <c r="AS15" s="70">
        <v>1.97871928840857</v>
      </c>
      <c r="AT15" s="71">
        <f t="shared" si="1"/>
        <v>2.2152196234775046E-2</v>
      </c>
      <c r="AU15" s="67">
        <v>1928002.1580000001</v>
      </c>
      <c r="AV15" s="67">
        <v>1685603.3122060399</v>
      </c>
      <c r="AW15" s="67">
        <v>1883886.2179236501</v>
      </c>
      <c r="AX15" s="67">
        <v>2058989.8893124</v>
      </c>
      <c r="AY15" s="67">
        <v>516659.56900000002</v>
      </c>
      <c r="AZ15" s="67">
        <v>351640.685536</v>
      </c>
      <c r="BA15" s="67">
        <v>590905.33822634001</v>
      </c>
      <c r="BB15" s="67">
        <v>732763.87305772002</v>
      </c>
      <c r="BC15" s="70">
        <v>26.797665493099998</v>
      </c>
      <c r="BD15" s="70">
        <v>20.7509164949508</v>
      </c>
      <c r="BE15" s="70">
        <v>31.334096991026101</v>
      </c>
      <c r="BF15" s="67">
        <v>626288.91056978004</v>
      </c>
      <c r="BG15" s="67">
        <v>338691.32539399998</v>
      </c>
      <c r="BH15" s="67">
        <v>599000.86112000002</v>
      </c>
      <c r="BI15" s="70">
        <v>31.513973291613901</v>
      </c>
      <c r="BJ15" s="70">
        <v>20.956314395991001</v>
      </c>
      <c r="BK15" s="70">
        <v>31.775897358214898</v>
      </c>
      <c r="BL15" s="67">
        <v>118088.374</v>
      </c>
      <c r="BM15" s="67">
        <v>81598.125615190002</v>
      </c>
      <c r="BN15" s="67">
        <v>262100.74788196001</v>
      </c>
      <c r="BO15" s="67">
        <v>387065.91873600002</v>
      </c>
      <c r="BP15" s="72">
        <v>59.433432209999999</v>
      </c>
      <c r="BQ15" s="72">
        <v>19.964009839999999</v>
      </c>
      <c r="BR15" s="72">
        <v>56.123247839999998</v>
      </c>
      <c r="BS15" s="72">
        <v>79.571357800000001</v>
      </c>
      <c r="BT15" s="67">
        <v>765953.85</v>
      </c>
      <c r="BU15" s="67">
        <v>721453.62175964005</v>
      </c>
      <c r="BV15" s="67">
        <v>717771.13890579995</v>
      </c>
      <c r="BW15" s="67">
        <v>698121.20143500005</v>
      </c>
      <c r="BX15" s="67">
        <v>419302.40100000001</v>
      </c>
      <c r="BY15" s="67">
        <v>1017908.10973148</v>
      </c>
      <c r="BZ15" s="67">
        <v>1308596.9719120001</v>
      </c>
      <c r="CA15" s="67">
        <v>1446341.0618546801</v>
      </c>
      <c r="CD15" s="93" t="s">
        <v>507</v>
      </c>
      <c r="CM15" s="23"/>
      <c r="CN15" s="25"/>
      <c r="CO15" s="25"/>
      <c r="CP15" s="25"/>
      <c r="CQ15" s="23"/>
      <c r="CR15" s="23"/>
      <c r="CS15" s="23"/>
      <c r="CT15" s="23"/>
    </row>
    <row r="16" spans="1:98">
      <c r="B16" s="23"/>
      <c r="C16" s="112"/>
      <c r="D16" s="41" t="str">
        <f t="shared" si="2"/>
        <v>QCOM.OQ</v>
      </c>
      <c r="E16" s="32" t="s">
        <v>514</v>
      </c>
      <c r="F16" s="66">
        <v>44829</v>
      </c>
      <c r="G16" s="32" t="s">
        <v>517</v>
      </c>
      <c r="H16" s="72">
        <v>3562.28496</v>
      </c>
      <c r="I16" s="67">
        <v>3975510.0153600001</v>
      </c>
      <c r="J16" s="67">
        <v>478594.11599999998</v>
      </c>
      <c r="K16" s="67">
        <v>267466.05900000001</v>
      </c>
      <c r="L16" s="67">
        <v>41153.082000000002</v>
      </c>
      <c r="M16" s="67"/>
      <c r="N16" s="67">
        <v>0</v>
      </c>
      <c r="O16" s="67"/>
      <c r="P16" s="67"/>
      <c r="Q16" s="67">
        <f t="shared" si="0"/>
        <v>4145484.9903600002</v>
      </c>
      <c r="R16" s="67">
        <f>IF(D16="","",_xll.TR($D16,R$6,"Curn=#2 scale=6",,$F16,$H$5))</f>
        <v>4568818.6619699998</v>
      </c>
      <c r="S16" s="68">
        <v>3.2502260180995499</v>
      </c>
      <c r="T16" s="68">
        <f>_xll.TR(D16,T$6,"Curn=#2 Scale=6 Transpose=Y Null=BLANK",,$Q16,$H$5)</f>
        <v>3.5920017068521402</v>
      </c>
      <c r="U16" s="68">
        <v>3.4138310273578099</v>
      </c>
      <c r="V16" s="68">
        <v>3.1613500792191198</v>
      </c>
      <c r="W16" s="68">
        <v>8.6630881022734094</v>
      </c>
      <c r="X16" s="68">
        <f>_xll.TR($D16,X$6,"Curn=#2 Scale=6 Transpose=Y Null=BLANK",,$Q16,$H$5)</f>
        <v>9.7762826327181696</v>
      </c>
      <c r="Y16" s="68">
        <v>9.6266189817147403</v>
      </c>
      <c r="Z16" s="68">
        <v>9.16088416039001</v>
      </c>
      <c r="AA16" s="68">
        <v>10.031421688429599</v>
      </c>
      <c r="AB16" s="68">
        <f>_xll.TR($D16,AB$6,"Curn=#2 Scale=6 Period=FY1:FY3 Transpose=Y Null=BLANK",,$Q16,$H$5)</f>
        <v>11.0622619900064</v>
      </c>
      <c r="AC16" s="68">
        <v>11.0323268187138</v>
      </c>
      <c r="AD16" s="68">
        <v>10.562153325061001</v>
      </c>
      <c r="AE16" s="68">
        <v>9.7061002634957099</v>
      </c>
      <c r="AF16" s="68">
        <f>_xll.TR($D16,AF$6,"Curn=#2 Scale=6 Transpose=Y Null=BLANK",,$Q16,$H$5)</f>
        <v>11.6212832227465</v>
      </c>
      <c r="AG16" s="68">
        <v>10.671342275941401</v>
      </c>
      <c r="AH16" s="68">
        <v>9.8416285784726796</v>
      </c>
      <c r="AI16" s="69">
        <v>10.6108947509</v>
      </c>
      <c r="AJ16" s="69">
        <v>13.378055269956899</v>
      </c>
      <c r="AK16" s="69">
        <v>12.1243333362429</v>
      </c>
      <c r="AL16" s="69">
        <v>11.0078328774804</v>
      </c>
      <c r="AM16" s="69"/>
      <c r="AN16" s="70">
        <v>2.84925652212626</v>
      </c>
      <c r="AO16" s="70">
        <v>0.54875474883917297</v>
      </c>
      <c r="AP16" s="70">
        <v>0.55908419497784301</v>
      </c>
      <c r="AQ16" s="70">
        <v>0.46893767623809202</v>
      </c>
      <c r="AR16" s="70">
        <v>0.230062225099955</v>
      </c>
      <c r="AS16" s="70"/>
      <c r="AT16" s="71">
        <f t="shared" si="1"/>
        <v>-2.290348163598499E-2</v>
      </c>
      <c r="AU16" s="67">
        <v>1405692.6</v>
      </c>
      <c r="AV16" s="67">
        <v>1154087.70058545</v>
      </c>
      <c r="AW16" s="67">
        <v>1214320.4971596</v>
      </c>
      <c r="AX16" s="67">
        <v>1311302.0976734001</v>
      </c>
      <c r="AY16" s="67">
        <v>527389.14899999998</v>
      </c>
      <c r="AZ16" s="67">
        <v>424034.89609499997</v>
      </c>
      <c r="BA16" s="67">
        <v>430627.30520800001</v>
      </c>
      <c r="BB16" s="67">
        <v>452520.18449095997</v>
      </c>
      <c r="BC16" s="70">
        <v>37.5180995475</v>
      </c>
      <c r="BD16" s="70">
        <v>36.741999406101797</v>
      </c>
      <c r="BE16" s="70">
        <v>35.4624093240025</v>
      </c>
      <c r="BF16" s="67">
        <v>520881.51878183999</v>
      </c>
      <c r="BG16" s="67">
        <v>403479.99836988002</v>
      </c>
      <c r="BH16" s="67">
        <v>452188.81910999998</v>
      </c>
      <c r="BI16" s="70">
        <v>40.238803549491401</v>
      </c>
      <c r="BJ16" s="70">
        <v>36.044416737801598</v>
      </c>
      <c r="BK16" s="70">
        <v>36.9464655013103</v>
      </c>
      <c r="BL16" s="67">
        <v>470716.20299999998</v>
      </c>
      <c r="BM16" s="67">
        <v>356714.90926629998</v>
      </c>
      <c r="BN16" s="67">
        <v>388468.93700580002</v>
      </c>
      <c r="BO16" s="67">
        <v>421219.41072108003</v>
      </c>
      <c r="BP16" s="72">
        <v>363.23096784000001</v>
      </c>
      <c r="BQ16" s="72">
        <v>268.66209830000003</v>
      </c>
      <c r="BR16" s="72">
        <v>296.44321880000001</v>
      </c>
      <c r="BS16" s="72">
        <v>326.37957716</v>
      </c>
      <c r="BT16" s="67">
        <v>71938.385999999999</v>
      </c>
      <c r="BU16" s="67">
        <v>49293.727055160001</v>
      </c>
      <c r="BV16" s="67">
        <v>54869.311587999997</v>
      </c>
      <c r="BW16" s="67">
        <v>60035.350879999998</v>
      </c>
      <c r="BX16" s="67">
        <v>289407.3</v>
      </c>
      <c r="BY16" s="67">
        <v>198766.01928844</v>
      </c>
      <c r="BZ16" s="67">
        <v>99031.257691720006</v>
      </c>
      <c r="CA16" s="67">
        <v>-117115.81011956</v>
      </c>
      <c r="CD16" s="93" t="s">
        <v>508</v>
      </c>
      <c r="CM16" s="23"/>
      <c r="CN16" s="25"/>
      <c r="CO16" s="25"/>
      <c r="CP16" s="25"/>
      <c r="CQ16" s="23"/>
      <c r="CR16" s="23"/>
      <c r="CS16" s="23"/>
      <c r="CT16" s="23"/>
    </row>
    <row r="17" spans="2:98">
      <c r="B17" s="23"/>
      <c r="C17" s="112"/>
      <c r="D17" s="41" t="str">
        <f t="shared" si="2"/>
        <v>AMAT.OQ</v>
      </c>
      <c r="E17" s="32" t="s">
        <v>515</v>
      </c>
      <c r="F17" s="66">
        <v>44864</v>
      </c>
      <c r="G17" s="32" t="s">
        <v>518</v>
      </c>
      <c r="H17" s="72">
        <v>4558.0064400000001</v>
      </c>
      <c r="I17" s="67">
        <v>3812926.6846940098</v>
      </c>
      <c r="J17" s="67">
        <v>180483.84</v>
      </c>
      <c r="K17" s="67">
        <v>204767.69</v>
      </c>
      <c r="L17" s="67"/>
      <c r="M17" s="67"/>
      <c r="N17" s="67">
        <v>0</v>
      </c>
      <c r="O17" s="67">
        <v>3634.7440000000001</v>
      </c>
      <c r="P17" s="67"/>
      <c r="Q17" s="67">
        <f t="shared" si="0"/>
        <v>3792277.5786940097</v>
      </c>
      <c r="R17" s="67">
        <f>IF(D17="","",_xll.TR($D17,R$6,"Curn=#2 scale=6",,$F17,$H$5))</f>
        <v>2526484.4279999998</v>
      </c>
      <c r="S17" s="68">
        <v>3.0524211751018102</v>
      </c>
      <c r="T17" s="68">
        <f>_xll.TR(D17,T$6,"Curn=#2 Scale=6 Transpose=Y Null=BLANK",,$Q17,$H$5)</f>
        <v>4.4694898799724996</v>
      </c>
      <c r="U17" s="68">
        <v>4.5022826392469701</v>
      </c>
      <c r="V17" s="68">
        <v>4.1326383936695903</v>
      </c>
      <c r="W17" s="68">
        <v>9.4815901698590608</v>
      </c>
      <c r="X17" s="68">
        <f>_xll.TR($D17,X$6,"Curn=#2 Scale=6 Transpose=Y Null=BLANK",,$Q17,$H$5)</f>
        <v>14.4850724738609</v>
      </c>
      <c r="Y17" s="68">
        <v>14.9177626141106</v>
      </c>
      <c r="Z17" s="68">
        <v>13.2688575604737</v>
      </c>
      <c r="AA17" s="68">
        <v>10.4746712802768</v>
      </c>
      <c r="AB17" s="68">
        <f>_xll.TR($D17,AB$6,"Curn=#2 Scale=6 Period=FY1:FY3 Transpose=Y Null=BLANK",,$Q17,$H$5)</f>
        <v>16.541068654658101</v>
      </c>
      <c r="AC17" s="68">
        <v>16.928668783211201</v>
      </c>
      <c r="AD17" s="68">
        <v>15.3134357503847</v>
      </c>
      <c r="AE17" s="68">
        <v>10.0173959526537</v>
      </c>
      <c r="AF17" s="68">
        <f>_xll.TR($D17,AF$6,"Curn=#2 Scale=6 Transpose=Y Null=BLANK",,$Q17,$H$5)</f>
        <v>15.469856034580999</v>
      </c>
      <c r="AG17" s="68">
        <v>16.051728468806601</v>
      </c>
      <c r="AH17" s="68">
        <v>14.1305506270498</v>
      </c>
      <c r="AI17" s="69">
        <v>12.0589128699</v>
      </c>
      <c r="AJ17" s="69">
        <v>17.988587912296499</v>
      </c>
      <c r="AK17" s="69">
        <v>18.267691445868898</v>
      </c>
      <c r="AL17" s="69">
        <v>15.9870106943634</v>
      </c>
      <c r="AM17" s="69">
        <v>3.6425946865872798</v>
      </c>
      <c r="AN17" s="70">
        <v>0.90523338048090496</v>
      </c>
      <c r="AO17" s="70">
        <v>0.34646428141187802</v>
      </c>
      <c r="AP17" s="70" t="s">
        <v>516</v>
      </c>
      <c r="AQ17" s="70"/>
      <c r="AR17" s="70"/>
      <c r="AS17" s="70"/>
      <c r="AT17" s="71">
        <f t="shared" si="1"/>
        <v>3.4983710882040997E-2</v>
      </c>
      <c r="AU17" s="67">
        <v>827698.5</v>
      </c>
      <c r="AV17" s="67">
        <v>848481.07514169998</v>
      </c>
      <c r="AW17" s="67">
        <v>842301.09092580003</v>
      </c>
      <c r="AX17" s="67">
        <v>917640.79443849996</v>
      </c>
      <c r="AY17" s="67">
        <v>266462.09999999998</v>
      </c>
      <c r="AZ17" s="67">
        <v>261805.90987979999</v>
      </c>
      <c r="BA17" s="67">
        <v>254212.22181849999</v>
      </c>
      <c r="BB17" s="67">
        <v>285802.870474</v>
      </c>
      <c r="BC17" s="70">
        <v>32.193135543899999</v>
      </c>
      <c r="BD17" s="70">
        <v>30.855833742205402</v>
      </c>
      <c r="BE17" s="70">
        <v>30.180682959710701</v>
      </c>
      <c r="BF17" s="67">
        <v>242085.550836137</v>
      </c>
      <c r="BG17" s="67">
        <v>242590.64592432699</v>
      </c>
      <c r="BH17" s="67">
        <v>254244.5133778</v>
      </c>
      <c r="BI17" s="70">
        <v>31.169146724506099</v>
      </c>
      <c r="BJ17" s="70">
        <v>30.167049113414802</v>
      </c>
      <c r="BK17" s="70">
        <v>29.807768168956802</v>
      </c>
      <c r="BL17" s="67">
        <v>252209.7</v>
      </c>
      <c r="BM17" s="67">
        <v>245139.81062375999</v>
      </c>
      <c r="BN17" s="67">
        <v>236253.5340704</v>
      </c>
      <c r="BO17" s="67">
        <v>268374.36691494001</v>
      </c>
      <c r="BP17" s="72">
        <v>238.82849400000001</v>
      </c>
      <c r="BQ17" s="72">
        <v>254.01553820000001</v>
      </c>
      <c r="BR17" s="72">
        <v>250.8506022</v>
      </c>
      <c r="BS17" s="72">
        <v>286.6365381</v>
      </c>
      <c r="BT17" s="67">
        <v>25262.7</v>
      </c>
      <c r="BU17" s="67">
        <v>32541.54626046</v>
      </c>
      <c r="BV17" s="67">
        <v>30197.113054900001</v>
      </c>
      <c r="BW17" s="67">
        <v>38159.0601293</v>
      </c>
      <c r="BX17" s="67">
        <v>92319.6</v>
      </c>
      <c r="BY17" s="67">
        <v>-11264.505861600001</v>
      </c>
      <c r="BZ17" s="67">
        <v>-49620.104215200001</v>
      </c>
      <c r="CA17" s="67">
        <v>-99623.694306000005</v>
      </c>
      <c r="CD17" s="93" t="s">
        <v>509</v>
      </c>
      <c r="CM17" s="23"/>
      <c r="CN17" s="25"/>
      <c r="CO17" s="25"/>
      <c r="CP17" s="25"/>
      <c r="CQ17" s="23"/>
      <c r="CR17" s="23"/>
      <c r="CS17" s="23"/>
      <c r="CT17" s="23"/>
    </row>
    <row r="18" spans="2:98">
      <c r="B18" s="23"/>
      <c r="C18" s="112"/>
      <c r="D18" s="41" t="str">
        <f t="shared" si="2"/>
        <v>LRCX.OQ</v>
      </c>
      <c r="E18" s="32" t="s">
        <v>586</v>
      </c>
      <c r="F18" s="66">
        <v>45102</v>
      </c>
      <c r="G18" s="32" t="s">
        <v>518</v>
      </c>
      <c r="H18" s="72">
        <v>20572.58034</v>
      </c>
      <c r="I18" s="67">
        <v>2720155.1649895599</v>
      </c>
      <c r="J18" s="67">
        <v>155302.64404899999</v>
      </c>
      <c r="K18" s="67">
        <v>166556.48533299999</v>
      </c>
      <c r="L18" s="67"/>
      <c r="M18" s="67"/>
      <c r="N18" s="67">
        <v>0</v>
      </c>
      <c r="O18" s="67"/>
      <c r="P18" s="67"/>
      <c r="Q18" s="67">
        <f t="shared" si="0"/>
        <v>2708901.3237055601</v>
      </c>
      <c r="R18" s="67">
        <f>IF(D18="","",_xll.TR($D18,R$6,"Curn=#2 scale=6",,$F18,$H$5))</f>
        <v>2503375.8873370802</v>
      </c>
      <c r="S18" s="68">
        <v>4.6350891676606301</v>
      </c>
      <c r="T18" s="68">
        <f>_xll.TR(D18,T$6,"Curn=#2 Scale=6 Transpose=Y Null=BLANK",,$Q18,$H$5)</f>
        <v>5.7443823369729499</v>
      </c>
      <c r="U18" s="68">
        <v>4.8439234722400801</v>
      </c>
      <c r="V18" s="68">
        <v>4.2716337582829604</v>
      </c>
      <c r="W18" s="68">
        <v>14.3292555495167</v>
      </c>
      <c r="X18" s="68">
        <f>_xll.TR($D18,X$6,"Curn=#2 Scale=6 Transpose=Y Null=BLANK",,$Q18,$H$5)</f>
        <v>18.41278829609</v>
      </c>
      <c r="Y18" s="68">
        <v>14.5049286165697</v>
      </c>
      <c r="Z18" s="68">
        <v>12.2208761321504</v>
      </c>
      <c r="AA18" s="68">
        <v>15.7286013582449</v>
      </c>
      <c r="AB18" s="68">
        <f>_xll.TR($D18,AB$6,"Curn=#2 Scale=6 Period=FY1:FY3 Transpose=Y Null=BLANK",,$Q18,$H$5)</f>
        <v>20.317389814372898</v>
      </c>
      <c r="AC18" s="68">
        <v>15.935862990442301</v>
      </c>
      <c r="AD18" s="68">
        <v>13.312626419175499</v>
      </c>
      <c r="AE18" s="68">
        <v>15.2559094768521</v>
      </c>
      <c r="AF18" s="68">
        <f>_xll.TR($D18,AF$6,"Curn=#2 Scale=6 Transpose=Y Null=BLANK",,$Q18,$H$5)</f>
        <v>19.936666853821801</v>
      </c>
      <c r="AG18" s="68">
        <v>15.5672656094163</v>
      </c>
      <c r="AH18" s="68">
        <v>13.094779588784901</v>
      </c>
      <c r="AI18" s="69">
        <v>18.331098004899999</v>
      </c>
      <c r="AJ18" s="69">
        <v>23.300355389148901</v>
      </c>
      <c r="AK18" s="69">
        <v>18.0052607582506</v>
      </c>
      <c r="AL18" s="69">
        <v>14.8745147523626</v>
      </c>
      <c r="AM18" s="69">
        <v>3.8064168464871702</v>
      </c>
      <c r="AN18" s="70">
        <v>1.2610738043444001</v>
      </c>
      <c r="AO18" s="70"/>
      <c r="AP18" s="70" t="s">
        <v>516</v>
      </c>
      <c r="AQ18" s="70"/>
      <c r="AR18" s="70"/>
      <c r="AS18" s="70"/>
      <c r="AT18" s="71">
        <f t="shared" si="1"/>
        <v>5.4978805222670735E-2</v>
      </c>
      <c r="AU18" s="67">
        <v>540092.28232400003</v>
      </c>
      <c r="AV18" s="67">
        <v>471573.99434749997</v>
      </c>
      <c r="AW18" s="67">
        <v>559237.01917049999</v>
      </c>
      <c r="AX18" s="67">
        <v>634160.48214640003</v>
      </c>
      <c r="AY18" s="67">
        <v>174703.83431199999</v>
      </c>
      <c r="AZ18" s="67">
        <v>147120.64681050001</v>
      </c>
      <c r="BA18" s="67">
        <v>186757.30128109999</v>
      </c>
      <c r="BB18" s="67">
        <v>221661.79367280001</v>
      </c>
      <c r="BC18" s="70">
        <v>32.347034021699997</v>
      </c>
      <c r="BD18" s="70">
        <v>31.197786259198899</v>
      </c>
      <c r="BE18" s="70">
        <v>33.395017654251802</v>
      </c>
      <c r="BF18" s="67">
        <v>179728.29296573001</v>
      </c>
      <c r="BG18" s="67">
        <v>127937.89923487999</v>
      </c>
      <c r="BH18" s="67">
        <v>156595.29636519999</v>
      </c>
      <c r="BI18" s="70">
        <v>32.011191868785403</v>
      </c>
      <c r="BJ18" s="70">
        <v>29.425093759020601</v>
      </c>
      <c r="BK18" s="70">
        <v>31.344249666243002</v>
      </c>
      <c r="BL18" s="67">
        <v>164092.209064</v>
      </c>
      <c r="BM18" s="67">
        <v>135875.33681370001</v>
      </c>
      <c r="BN18" s="67">
        <v>174012.66167559999</v>
      </c>
      <c r="BO18" s="67">
        <v>206868.7987712</v>
      </c>
      <c r="BP18" s="72">
        <v>1029.1180394600001</v>
      </c>
      <c r="BQ18" s="72">
        <v>887.66705720000004</v>
      </c>
      <c r="BR18" s="72">
        <v>1148.7174875000001</v>
      </c>
      <c r="BS18" s="72">
        <v>1384.0248736000001</v>
      </c>
      <c r="BT18" s="67">
        <v>15543.090752</v>
      </c>
      <c r="BU18" s="67">
        <v>13791.447122199999</v>
      </c>
      <c r="BV18" s="67">
        <v>16769.561970700001</v>
      </c>
      <c r="BW18" s="67">
        <v>18178.180566700001</v>
      </c>
      <c r="BX18" s="67">
        <v>-11253.841284</v>
      </c>
      <c r="BY18" s="67">
        <v>-22754.682000000001</v>
      </c>
      <c r="BZ18" s="67">
        <v>-36812.391234399998</v>
      </c>
      <c r="CA18" s="67">
        <v>-83772.728106399998</v>
      </c>
      <c r="CD18" s="93" t="s">
        <v>585</v>
      </c>
      <c r="CM18" s="23"/>
      <c r="CN18" s="25"/>
      <c r="CO18" s="25"/>
      <c r="CP18" s="25"/>
      <c r="CQ18" s="23"/>
      <c r="CR18" s="23"/>
      <c r="CS18" s="23"/>
      <c r="CT18" s="23"/>
    </row>
    <row r="19" spans="2:98">
      <c r="B19" s="23"/>
      <c r="C19" s="112"/>
      <c r="D19" s="41" t="str">
        <f t="shared" si="2"/>
        <v>MU.OQ</v>
      </c>
      <c r="E19" s="32" t="s">
        <v>588</v>
      </c>
      <c r="F19" s="66">
        <v>45169</v>
      </c>
      <c r="G19" s="32" t="s">
        <v>517</v>
      </c>
      <c r="H19" s="79">
        <v>2250.7921799999999</v>
      </c>
      <c r="I19" s="40">
        <v>2471447.4006972401</v>
      </c>
      <c r="J19" s="40">
        <v>424480.52</v>
      </c>
      <c r="K19" s="40">
        <v>305511.33600000001</v>
      </c>
      <c r="L19" s="40">
        <v>6941.9920000000002</v>
      </c>
      <c r="M19" s="40"/>
      <c r="N19" s="67"/>
      <c r="O19" s="40"/>
      <c r="P19" s="40"/>
      <c r="Q19" s="40">
        <f t="shared" si="0"/>
        <v>2583474.5926972399</v>
      </c>
      <c r="R19" s="67">
        <f>IF(D19="","",_xll.TR($D19,R$6,"Curn=#2 scale=6",,$F19,$H$5))</f>
        <v>2557459.14928</v>
      </c>
      <c r="S19" s="68">
        <v>5.1680900900900903</v>
      </c>
      <c r="T19" s="68">
        <f>_xll.TR(D19,T$6,"Curn=#2 Scale=6 Transpose=Y Null=BLANK",,$Q19,$H$5)</f>
        <v>3.8324171867289998</v>
      </c>
      <c r="U19" s="68">
        <v>2.63462821387323</v>
      </c>
      <c r="V19" s="68">
        <v>2.42478034988646</v>
      </c>
      <c r="W19" s="68">
        <v>34.963918154114097</v>
      </c>
      <c r="X19" s="68">
        <f>_xll.TR($D19,X$6,"Curn=#2 Scale=6 Transpose=Y Null=BLANK",,$Q19,$H$5)</f>
        <v>14.4805920686672</v>
      </c>
      <c r="Y19" s="68">
        <v>6.2015505854525603</v>
      </c>
      <c r="Z19" s="68">
        <v>4.7768792186500697</v>
      </c>
      <c r="AA19" s="68">
        <v>-14.930678564789</v>
      </c>
      <c r="AB19" s="68">
        <f>_xll.TR($D19,AB$6,"Curn=#2 Scale=6 Period=FY1:FY3 Transpose=Y Null=BLANK",,$Q19,$H$5)</f>
        <v>-40.795179674233701</v>
      </c>
      <c r="AC19" s="68">
        <v>20.505979983354699</v>
      </c>
      <c r="AD19" s="68">
        <v>11.788445869117201</v>
      </c>
      <c r="AE19" s="68">
        <v>-14.711873969591499</v>
      </c>
      <c r="AF19" s="68">
        <f>_xll.TR($D19,AF$6,"Curn=#2 Scale=6 Transpose=Y Null=BLANK",,$Q19,$H$5)</f>
        <v>-46.104199394540998</v>
      </c>
      <c r="AG19" s="68">
        <v>12.4612209650826</v>
      </c>
      <c r="AH19" s="68">
        <v>9.0977153144385596</v>
      </c>
      <c r="AI19" s="69"/>
      <c r="AJ19" s="69"/>
      <c r="AK19" s="69">
        <v>13.1289105304297</v>
      </c>
      <c r="AL19" s="69">
        <v>9.0632491121991805</v>
      </c>
      <c r="AM19" s="69"/>
      <c r="AN19" s="70">
        <v>0.665991023599247</v>
      </c>
      <c r="AO19" s="70">
        <v>1.6264693077927701</v>
      </c>
      <c r="AP19" s="70">
        <v>1.6110392410521801</v>
      </c>
      <c r="AQ19" s="70">
        <v>1.2118754225225099</v>
      </c>
      <c r="AR19" s="70">
        <v>0.25426785729814999</v>
      </c>
      <c r="AS19" s="70"/>
      <c r="AT19" s="71">
        <f t="shared" si="1"/>
        <v>0.29127195995329846</v>
      </c>
      <c r="AU19" s="40">
        <v>494855.76</v>
      </c>
      <c r="AV19" s="40">
        <v>674111.00274869998</v>
      </c>
      <c r="AW19" s="40">
        <v>980584.1215445</v>
      </c>
      <c r="AX19" s="40">
        <v>1065446.8528740001</v>
      </c>
      <c r="AY19" s="40">
        <v>73145.668000000005</v>
      </c>
      <c r="AZ19" s="40">
        <v>178409.45870489001</v>
      </c>
      <c r="BA19" s="40">
        <v>416585.26478159998</v>
      </c>
      <c r="BB19" s="40">
        <v>540828.95431199996</v>
      </c>
      <c r="BC19" s="80">
        <v>14.781209781199999</v>
      </c>
      <c r="BD19" s="80">
        <v>26.559004570326302</v>
      </c>
      <c r="BE19" s="80">
        <v>42.632851513599398</v>
      </c>
      <c r="BF19" s="40">
        <v>383533.22357865999</v>
      </c>
      <c r="BG19" s="40">
        <v>94625.887031206701</v>
      </c>
      <c r="BH19" s="40">
        <v>325182.57293781301</v>
      </c>
      <c r="BI19" s="80">
        <v>49.776813506329098</v>
      </c>
      <c r="BJ19" s="80">
        <v>18.6157082634858</v>
      </c>
      <c r="BK19" s="80">
        <v>40.980999781526599</v>
      </c>
      <c r="BL19" s="40">
        <v>-173836.39600000001</v>
      </c>
      <c r="BM19" s="40">
        <v>-56035.559159999997</v>
      </c>
      <c r="BN19" s="40">
        <v>207321.144528</v>
      </c>
      <c r="BO19" s="40">
        <v>283969.6015325</v>
      </c>
      <c r="BP19" s="79">
        <v>-169.94155635999999</v>
      </c>
      <c r="BQ19" s="79">
        <v>-52.407269200000002</v>
      </c>
      <c r="BR19" s="79">
        <v>172.3576602</v>
      </c>
      <c r="BS19" s="79">
        <v>248.79980039</v>
      </c>
      <c r="BT19" s="40">
        <v>244434.54399999999</v>
      </c>
      <c r="BU19" s="40">
        <v>241737.39630260001</v>
      </c>
      <c r="BV19" s="40">
        <v>290598.8649707</v>
      </c>
      <c r="BW19" s="40">
        <v>321675.84275000001</v>
      </c>
      <c r="BX19" s="40">
        <v>118969.18399999999</v>
      </c>
      <c r="BY19" s="40">
        <v>216210.03815000001</v>
      </c>
      <c r="BZ19" s="40">
        <v>105924.242658</v>
      </c>
      <c r="CA19" s="40">
        <v>-14995.213079609999</v>
      </c>
      <c r="CD19" s="93" t="s">
        <v>587</v>
      </c>
      <c r="CM19" s="23"/>
      <c r="CN19" s="25"/>
      <c r="CO19" s="25"/>
      <c r="CP19" s="25"/>
      <c r="CQ19" s="23"/>
      <c r="CR19" s="23"/>
      <c r="CS19" s="23"/>
      <c r="CT19" s="23"/>
    </row>
    <row r="20" spans="2:98">
      <c r="B20" s="23"/>
      <c r="C20" s="112"/>
      <c r="D20" s="41" t="str">
        <f t="shared" si="2"/>
        <v>KLAC.OQ</v>
      </c>
      <c r="E20" s="32" t="s">
        <v>592</v>
      </c>
      <c r="F20" s="66">
        <v>45107</v>
      </c>
      <c r="G20" s="32" t="s">
        <v>518</v>
      </c>
      <c r="H20" s="79">
        <v>15472.152539999999</v>
      </c>
      <c r="I20" s="40">
        <v>2109200.0390897398</v>
      </c>
      <c r="J20" s="40">
        <v>183372.720944</v>
      </c>
      <c r="K20" s="40">
        <v>100956.29651099999</v>
      </c>
      <c r="L20" s="40"/>
      <c r="M20" s="40">
        <v>0</v>
      </c>
      <c r="N20" s="67"/>
      <c r="O20" s="40">
        <v>1982.0456879999999</v>
      </c>
      <c r="P20" s="40"/>
      <c r="Q20" s="40">
        <f t="shared" si="0"/>
        <v>2193598.5092107398</v>
      </c>
      <c r="R20" s="67">
        <f>IF(D20="","",_xll.TR($D20,R$6,"Curn=#2 scale=6",,$F20,$H$5))</f>
        <v>2149075.6216859999</v>
      </c>
      <c r="S20" s="68">
        <v>6.5774929173396197</v>
      </c>
      <c r="T20" s="68">
        <f>_xll.TR(D20,T$6,"Curn=#2 Scale=6 Transpose=Y Null=BLANK",,$Q20,$H$5)</f>
        <v>7.0994487921661804</v>
      </c>
      <c r="U20" s="68">
        <v>6.4920014637877799</v>
      </c>
      <c r="V20" s="68">
        <v>5.8707250316465398</v>
      </c>
      <c r="W20" s="68">
        <v>15.1770443626553</v>
      </c>
      <c r="X20" s="68">
        <f>_xll.TR($D20,X$6,"Curn=#2 Scale=6 Transpose=Y Null=BLANK",,$Q20,$H$5)</f>
        <v>17.0135331413857</v>
      </c>
      <c r="Y20" s="68">
        <v>15.0408470866612</v>
      </c>
      <c r="Z20" s="68">
        <v>13.405045379392501</v>
      </c>
      <c r="AA20" s="68">
        <v>16.4092887609083</v>
      </c>
      <c r="AB20" s="68">
        <f>_xll.TR($D20,AB$6,"Curn=#2 Scale=6 Period=FY1:FY3 Transpose=Y Null=BLANK",,$Q20,$H$5)</f>
        <v>18.3533582780655</v>
      </c>
      <c r="AC20" s="68">
        <v>15.906117982509301</v>
      </c>
      <c r="AD20" s="68">
        <v>14.3505766000356</v>
      </c>
      <c r="AE20" s="68">
        <v>16.701143499802701</v>
      </c>
      <c r="AF20" s="68">
        <f>_xll.TR($D20,AF$6,"Curn=#2 Scale=6 Transpose=Y Null=BLANK",,$Q20,$H$5)</f>
        <v>18.653688986781201</v>
      </c>
      <c r="AG20" s="68">
        <v>16.350081074329498</v>
      </c>
      <c r="AH20" s="68">
        <v>14.431892624815699</v>
      </c>
      <c r="AI20" s="69">
        <v>20.080076872500001</v>
      </c>
      <c r="AJ20" s="69">
        <v>21.382946720074901</v>
      </c>
      <c r="AK20" s="69">
        <v>18.369194043666202</v>
      </c>
      <c r="AL20" s="69">
        <v>17.1654021632895</v>
      </c>
      <c r="AM20" s="69">
        <v>5.6305409157152004</v>
      </c>
      <c r="AN20" s="70">
        <v>1.0967224870291501</v>
      </c>
      <c r="AO20" s="70">
        <v>0.58203523282710801</v>
      </c>
      <c r="AP20" s="70">
        <v>0.58203523282710801</v>
      </c>
      <c r="AQ20" s="70">
        <v>0.41023380188340802</v>
      </c>
      <c r="AR20" s="70">
        <v>0.299975516136953</v>
      </c>
      <c r="AS20" s="70">
        <v>0.154663810133438</v>
      </c>
      <c r="AT20" s="71">
        <f t="shared" si="1"/>
        <v>4.5742354224807213E-2</v>
      </c>
      <c r="AU20" s="40">
        <v>326731.72722399997</v>
      </c>
      <c r="AV20" s="40">
        <v>308981.52426019998</v>
      </c>
      <c r="AW20" s="40">
        <v>337892.48530619999</v>
      </c>
      <c r="AX20" s="40">
        <v>373650.35790060001</v>
      </c>
      <c r="AY20" s="40">
        <v>141600.40455400001</v>
      </c>
      <c r="AZ20" s="40">
        <v>128932.5674439</v>
      </c>
      <c r="BA20" s="40">
        <v>145842.7505161</v>
      </c>
      <c r="BB20" s="40">
        <v>163639.76749999999</v>
      </c>
      <c r="BC20" s="80">
        <v>43.338431121200003</v>
      </c>
      <c r="BD20" s="80">
        <v>41.728244998663101</v>
      </c>
      <c r="BE20" s="80">
        <v>43.162472342034</v>
      </c>
      <c r="BF20" s="67">
        <v>135537.46853844999</v>
      </c>
      <c r="BG20" s="67">
        <v>121219.46236410001</v>
      </c>
      <c r="BH20" s="67">
        <v>134195.20141720001</v>
      </c>
      <c r="BI20" s="70">
        <v>44.334524354915096</v>
      </c>
      <c r="BJ20" s="70">
        <v>41.021084121413601</v>
      </c>
      <c r="BK20" s="70">
        <v>42.316348638445703</v>
      </c>
      <c r="BL20" s="67">
        <v>128678.351977</v>
      </c>
      <c r="BM20" s="67">
        <v>117595.9624268</v>
      </c>
      <c r="BN20" s="67">
        <v>134164.3811574</v>
      </c>
      <c r="BO20" s="67">
        <v>151996.59297900001</v>
      </c>
      <c r="BP20" s="72">
        <v>751.89889341000003</v>
      </c>
      <c r="BQ20" s="72">
        <v>727.45656169999995</v>
      </c>
      <c r="BR20" s="72">
        <v>846.80715239999995</v>
      </c>
      <c r="BS20" s="72">
        <v>906.19286120000004</v>
      </c>
      <c r="BT20" s="67">
        <v>10633.386238999999</v>
      </c>
      <c r="BU20" s="67">
        <v>9412.2880499999992</v>
      </c>
      <c r="BV20" s="67">
        <v>7933.6446222000004</v>
      </c>
      <c r="BW20" s="67">
        <v>10781.901900000001</v>
      </c>
      <c r="BX20" s="67">
        <v>82416.424432999993</v>
      </c>
      <c r="BY20" s="67">
        <v>52892.497329099999</v>
      </c>
      <c r="BZ20" s="67">
        <v>43749.254360899999</v>
      </c>
      <c r="CA20" s="67">
        <v>25309.149930899999</v>
      </c>
      <c r="CD20" s="93" t="s">
        <v>591</v>
      </c>
      <c r="CM20" s="23"/>
      <c r="CN20" s="25"/>
      <c r="CO20" s="25"/>
      <c r="CP20" s="25"/>
      <c r="CQ20" s="23"/>
      <c r="CR20" s="23"/>
      <c r="CS20" s="23"/>
      <c r="CT20" s="23"/>
    </row>
    <row r="21" spans="2:98">
      <c r="B21" s="23"/>
      <c r="C21" s="112"/>
      <c r="D21" s="41" t="str">
        <f t="shared" si="2"/>
        <v>000660.KS</v>
      </c>
      <c r="E21" s="32" t="s">
        <v>590</v>
      </c>
      <c r="F21" s="66">
        <v>44926</v>
      </c>
      <c r="G21" s="32" t="s">
        <v>517</v>
      </c>
      <c r="H21" s="79">
        <v>2855.0930201282099</v>
      </c>
      <c r="I21" s="40">
        <v>2074005.15772156</v>
      </c>
      <c r="J21" s="40">
        <v>776065.04113115999</v>
      </c>
      <c r="K21" s="40">
        <v>178231.18893400501</v>
      </c>
      <c r="L21" s="40">
        <v>33150.227455498003</v>
      </c>
      <c r="M21" s="40">
        <v>584.53715278569803</v>
      </c>
      <c r="N21" s="67"/>
      <c r="O21" s="40">
        <v>1765.9910060755401</v>
      </c>
      <c r="P21" s="40"/>
      <c r="Q21" s="40">
        <f t="shared" si="0"/>
        <v>2641039.3106220779</v>
      </c>
      <c r="R21" s="67">
        <f>IF(D21="","",_xll.TR($D21,R$6,"Curn=#2 scale=6",,$F21,$H$5))</f>
        <v>1673898.44944961</v>
      </c>
      <c r="S21" s="68">
        <v>1.54695236169199</v>
      </c>
      <c r="T21" s="68">
        <f>_xll.TR(D21,T$6,"Curn=#2 Scale=6 Transpose=Y Null=BLANK",,$Q21,$H$5)</f>
        <v>3.75855856409185</v>
      </c>
      <c r="U21" s="68">
        <v>2.46871325050894</v>
      </c>
      <c r="V21" s="68">
        <v>1.9898713989466501</v>
      </c>
      <c r="W21" s="68">
        <v>3.2931545311035699</v>
      </c>
      <c r="X21" s="68">
        <f>_xll.TR($D21,X$6,"Curn=#2 Scale=6 Transpose=Y Null=BLANK",,$Q21,$H$5)</f>
        <v>20.461102013528699</v>
      </c>
      <c r="Y21" s="68">
        <v>5.1095852134879198</v>
      </c>
      <c r="Z21" s="68">
        <v>3.4949133968116599</v>
      </c>
      <c r="AA21" s="68">
        <v>56.953098378307097</v>
      </c>
      <c r="AB21" s="68">
        <f>_xll.TR($D21,AB$6,"Curn=#2 Scale=6 Period=FY1:FY3 Transpose=Y Null=BLANK",,$Q21,$H$5)</f>
        <v>-24.404153033279801</v>
      </c>
      <c r="AC21" s="68">
        <v>12.530747528047099</v>
      </c>
      <c r="AD21" s="68">
        <v>6.9015264183369904</v>
      </c>
      <c r="AE21" s="68">
        <v>10.137055786126799</v>
      </c>
      <c r="AF21" s="68">
        <f>_xll.TR($D21,AF$6,"Curn=#2 Scale=6 Transpose=Y Null=BLANK",,$Q21,$H$5)</f>
        <v>-13.620249023090601</v>
      </c>
      <c r="AG21" s="68">
        <v>14.227445322469</v>
      </c>
      <c r="AH21" s="68">
        <v>7.3954490070597299</v>
      </c>
      <c r="AI21" s="69">
        <v>23.136877703700002</v>
      </c>
      <c r="AJ21" s="69"/>
      <c r="AK21" s="69">
        <v>14.810967902443201</v>
      </c>
      <c r="AL21" s="69">
        <v>7.3731766923470801</v>
      </c>
      <c r="AM21" s="69"/>
      <c r="AN21" s="70">
        <v>1.0067114093959699</v>
      </c>
      <c r="AO21" s="70">
        <v>0.89272548437478005</v>
      </c>
      <c r="AP21" s="70">
        <v>3.2379984079713799</v>
      </c>
      <c r="AQ21" s="70">
        <v>4.1296665652153202</v>
      </c>
      <c r="AR21" s="70">
        <v>0.74934465151479601</v>
      </c>
      <c r="AS21" s="70">
        <v>0.38053543315715899</v>
      </c>
      <c r="AT21" s="71">
        <f t="shared" si="1"/>
        <v>7.0448791400336885E-2</v>
      </c>
      <c r="AU21" s="40">
        <v>1082062.0536877799</v>
      </c>
      <c r="AV21" s="40">
        <v>702673.44929883</v>
      </c>
      <c r="AW21" s="40">
        <v>1069804.0001517499</v>
      </c>
      <c r="AX21" s="40">
        <v>1327241.20363765</v>
      </c>
      <c r="AY21" s="40">
        <v>508296.35646908602</v>
      </c>
      <c r="AZ21" s="40">
        <v>129076.102981934</v>
      </c>
      <c r="BA21" s="40">
        <v>516879.39436853898</v>
      </c>
      <c r="BB21" s="40">
        <v>755680.902717488</v>
      </c>
      <c r="BC21" s="80">
        <v>46.974788066599999</v>
      </c>
      <c r="BD21" s="80">
        <v>18.3692870579832</v>
      </c>
      <c r="BE21" s="80">
        <v>48.315335733949603</v>
      </c>
      <c r="BF21" s="67">
        <v>498948.43993914098</v>
      </c>
      <c r="BG21" s="67">
        <v>141665.277248678</v>
      </c>
      <c r="BH21" s="67">
        <v>514508.99234946899</v>
      </c>
      <c r="BI21" s="70">
        <v>46.673183512228398</v>
      </c>
      <c r="BJ21" s="70">
        <v>21.419426543175899</v>
      </c>
      <c r="BK21" s="70">
        <v>48.624958141810197</v>
      </c>
      <c r="BL21" s="67">
        <v>165126.688139612</v>
      </c>
      <c r="BM21" s="67">
        <v>-193905.36150585001</v>
      </c>
      <c r="BN21" s="67">
        <v>185629.90408764101</v>
      </c>
      <c r="BO21" s="67">
        <v>357116.83064827201</v>
      </c>
      <c r="BP21" s="72">
        <v>78.607476098237797</v>
      </c>
      <c r="BQ21" s="72">
        <v>-259.546592915811</v>
      </c>
      <c r="BR21" s="72">
        <v>192.768834483615</v>
      </c>
      <c r="BS21" s="72">
        <v>387.22699038144998</v>
      </c>
      <c r="BT21" s="67">
        <v>478905.53319322399</v>
      </c>
      <c r="BU21" s="67">
        <v>237296.99911467501</v>
      </c>
      <c r="BV21" s="67">
        <v>306114.689013911</v>
      </c>
      <c r="BW21" s="67">
        <v>373006.23764557298</v>
      </c>
      <c r="BX21" s="67">
        <v>453769.111034801</v>
      </c>
      <c r="BY21" s="67">
        <v>533041.26685278199</v>
      </c>
      <c r="BZ21" s="67">
        <v>387320.809648272</v>
      </c>
      <c r="CA21" s="67">
        <v>287563.35964419198</v>
      </c>
      <c r="CD21" s="93" t="s">
        <v>589</v>
      </c>
      <c r="CM21" s="23"/>
      <c r="CN21" s="25"/>
      <c r="CO21" s="25"/>
      <c r="CP21" s="25"/>
      <c r="CQ21" s="23"/>
      <c r="CR21" s="23"/>
      <c r="CS21" s="23"/>
      <c r="CT21" s="23"/>
    </row>
    <row r="22" spans="2:98">
      <c r="B22" s="23"/>
      <c r="C22" s="112"/>
      <c r="D22" s="41" t="str">
        <f t="shared" si="2"/>
        <v>ARM.OQ</v>
      </c>
      <c r="E22" s="32" t="s">
        <v>638</v>
      </c>
      <c r="F22" s="66">
        <v>45016</v>
      </c>
      <c r="G22" s="32" t="s">
        <v>517</v>
      </c>
      <c r="H22" s="79">
        <v>1752.9314400000001</v>
      </c>
      <c r="I22" s="40">
        <v>1797164.9119569601</v>
      </c>
      <c r="J22" s="40">
        <v>560.322</v>
      </c>
      <c r="K22" s="40">
        <v>63783.321000000004</v>
      </c>
      <c r="L22" s="40">
        <v>22630.782999999999</v>
      </c>
      <c r="M22" s="40"/>
      <c r="N22" s="67"/>
      <c r="O22" s="40"/>
      <c r="P22" s="40"/>
      <c r="Q22" s="40">
        <f t="shared" si="0"/>
        <v>1711311.12995696</v>
      </c>
      <c r="R22" s="67">
        <f>IF(D22="","",_xll.TR($D22,R$6,"Curn=#2 scale=6",,$F22,$H$5))</f>
        <v>-22076.805</v>
      </c>
      <c r="S22" s="68">
        <v>-0.26987681970884703</v>
      </c>
      <c r="T22" s="68">
        <f>_xll.TR(D22,T$6,"Curn=#2 Scale=6 Transpose=Y Null=BLANK",,$Q22,$H$5)</f>
        <v>18.049833515635498</v>
      </c>
      <c r="U22" s="68">
        <v>14.6370170689795</v>
      </c>
      <c r="V22" s="68">
        <v>12.317992735189399</v>
      </c>
      <c r="W22" s="68">
        <v>-0.85239330346616404</v>
      </c>
      <c r="X22" s="68">
        <f>_xll.TR($D22,X$6,"Curn=#2 Scale=6 Transpose=Y Null=BLANK",,$Q22,$H$5)</f>
        <v>45.741819518087901</v>
      </c>
      <c r="Y22" s="68">
        <v>33.416515778600299</v>
      </c>
      <c r="Z22" s="68">
        <v>27.5931552145293</v>
      </c>
      <c r="AA22" s="68">
        <v>-0.95736228813559299</v>
      </c>
      <c r="AB22" s="68">
        <f>_xll.TR($D22,AB$6,"Curn=#2 Scale=6 Period=FY1:FY3 Transpose=Y Null=BLANK",,$Q22,$H$5)</f>
        <v>50.753072784035602</v>
      </c>
      <c r="AC22" s="68">
        <v>36.204988131027399</v>
      </c>
      <c r="AD22" s="68">
        <v>29.181151187327199</v>
      </c>
      <c r="AE22" s="68">
        <v>-1.0663716814159301</v>
      </c>
      <c r="AF22" s="68">
        <f>_xll.TR($D22,AF$6,"Curn=#2 Scale=6 Transpose=Y Null=BLANK",,$Q22,$H$5)</f>
        <v>45.872918532572903</v>
      </c>
      <c r="AG22" s="68">
        <v>36.081994492196401</v>
      </c>
      <c r="AH22" s="68">
        <v>29.1337566144534</v>
      </c>
      <c r="AI22" s="69"/>
      <c r="AJ22" s="69">
        <v>55.935757761751297</v>
      </c>
      <c r="AK22" s="69">
        <v>41.940556088207103</v>
      </c>
      <c r="AL22" s="69">
        <v>33.698793918440003</v>
      </c>
      <c r="AM22" s="69">
        <v>1.6762722256284499</v>
      </c>
      <c r="AN22" s="70"/>
      <c r="AO22" s="70"/>
      <c r="AP22" s="70" t="s">
        <v>516</v>
      </c>
      <c r="AQ22" s="70"/>
      <c r="AR22" s="70"/>
      <c r="AS22" s="70"/>
      <c r="AT22" s="71">
        <f t="shared" si="1"/>
        <v>0.19308887953874598</v>
      </c>
      <c r="AU22" s="40">
        <v>81803.264999999999</v>
      </c>
      <c r="AV22" s="40">
        <v>94810.355368350007</v>
      </c>
      <c r="AW22" s="40">
        <v>116916.65876265</v>
      </c>
      <c r="AX22" s="40">
        <v>138927.75931488999</v>
      </c>
      <c r="AY22" s="40">
        <v>25899.787</v>
      </c>
      <c r="AZ22" s="40">
        <v>37412.397407589997</v>
      </c>
      <c r="BA22" s="40">
        <v>51211.536872819997</v>
      </c>
      <c r="BB22" s="40">
        <v>62019.407228060001</v>
      </c>
      <c r="BC22" s="80">
        <v>31.661067562500001</v>
      </c>
      <c r="BD22" s="80">
        <v>39.460243833321996</v>
      </c>
      <c r="BE22" s="80">
        <v>43.8017451189599</v>
      </c>
      <c r="BF22" s="67"/>
      <c r="BG22" s="67"/>
      <c r="BH22" s="67">
        <v>46813.008665529997</v>
      </c>
      <c r="BI22" s="70"/>
      <c r="BJ22" s="70"/>
      <c r="BK22" s="70">
        <v>44.774802044278999</v>
      </c>
      <c r="BL22" s="67">
        <v>20702.73</v>
      </c>
      <c r="BM22" s="67">
        <v>37305.477495220002</v>
      </c>
      <c r="BN22" s="67">
        <v>47428.396185999998</v>
      </c>
      <c r="BO22" s="67">
        <v>58739.803198189999</v>
      </c>
      <c r="BP22" s="72">
        <v>15.59391915</v>
      </c>
      <c r="BQ22" s="72">
        <v>31.392063149999998</v>
      </c>
      <c r="BR22" s="72">
        <v>41.867323749999997</v>
      </c>
      <c r="BS22" s="72">
        <v>52.106874929999996</v>
      </c>
      <c r="BT22" s="67">
        <v>2839.7550000000001</v>
      </c>
      <c r="BU22" s="67">
        <v>3694.0226160000002</v>
      </c>
      <c r="BV22" s="67">
        <v>3944.2618839800002</v>
      </c>
      <c r="BW22" s="67">
        <v>3375.0062936600002</v>
      </c>
      <c r="BX22" s="67">
        <v>-67115.929999999993</v>
      </c>
      <c r="BY22" s="67">
        <v>-69087.763691500004</v>
      </c>
      <c r="BZ22" s="67">
        <v>-93927.516975289996</v>
      </c>
      <c r="CA22" s="67">
        <v>-131789.99124420999</v>
      </c>
      <c r="CD22" s="93" t="s">
        <v>637</v>
      </c>
      <c r="CM22" s="23"/>
      <c r="CN22" s="25"/>
      <c r="CO22" s="25"/>
      <c r="CP22" s="25"/>
      <c r="CQ22" s="23"/>
      <c r="CR22" s="23"/>
      <c r="CS22" s="23"/>
      <c r="CT22" s="23"/>
    </row>
    <row r="23" spans="2:98">
      <c r="B23" s="23"/>
      <c r="C23" s="112"/>
      <c r="D23" s="41" t="str">
        <f t="shared" si="2"/>
        <v>2317.TW</v>
      </c>
      <c r="E23" s="32" t="s">
        <v>594</v>
      </c>
      <c r="F23" s="66">
        <v>44926</v>
      </c>
      <c r="G23" s="32" t="s">
        <v>621</v>
      </c>
      <c r="H23" s="79">
        <v>106</v>
      </c>
      <c r="I23" s="40">
        <v>1468469.25847856</v>
      </c>
      <c r="J23" s="40">
        <v>939330.06200000003</v>
      </c>
      <c r="K23" s="40">
        <v>1235034.0830000001</v>
      </c>
      <c r="L23" s="40">
        <v>202477.92800000001</v>
      </c>
      <c r="M23" s="40">
        <v>191592.95300000001</v>
      </c>
      <c r="N23" s="67"/>
      <c r="O23" s="40">
        <v>961.88300000000004</v>
      </c>
      <c r="P23" s="40"/>
      <c r="Q23" s="40">
        <f t="shared" si="0"/>
        <v>1162842.1454785599</v>
      </c>
      <c r="R23" s="67">
        <f>IF(D23="","",_xll.TR($D23,R$6,"Curn=#2 scale=6",,$F23,$H$5))</f>
        <v>1238779.510208</v>
      </c>
      <c r="S23" s="68">
        <v>0.186929246676935</v>
      </c>
      <c r="T23" s="68">
        <f>_xll.TR(D23,T$6,"Curn=#2 Scale=6 Transpose=Y Null=BLANK",,$Q23,$H$5)</f>
        <v>0.18719109246222301</v>
      </c>
      <c r="U23" s="68">
        <v>0.17480661745506301</v>
      </c>
      <c r="V23" s="68">
        <v>0.1667069403909</v>
      </c>
      <c r="W23" s="68">
        <v>5.0097018484864</v>
      </c>
      <c r="X23" s="68">
        <f>_xll.TR($D23,X$6,"Curn=#2 Scale=6 Transpose=Y Null=BLANK",,$Q23,$H$5)</f>
        <v>4.6882412571601897</v>
      </c>
      <c r="Y23" s="68">
        <v>4.1508441102391398</v>
      </c>
      <c r="Z23" s="68">
        <v>3.56497303865003</v>
      </c>
      <c r="AA23" s="68">
        <v>8.5071460227078202</v>
      </c>
      <c r="AB23" s="68">
        <f>_xll.TR($D23,AB$6,"Curn=#2 Scale=6 Period=FY1:FY3 Transpose=Y Null=BLANK",,$Q23,$H$5)</f>
        <v>7.6933283497643901</v>
      </c>
      <c r="AC23" s="68">
        <v>6.3391524007705202</v>
      </c>
      <c r="AD23" s="68">
        <v>5.2764028921196102</v>
      </c>
      <c r="AE23" s="68">
        <v>7.1281137733904298</v>
      </c>
      <c r="AF23" s="68">
        <f>_xll.TR($D23,AF$6,"Curn=#2 Scale=6 Transpose=Y Null=BLANK",,$Q23,$H$5)</f>
        <v>7.20771596716102</v>
      </c>
      <c r="AG23" s="68">
        <v>6.2694731583129899</v>
      </c>
      <c r="AH23" s="68">
        <v>5.3987859229448398</v>
      </c>
      <c r="AI23" s="69">
        <v>9.9342687522999995</v>
      </c>
      <c r="AJ23" s="69">
        <v>11.8708053221524</v>
      </c>
      <c r="AK23" s="69">
        <v>9.5977544876293095</v>
      </c>
      <c r="AL23" s="69">
        <v>8.1558851251274405</v>
      </c>
      <c r="AM23" s="69">
        <v>3.0455839045983999</v>
      </c>
      <c r="AN23" s="70">
        <v>5</v>
      </c>
      <c r="AO23" s="70"/>
      <c r="AP23" s="70" t="s">
        <v>516</v>
      </c>
      <c r="AQ23" s="70"/>
      <c r="AR23" s="70"/>
      <c r="AS23" s="70"/>
      <c r="AT23" s="71">
        <f t="shared" si="1"/>
        <v>1.7224414298487645E-2</v>
      </c>
      <c r="AU23" s="40">
        <v>6626996.75</v>
      </c>
      <c r="AV23" s="40">
        <v>6212059.1860600002</v>
      </c>
      <c r="AW23" s="40">
        <v>6652163.1869999999</v>
      </c>
      <c r="AX23" s="40">
        <v>6975367.3287500003</v>
      </c>
      <c r="AY23" s="40">
        <v>247276.095</v>
      </c>
      <c r="AZ23" s="40">
        <v>248033.76824999999</v>
      </c>
      <c r="BA23" s="40">
        <v>280145.94491999998</v>
      </c>
      <c r="BB23" s="40">
        <v>326185.39688000001</v>
      </c>
      <c r="BC23" s="80">
        <v>3.7313447452999999</v>
      </c>
      <c r="BD23" s="80">
        <v>3.99277857504309</v>
      </c>
      <c r="BE23" s="80">
        <v>4.2113510604712099</v>
      </c>
      <c r="BF23" s="67">
        <v>237418.56675</v>
      </c>
      <c r="BG23" s="67">
        <v>237107.15849999999</v>
      </c>
      <c r="BH23" s="67">
        <v>289082.50584</v>
      </c>
      <c r="BI23" s="70">
        <v>3.7851815046397901</v>
      </c>
      <c r="BJ23" s="70">
        <v>3.8103174538252298</v>
      </c>
      <c r="BK23" s="70">
        <v>4.3293948219485303</v>
      </c>
      <c r="BL23" s="67">
        <v>173787.842</v>
      </c>
      <c r="BM23" s="67">
        <v>161332.95912000001</v>
      </c>
      <c r="BN23" s="67">
        <v>185476.85206</v>
      </c>
      <c r="BO23" s="67">
        <v>215389.56388999999</v>
      </c>
      <c r="BP23" s="72">
        <v>10.056100000000001</v>
      </c>
      <c r="BQ23" s="72">
        <v>8.9294700000000002</v>
      </c>
      <c r="BR23" s="72">
        <v>11.04425</v>
      </c>
      <c r="BS23" s="72">
        <v>12.99675</v>
      </c>
      <c r="BT23" s="67">
        <v>101659.75</v>
      </c>
      <c r="BU23" s="67">
        <v>96884.344670000006</v>
      </c>
      <c r="BV23" s="67">
        <v>96707.833329999994</v>
      </c>
      <c r="BW23" s="67">
        <v>105800</v>
      </c>
      <c r="BX23" s="67">
        <v>-107561.323</v>
      </c>
      <c r="BY23" s="67">
        <v>-405267.78685999999</v>
      </c>
      <c r="BZ23" s="67">
        <v>-344288.91055999999</v>
      </c>
      <c r="CA23" s="67">
        <v>-497408.49429</v>
      </c>
      <c r="CD23" s="93" t="s">
        <v>593</v>
      </c>
      <c r="CM23" s="23"/>
      <c r="CN23" s="25"/>
      <c r="CO23" s="25"/>
      <c r="CP23" s="25"/>
      <c r="CQ23" s="23"/>
      <c r="CR23" s="23"/>
      <c r="CS23" s="23"/>
      <c r="CT23" s="23"/>
    </row>
    <row r="24" spans="2:98">
      <c r="B24" s="23"/>
      <c r="C24" s="112"/>
      <c r="D24" s="41" t="str">
        <f t="shared" si="2"/>
        <v>2454.TW</v>
      </c>
      <c r="E24" s="32" t="s">
        <v>596</v>
      </c>
      <c r="F24" s="66">
        <v>44926</v>
      </c>
      <c r="G24" s="32" t="s">
        <v>517</v>
      </c>
      <c r="H24" s="79">
        <v>814</v>
      </c>
      <c r="I24" s="40">
        <v>1301105.9110588001</v>
      </c>
      <c r="J24" s="40">
        <v>18809.413</v>
      </c>
      <c r="K24" s="40">
        <v>192365.53599999999</v>
      </c>
      <c r="L24" s="40">
        <v>17605.402999999998</v>
      </c>
      <c r="M24" s="40">
        <v>2597.8409999999999</v>
      </c>
      <c r="N24" s="67"/>
      <c r="O24" s="40">
        <v>755.005</v>
      </c>
      <c r="P24" s="40"/>
      <c r="Q24" s="40">
        <f t="shared" si="0"/>
        <v>1113297.2310587999</v>
      </c>
      <c r="R24" s="67">
        <f>IF(D24="","",_xll.TR($D24,R$6,"Curn=#2 scale=6",,$F24,$H$5))</f>
        <v>831626.86599999899</v>
      </c>
      <c r="S24" s="68">
        <v>1.5153660386355201</v>
      </c>
      <c r="T24" s="68">
        <f>_xll.TR(D24,T$6,"Curn=#2 Scale=6 Transpose=Y Null=BLANK",,$Q24,$H$5)</f>
        <v>2.6665580071766701</v>
      </c>
      <c r="U24" s="68">
        <v>2.2509063123007</v>
      </c>
      <c r="V24" s="68">
        <v>1.9525256280829</v>
      </c>
      <c r="W24" s="68">
        <v>5.8684555638472098</v>
      </c>
      <c r="X24" s="68">
        <f>_xll.TR($D24,X$6,"Curn=#2 Scale=6 Transpose=Y Null=BLANK",,$Q24,$H$5)</f>
        <v>14.449381510918901</v>
      </c>
      <c r="Y24" s="68">
        <v>10.6127308741563</v>
      </c>
      <c r="Z24" s="68">
        <v>9.1045943359419699</v>
      </c>
      <c r="AA24" s="68">
        <v>6.4925574477135202</v>
      </c>
      <c r="AB24" s="68">
        <f>_xll.TR($D24,AB$6,"Curn=#2 Scale=6 Period=FY1:FY3 Transpose=Y Null=BLANK",,$Q24,$H$5)</f>
        <v>16.4084333205702</v>
      </c>
      <c r="AC24" s="68">
        <v>11.8267121471597</v>
      </c>
      <c r="AD24" s="68">
        <v>10.153622092895301</v>
      </c>
      <c r="AE24" s="68">
        <v>6.55916885869068</v>
      </c>
      <c r="AF24" s="68">
        <f>_xll.TR($D24,AF$6,"Curn=#2 Scale=6 Transpose=Y Null=BLANK",,$Q24,$H$5)</f>
        <v>17.3812118624497</v>
      </c>
      <c r="AG24" s="68">
        <v>12.613804599613299</v>
      </c>
      <c r="AH24" s="68">
        <v>9.9219535071222698</v>
      </c>
      <c r="AI24" s="69">
        <v>8.4201756569999997</v>
      </c>
      <c r="AJ24" s="69">
        <v>19.3156470979071</v>
      </c>
      <c r="AK24" s="69">
        <v>15.2907984896298</v>
      </c>
      <c r="AL24" s="69">
        <v>12.9945512282245</v>
      </c>
      <c r="AM24" s="69"/>
      <c r="AN24" s="70">
        <v>9.33742089189189</v>
      </c>
      <c r="AO24" s="70"/>
      <c r="AP24" s="70" t="s">
        <v>516</v>
      </c>
      <c r="AQ24" s="70"/>
      <c r="AR24" s="70"/>
      <c r="AS24" s="70"/>
      <c r="AT24" s="71">
        <f t="shared" si="1"/>
        <v>1.2825145271974092E-2</v>
      </c>
      <c r="AU24" s="40">
        <v>548796.03</v>
      </c>
      <c r="AV24" s="40">
        <v>417503.47379000002</v>
      </c>
      <c r="AW24" s="40">
        <v>494599.54196</v>
      </c>
      <c r="AX24" s="40">
        <v>570183.15920999995</v>
      </c>
      <c r="AY24" s="40">
        <v>141711.36799999999</v>
      </c>
      <c r="AZ24" s="40">
        <v>77048.088889999999</v>
      </c>
      <c r="BA24" s="40">
        <v>104902.05059</v>
      </c>
      <c r="BB24" s="40">
        <v>122278.62</v>
      </c>
      <c r="BC24" s="80">
        <v>25.822229071199999</v>
      </c>
      <c r="BD24" s="80">
        <v>18.454478519801299</v>
      </c>
      <c r="BE24" s="80">
        <v>21.209492061859599</v>
      </c>
      <c r="BF24" s="67">
        <v>134849.41253999999</v>
      </c>
      <c r="BG24" s="67">
        <v>77703.661240000001</v>
      </c>
      <c r="BH24" s="67">
        <v>120044.0962</v>
      </c>
      <c r="BI24" s="70">
        <v>24.7429550494879</v>
      </c>
      <c r="BJ24" s="70">
        <v>18.605484574608901</v>
      </c>
      <c r="BK24" s="70">
        <v>24.491927891682199</v>
      </c>
      <c r="BL24" s="67">
        <v>126788.452</v>
      </c>
      <c r="BM24" s="67">
        <v>64051.761169999998</v>
      </c>
      <c r="BN24" s="67">
        <v>88260.224919999993</v>
      </c>
      <c r="BO24" s="67">
        <v>112205.44727</v>
      </c>
      <c r="BP24" s="72">
        <v>74.226479999999995</v>
      </c>
      <c r="BQ24" s="72">
        <v>42.142000000000003</v>
      </c>
      <c r="BR24" s="72">
        <v>53.234630000000003</v>
      </c>
      <c r="BS24" s="72">
        <v>62.641640000000002</v>
      </c>
      <c r="BT24" s="67">
        <v>13622.11</v>
      </c>
      <c r="BU24" s="67">
        <v>9199.0012100000004</v>
      </c>
      <c r="BV24" s="67">
        <v>10767.922930000001</v>
      </c>
      <c r="BW24" s="67">
        <v>12633.291380000001</v>
      </c>
      <c r="BX24" s="67">
        <v>-149061.73300000001</v>
      </c>
      <c r="BY24" s="67">
        <v>-109948.05567</v>
      </c>
      <c r="BZ24" s="67">
        <v>-112092.80349999999</v>
      </c>
      <c r="CA24" s="67">
        <v>-142184.6109</v>
      </c>
      <c r="CD24" s="93" t="s">
        <v>595</v>
      </c>
      <c r="CM24" s="23"/>
      <c r="CN24" s="25"/>
      <c r="CO24" s="25"/>
      <c r="CP24" s="25"/>
      <c r="CQ24" s="23"/>
      <c r="CR24" s="23"/>
      <c r="CS24" s="23"/>
      <c r="CT24" s="23"/>
    </row>
    <row r="25" spans="2:98">
      <c r="B25" s="23"/>
      <c r="C25" s="112"/>
      <c r="D25" s="41" t="str">
        <f t="shared" si="2"/>
        <v>1810.HK</v>
      </c>
      <c r="E25" s="32" t="s">
        <v>583</v>
      </c>
      <c r="F25" s="66">
        <v>44926</v>
      </c>
      <c r="G25" s="32" t="s">
        <v>519</v>
      </c>
      <c r="H25" s="79">
        <v>50.426287789656797</v>
      </c>
      <c r="I25" s="40">
        <v>1262065.60201834</v>
      </c>
      <c r="J25" s="40">
        <v>107083.81151462501</v>
      </c>
      <c r="K25" s="40">
        <v>383225.85082633502</v>
      </c>
      <c r="L25" s="40">
        <v>35273.244256202299</v>
      </c>
      <c r="M25" s="40">
        <v>1194.8860189207501</v>
      </c>
      <c r="N25" s="67"/>
      <c r="O25" s="40"/>
      <c r="P25" s="40"/>
      <c r="Q25" s="40">
        <f t="shared" si="0"/>
        <v>951845.20446934854</v>
      </c>
      <c r="R25" s="67">
        <f>IF(D25="","",_xll.TR($D25,R$6,"Curn=#2 scale=6",,$F25,$H$5))</f>
        <v>850756.61292307905</v>
      </c>
      <c r="S25" s="68">
        <v>0.68526252592068304</v>
      </c>
      <c r="T25" s="68">
        <f>_xll.TR(D25,T$6,"Curn=#2 Scale=6 Transpose=Y Null=BLANK",,$Q25,$H$5)</f>
        <v>0.79617124738789702</v>
      </c>
      <c r="U25" s="68">
        <v>0.70939071671909504</v>
      </c>
      <c r="V25" s="68">
        <v>0.63507650887110401</v>
      </c>
      <c r="W25" s="68">
        <v>19.761607871408899</v>
      </c>
      <c r="X25" s="68">
        <f>_xll.TR($D25,X$6,"Curn=#2 Scale=6 Transpose=Y Null=BLANK",,$Q25,$H$5)</f>
        <v>13.3212112810506</v>
      </c>
      <c r="Y25" s="68">
        <v>13.2316551994622</v>
      </c>
      <c r="Z25" s="68">
        <v>11.178045950218999</v>
      </c>
      <c r="AA25" s="68">
        <v>49.063106827473</v>
      </c>
      <c r="AB25" s="68">
        <f>_xll.TR($D25,AB$6,"Curn=#2 Scale=6 Period=FY1:FY3 Transpose=Y Null=BLANK",,$Q25,$H$5)</f>
        <v>21.2681777135084</v>
      </c>
      <c r="AC25" s="68">
        <v>21.433483318396299</v>
      </c>
      <c r="AD25" s="68">
        <v>16.5052600592294</v>
      </c>
      <c r="AE25" s="68">
        <v>31.5862269851057</v>
      </c>
      <c r="AF25" s="68">
        <f>_xll.TR($D25,AF$6,"Curn=#2 Scale=6 Transpose=Y Null=BLANK",,$Q25,$H$5)</f>
        <v>18.171304434731798</v>
      </c>
      <c r="AG25" s="68">
        <v>16.501425796397701</v>
      </c>
      <c r="AH25" s="68">
        <v>14.5242380051984</v>
      </c>
      <c r="AI25" s="69">
        <v>98.793428537799997</v>
      </c>
      <c r="AJ25" s="69">
        <v>20.587038602831001</v>
      </c>
      <c r="AK25" s="69">
        <v>20.263338791116698</v>
      </c>
      <c r="AL25" s="69">
        <v>17.735590945407701</v>
      </c>
      <c r="AM25" s="69">
        <v>0.71857127474931504</v>
      </c>
      <c r="AN25" s="70"/>
      <c r="AO25" s="70"/>
      <c r="AP25" s="70" t="s">
        <v>516</v>
      </c>
      <c r="AQ25" s="70"/>
      <c r="AR25" s="70"/>
      <c r="AS25" s="70"/>
      <c r="AT25" s="71">
        <f t="shared" si="1"/>
        <v>6.4790028847516501E-2</v>
      </c>
      <c r="AU25" s="40">
        <v>1241504.65076147</v>
      </c>
      <c r="AV25" s="40">
        <v>1195528.2328923501</v>
      </c>
      <c r="AW25" s="40">
        <v>1341778.48967575</v>
      </c>
      <c r="AX25" s="40">
        <v>1498788.2423195399</v>
      </c>
      <c r="AY25" s="40">
        <v>43050.981400858298</v>
      </c>
      <c r="AZ25" s="40">
        <v>71453.352430746905</v>
      </c>
      <c r="BA25" s="40">
        <v>71936.971612443507</v>
      </c>
      <c r="BB25" s="40">
        <v>85153.094620326097</v>
      </c>
      <c r="BC25" s="80">
        <v>3.4676456004</v>
      </c>
      <c r="BD25" s="80">
        <v>5.9990456418935203</v>
      </c>
      <c r="BE25" s="80">
        <v>5.3813435504432796</v>
      </c>
      <c r="BF25" s="40">
        <v>47391.183435665604</v>
      </c>
      <c r="BG25" s="40">
        <v>65660.200092414001</v>
      </c>
      <c r="BH25" s="40">
        <v>78460.722408524103</v>
      </c>
      <c r="BI25" s="80">
        <v>3.8257269940301701</v>
      </c>
      <c r="BJ25" s="80">
        <v>5.5303180551168003</v>
      </c>
      <c r="BK25" s="80">
        <v>5.8360797078592297</v>
      </c>
      <c r="BL25" s="40">
        <v>26934.4171218755</v>
      </c>
      <c r="BM25" s="40">
        <v>52381.776326967301</v>
      </c>
      <c r="BN25" s="40">
        <v>57682.603686109403</v>
      </c>
      <c r="BO25" s="40">
        <v>65534.949518775</v>
      </c>
      <c r="BP25" s="79">
        <v>0.433571681261961</v>
      </c>
      <c r="BQ25" s="79">
        <v>2.4555316771718299</v>
      </c>
      <c r="BR25" s="79">
        <v>2.48513226805537</v>
      </c>
      <c r="BS25" s="79">
        <v>2.85032089339545</v>
      </c>
      <c r="BT25" s="40">
        <v>25710.9336962825</v>
      </c>
      <c r="BU25" s="40">
        <v>26698.920843277599</v>
      </c>
      <c r="BV25" s="40">
        <v>27527.708296275701</v>
      </c>
      <c r="BW25" s="40">
        <v>27483.890920800201</v>
      </c>
      <c r="BX25" s="40">
        <v>-184958.91731267801</v>
      </c>
      <c r="BY25" s="40">
        <v>-189862.161274579</v>
      </c>
      <c r="BZ25" s="40">
        <v>-240620.12509051699</v>
      </c>
      <c r="CA25" s="40">
        <v>-255029.93643052899</v>
      </c>
      <c r="CD25" s="93" t="s">
        <v>582</v>
      </c>
      <c r="CM25" s="23"/>
      <c r="CN25" s="25"/>
      <c r="CO25" s="25"/>
      <c r="CP25" s="25"/>
      <c r="CQ25" s="23"/>
      <c r="CR25" s="23"/>
      <c r="CS25" s="23"/>
      <c r="CT25" s="23"/>
    </row>
    <row r="26" spans="2:98">
      <c r="B26" s="23"/>
      <c r="C26" s="112"/>
      <c r="D26" s="41" t="str">
        <f t="shared" si="2"/>
        <v>GFS.OQ</v>
      </c>
      <c r="E26" s="32" t="s">
        <v>598</v>
      </c>
      <c r="F26" s="66">
        <v>44926</v>
      </c>
      <c r="G26" s="32" t="s">
        <v>518</v>
      </c>
      <c r="H26" s="79">
        <v>1834.6793399999999</v>
      </c>
      <c r="I26" s="40">
        <v>1013977.73487582</v>
      </c>
      <c r="J26" s="40">
        <v>86632.006999999998</v>
      </c>
      <c r="K26" s="40">
        <v>88188.456999999995</v>
      </c>
      <c r="L26" s="40"/>
      <c r="M26" s="40">
        <v>1400.8050000000001</v>
      </c>
      <c r="N26" s="67"/>
      <c r="O26" s="40"/>
      <c r="P26" s="40"/>
      <c r="Q26" s="40">
        <f t="shared" si="0"/>
        <v>1013822.0898758201</v>
      </c>
      <c r="R26" s="67">
        <f>IF(D26="","",_xll.TR($D26,R$6,"Curn=#2 scale=6",,$F26,$H$5))</f>
        <v>898001.12630220503</v>
      </c>
      <c r="S26" s="68">
        <v>3.6221653195732602</v>
      </c>
      <c r="T26" s="68">
        <f>_xll.TR(D26,T$6,"Curn=#2 Scale=6 Transpose=Y Null=BLANK",,$Q26,$H$5)</f>
        <v>4.2799537838548103</v>
      </c>
      <c r="U26" s="68">
        <v>3.8557833315211698</v>
      </c>
      <c r="V26" s="68">
        <v>3.4948540846707199</v>
      </c>
      <c r="W26" s="68">
        <v>9.5975543827124206</v>
      </c>
      <c r="X26" s="68">
        <f>_xll.TR($D26,X$6,"Curn=#2 Scale=6 Transpose=Y Null=BLANK",,$Q26,$H$5)</f>
        <v>11.842467939285999</v>
      </c>
      <c r="Y26" s="68">
        <v>9.8188034906817894</v>
      </c>
      <c r="Z26" s="68">
        <v>8.8158639774752992</v>
      </c>
      <c r="AA26" s="68">
        <v>29368.516411095399</v>
      </c>
      <c r="AB26" s="68">
        <f>_xll.TR($D26,AB$6,"Curn=#2 Scale=6 Period=FY1:FY3 Transpose=Y Null=BLANK",,$Q26,$H$5)</f>
        <v>60.828250331912002</v>
      </c>
      <c r="AC26" s="68">
        <v>18.0419873963267</v>
      </c>
      <c r="AD26" s="68">
        <v>16.8437944449215</v>
      </c>
      <c r="AE26" s="68">
        <v>23.289862340285499</v>
      </c>
      <c r="AF26" s="68">
        <f>_xll.TR($D26,AF$6,"Curn=#2 Scale=6 Transpose=Y Null=BLANK",,$Q26,$H$5)</f>
        <v>25.631838250055502</v>
      </c>
      <c r="AG26" s="68">
        <v>20.0171464895699</v>
      </c>
      <c r="AH26" s="68">
        <v>16.333882245602201</v>
      </c>
      <c r="AI26" s="69">
        <v>20.543689172299999</v>
      </c>
      <c r="AJ26" s="69">
        <v>27.500144155918999</v>
      </c>
      <c r="AK26" s="69">
        <v>21.2327852309154</v>
      </c>
      <c r="AL26" s="69">
        <v>16.960403991310901</v>
      </c>
      <c r="AM26" s="69"/>
      <c r="AN26" s="70"/>
      <c r="AO26" s="70"/>
      <c r="AP26" s="70" t="s">
        <v>516</v>
      </c>
      <c r="AQ26" s="70"/>
      <c r="AR26" s="70"/>
      <c r="AS26" s="70"/>
      <c r="AT26" s="71">
        <f t="shared" si="1"/>
        <v>5.3759159924587463E-2</v>
      </c>
      <c r="AU26" s="40">
        <v>247918.31599999999</v>
      </c>
      <c r="AV26" s="40">
        <v>236876.87789999999</v>
      </c>
      <c r="AW26" s="40">
        <v>262935.44079299999</v>
      </c>
      <c r="AX26" s="40">
        <v>290089.96236</v>
      </c>
      <c r="AY26" s="40">
        <v>93565.62</v>
      </c>
      <c r="AZ26" s="40">
        <v>85609.021284539995</v>
      </c>
      <c r="BA26" s="40">
        <v>103253.11947000001</v>
      </c>
      <c r="BB26" s="40">
        <v>114999.74278938</v>
      </c>
      <c r="BC26" s="80">
        <v>37.740503206699998</v>
      </c>
      <c r="BD26" s="80">
        <v>36.140725107277298</v>
      </c>
      <c r="BE26" s="80">
        <v>39.269380787387902</v>
      </c>
      <c r="BF26" s="40">
        <v>87828.669211219996</v>
      </c>
      <c r="BG26" s="40">
        <v>85994.934688819994</v>
      </c>
      <c r="BH26" s="40">
        <v>99901.042180000004</v>
      </c>
      <c r="BI26" s="80">
        <v>36.877803041628603</v>
      </c>
      <c r="BJ26" s="80">
        <v>37.224451500955901</v>
      </c>
      <c r="BK26" s="80">
        <v>38.480968735626597</v>
      </c>
      <c r="BL26" s="40">
        <v>38557.597000000002</v>
      </c>
      <c r="BM26" s="40">
        <v>39553.233755039997</v>
      </c>
      <c r="BN26" s="40">
        <v>50647.682995379997</v>
      </c>
      <c r="BO26" s="40">
        <v>62068.654263060002</v>
      </c>
      <c r="BP26" s="79">
        <v>80.209280629999995</v>
      </c>
      <c r="BQ26" s="79">
        <v>66.415587119999998</v>
      </c>
      <c r="BR26" s="79">
        <v>86.019719039999998</v>
      </c>
      <c r="BS26" s="79">
        <v>107.68836761999999</v>
      </c>
      <c r="BT26" s="40">
        <v>93535.043000000005</v>
      </c>
      <c r="BU26" s="40">
        <v>68942.060056100003</v>
      </c>
      <c r="BV26" s="40">
        <v>47060.746223900001</v>
      </c>
      <c r="BW26" s="40">
        <v>54810.092934</v>
      </c>
      <c r="BX26" s="40">
        <v>-6023.6689999999999</v>
      </c>
      <c r="BY26" s="40">
        <v>-31429.8087705</v>
      </c>
      <c r="BZ26" s="40">
        <v>-86124.288452399996</v>
      </c>
      <c r="CA26" s="40">
        <v>-123927.64694999999</v>
      </c>
      <c r="CD26" s="93" t="s">
        <v>597</v>
      </c>
      <c r="CM26" s="23"/>
      <c r="CN26" s="25"/>
      <c r="CO26" s="25"/>
      <c r="CP26" s="25"/>
      <c r="CQ26" s="23"/>
      <c r="CR26" s="23"/>
      <c r="CS26" s="23"/>
      <c r="CT26" s="23"/>
    </row>
    <row r="27" spans="2:98">
      <c r="B27" s="23"/>
      <c r="C27" s="112"/>
      <c r="D27" s="41" t="str">
        <f t="shared" si="2"/>
        <v>0981.HK</v>
      </c>
      <c r="E27" s="32" t="s">
        <v>600</v>
      </c>
      <c r="F27" s="66">
        <v>44926</v>
      </c>
      <c r="G27" s="32" t="s">
        <v>517</v>
      </c>
      <c r="H27" s="79">
        <v>86.093662079901804</v>
      </c>
      <c r="I27" s="40">
        <v>984235.78454269795</v>
      </c>
      <c r="J27" s="40">
        <v>300747.19915100001</v>
      </c>
      <c r="K27" s="40">
        <v>378333.67907299998</v>
      </c>
      <c r="L27" s="40">
        <v>66865.278774000006</v>
      </c>
      <c r="M27" s="40">
        <v>318921.71015599999</v>
      </c>
      <c r="N27" s="67"/>
      <c r="O27" s="40"/>
      <c r="P27" s="40"/>
      <c r="Q27" s="40">
        <f t="shared" si="0"/>
        <v>1158705.7360026981</v>
      </c>
      <c r="R27" s="67">
        <f>IF(D27="","",_xll.TR($D27,R$6,"Curn=#2 scale=6",,$F27,$H$5))</f>
        <v>645009.24111265806</v>
      </c>
      <c r="S27" s="68">
        <v>2.9002839404540901</v>
      </c>
      <c r="T27" s="68">
        <f>_xll.TR(D27,T$6,"Curn=#2 Scale=6 Transpose=Y Null=BLANK",,$Q27,$H$5)</f>
        <v>5.6436757822975503</v>
      </c>
      <c r="U27" s="68">
        <v>4.7340558351512003</v>
      </c>
      <c r="V27" s="68">
        <v>4.0112459388548096</v>
      </c>
      <c r="W27" s="68">
        <v>5.1953941679330198</v>
      </c>
      <c r="X27" s="68">
        <f>_xll.TR($D27,X$6,"Curn=#2 Scale=6 Transpose=Y Null=BLANK",,$Q27,$H$5)</f>
        <v>11.2916593939322</v>
      </c>
      <c r="Y27" s="68">
        <v>9.3190691238523495</v>
      </c>
      <c r="Z27" s="68">
        <v>7.7087667093893399</v>
      </c>
      <c r="AA27" s="68">
        <v>-9.5871508220985007</v>
      </c>
      <c r="AB27" s="68">
        <f>_xll.TR($D27,AB$6,"Curn=#2 Scale=6 Period=FY1:FY3 Transpose=Y Null=BLANK",,$Q27,$H$5)</f>
        <v>-14.6448233230331</v>
      </c>
      <c r="AC27" s="68">
        <v>-22.449501620761399</v>
      </c>
      <c r="AD27" s="68">
        <v>-42.505208977369399</v>
      </c>
      <c r="AE27" s="68">
        <v>11.792018601265299</v>
      </c>
      <c r="AF27" s="68">
        <f>_xll.TR($D27,AF$6,"Curn=#2 Scale=6 Transpose=Y Null=BLANK",,$Q27,$H$5)</f>
        <v>78.1820161470568</v>
      </c>
      <c r="AG27" s="68">
        <v>51.442070190842202</v>
      </c>
      <c r="AH27" s="68">
        <v>35.683761154406199</v>
      </c>
      <c r="AI27" s="69">
        <v>9.3500835753999993</v>
      </c>
      <c r="AJ27" s="69">
        <v>23.032241540740301</v>
      </c>
      <c r="AK27" s="69">
        <v>23.0520117051529</v>
      </c>
      <c r="AL27" s="69">
        <v>17.2671469404637</v>
      </c>
      <c r="AM27" s="69"/>
      <c r="AN27" s="70"/>
      <c r="AO27" s="70"/>
      <c r="AP27" s="70" t="s">
        <v>516</v>
      </c>
      <c r="AQ27" s="70">
        <v>0.606778714373299</v>
      </c>
      <c r="AR27" s="70">
        <v>0.89414478010387</v>
      </c>
      <c r="AS27" s="70">
        <v>1.22737205449781</v>
      </c>
      <c r="AT27" s="71">
        <f t="shared" si="1"/>
        <v>9.1078879792804157E-2</v>
      </c>
      <c r="AU27" s="40">
        <v>222395.204868</v>
      </c>
      <c r="AV27" s="40">
        <v>205310.47152588001</v>
      </c>
      <c r="AW27" s="40">
        <v>244759.62606928</v>
      </c>
      <c r="AX27" s="40">
        <v>288864.29644687998</v>
      </c>
      <c r="AY27" s="40">
        <v>124150.203096</v>
      </c>
      <c r="AZ27" s="40">
        <v>102616.0722334</v>
      </c>
      <c r="BA27" s="40">
        <v>124337.06849936</v>
      </c>
      <c r="BB27" s="40">
        <v>150310.131268</v>
      </c>
      <c r="BC27" s="80">
        <v>55.824136662299999</v>
      </c>
      <c r="BD27" s="80">
        <v>50.195488519254297</v>
      </c>
      <c r="BE27" s="80">
        <v>51.017742915694299</v>
      </c>
      <c r="BF27" s="40">
        <v>123039.23705081</v>
      </c>
      <c r="BG27" s="40">
        <v>103075.97288884</v>
      </c>
      <c r="BH27" s="40">
        <v>123544.42705</v>
      </c>
      <c r="BI27" s="80">
        <v>55.8757441817516</v>
      </c>
      <c r="BJ27" s="80">
        <v>51.842545632917599</v>
      </c>
      <c r="BK27" s="80">
        <v>52.997434913575603</v>
      </c>
      <c r="BL27" s="40">
        <v>54698.797799</v>
      </c>
      <c r="BM27" s="40">
        <v>14820.61723534</v>
      </c>
      <c r="BN27" s="40">
        <v>22524.477178000001</v>
      </c>
      <c r="BO27" s="40">
        <v>32471.513610599999</v>
      </c>
      <c r="BP27" s="79">
        <v>7.0015214600000002</v>
      </c>
      <c r="BQ27" s="79">
        <v>3.7449588</v>
      </c>
      <c r="BR27" s="79">
        <v>3.7417470000000002</v>
      </c>
      <c r="BS27" s="79">
        <v>4.9953125399999996</v>
      </c>
      <c r="BT27" s="40">
        <v>191428.715042</v>
      </c>
      <c r="BU27" s="40">
        <v>181736.57170574999</v>
      </c>
      <c r="BV27" s="40">
        <v>175950.9419642</v>
      </c>
      <c r="BW27" s="40">
        <v>177570.45450555001</v>
      </c>
      <c r="BX27" s="40">
        <v>-114255.14954899999</v>
      </c>
      <c r="BY27" s="40">
        <v>62009.570763379998</v>
      </c>
      <c r="BZ27" s="40">
        <v>110718.82534308</v>
      </c>
      <c r="CA27" s="40">
        <v>183728.90432415999</v>
      </c>
      <c r="CD27" s="93" t="s">
        <v>599</v>
      </c>
      <c r="CM27" s="23"/>
      <c r="CN27" s="25"/>
      <c r="CO27" s="25"/>
      <c r="CP27" s="25"/>
      <c r="CQ27" s="23"/>
      <c r="CR27" s="23"/>
      <c r="CS27" s="23"/>
      <c r="CT27" s="23"/>
    </row>
    <row r="28" spans="2:98">
      <c r="B28" s="23"/>
      <c r="C28" s="112"/>
      <c r="D28" s="41" t="str">
        <f t="shared" si="2"/>
        <v>2303.TW</v>
      </c>
      <c r="E28" s="32" t="s">
        <v>602</v>
      </c>
      <c r="F28" s="66">
        <v>44926</v>
      </c>
      <c r="G28" s="32" t="s">
        <v>517</v>
      </c>
      <c r="H28" s="79">
        <v>46.9</v>
      </c>
      <c r="I28" s="40">
        <v>585995.08766384597</v>
      </c>
      <c r="J28" s="40">
        <v>53222.493000000002</v>
      </c>
      <c r="K28" s="40">
        <v>168229.614</v>
      </c>
      <c r="L28" s="40">
        <v>39937.752999999997</v>
      </c>
      <c r="M28" s="40">
        <v>342.84899999999999</v>
      </c>
      <c r="N28" s="67"/>
      <c r="O28" s="40">
        <v>2630.3420000000001</v>
      </c>
      <c r="P28" s="40"/>
      <c r="Q28" s="40">
        <f t="shared" si="0"/>
        <v>434023.40466384601</v>
      </c>
      <c r="R28" s="67">
        <f>IF(D28="","",_xll.TR($D28,R$6,"Curn=#2 scale=6",,$F28,$H$5))</f>
        <v>351671.63130000001</v>
      </c>
      <c r="S28" s="68">
        <v>1.2618047691413501</v>
      </c>
      <c r="T28" s="68">
        <f>_xll.TR(D28,T$6,"Curn=#2 Scale=6 Transpose=Y Null=BLANK",,$Q28,$H$5)</f>
        <v>1.9550877309324199</v>
      </c>
      <c r="U28" s="68">
        <v>1.70972251829837</v>
      </c>
      <c r="V28" s="68">
        <v>1.5029263456458899</v>
      </c>
      <c r="W28" s="68">
        <v>2.3789369834307101</v>
      </c>
      <c r="X28" s="68">
        <f>_xll.TR($D28,X$6,"Curn=#2 Scale=6 Transpose=Y Null=BLANK",,$Q28,$H$5)</f>
        <v>4.4086806490486996</v>
      </c>
      <c r="Y28" s="68">
        <v>3.86059375085991</v>
      </c>
      <c r="Z28" s="68">
        <v>3.36134134046313</v>
      </c>
      <c r="AA28" s="68">
        <v>5.4150452948799304</v>
      </c>
      <c r="AB28" s="68">
        <f>_xll.TR($D28,AB$6,"Curn=#2 Scale=6 Period=FY1:FY3 Transpose=Y Null=BLANK",,$Q28,$H$5)</f>
        <v>56.377011007957798</v>
      </c>
      <c r="AC28" s="68">
        <v>13.323613158031399</v>
      </c>
      <c r="AD28" s="68">
        <v>6.9966813983217602</v>
      </c>
      <c r="AE28" s="68">
        <v>3.3876716997894998</v>
      </c>
      <c r="AF28" s="68">
        <f>_xll.TR($D28,AF$6,"Curn=#2 Scale=6 Transpose=Y Null=BLANK",,$Q28,$H$5)</f>
        <v>7.5114386792532901</v>
      </c>
      <c r="AG28" s="68">
        <v>6.6091075857046198</v>
      </c>
      <c r="AH28" s="68">
        <v>6.0098513721708802</v>
      </c>
      <c r="AI28" s="69">
        <v>5.9276909094999999</v>
      </c>
      <c r="AJ28" s="69">
        <v>10.2971236115899</v>
      </c>
      <c r="AK28" s="69">
        <v>9.9608785962169897</v>
      </c>
      <c r="AL28" s="69">
        <v>8.9889793962625806</v>
      </c>
      <c r="AM28" s="69"/>
      <c r="AN28" s="70">
        <v>7.6768944136460604</v>
      </c>
      <c r="AO28" s="70"/>
      <c r="AP28" s="70" t="s">
        <v>516</v>
      </c>
      <c r="AQ28" s="70"/>
      <c r="AR28" s="70"/>
      <c r="AS28" s="70"/>
      <c r="AT28" s="71">
        <f t="shared" si="1"/>
        <v>1.1913586030267265E-2</v>
      </c>
      <c r="AU28" s="40">
        <v>278705.26400000002</v>
      </c>
      <c r="AV28" s="40">
        <v>221996.89446000001</v>
      </c>
      <c r="AW28" s="40">
        <v>253856.04975000001</v>
      </c>
      <c r="AX28" s="40">
        <v>288785.54556</v>
      </c>
      <c r="AY28" s="40">
        <v>147827.21599999999</v>
      </c>
      <c r="AZ28" s="40">
        <v>98447.458369999993</v>
      </c>
      <c r="BA28" s="40">
        <v>112424.00332</v>
      </c>
      <c r="BB28" s="40">
        <v>129122.08571</v>
      </c>
      <c r="BC28" s="80">
        <v>53.040697501899999</v>
      </c>
      <c r="BD28" s="80">
        <v>44.346322325575798</v>
      </c>
      <c r="BE28" s="80">
        <v>44.286517272570897</v>
      </c>
      <c r="BF28" s="40">
        <v>137815.02202999999</v>
      </c>
      <c r="BG28" s="40">
        <v>98187.69657</v>
      </c>
      <c r="BH28" s="40">
        <v>114594.87817</v>
      </c>
      <c r="BI28" s="80">
        <v>50.716154257837303</v>
      </c>
      <c r="BJ28" s="80">
        <v>44.186779264833497</v>
      </c>
      <c r="BK28" s="80">
        <v>45.037352896185403</v>
      </c>
      <c r="BL28" s="40">
        <v>103809.242</v>
      </c>
      <c r="BM28" s="40">
        <v>57781.661169999999</v>
      </c>
      <c r="BN28" s="40">
        <v>65670.500750000007</v>
      </c>
      <c r="BO28" s="40">
        <v>72218.658630000005</v>
      </c>
      <c r="BP28" s="79">
        <v>6.8660800000000002</v>
      </c>
      <c r="BQ28" s="79">
        <v>4.5546699999999998</v>
      </c>
      <c r="BR28" s="79">
        <v>4.7084200000000003</v>
      </c>
      <c r="BS28" s="79">
        <v>5.2175000000000002</v>
      </c>
      <c r="BT28" s="40">
        <v>82883.782999999996</v>
      </c>
      <c r="BU28" s="40">
        <v>90748.869940000004</v>
      </c>
      <c r="BV28" s="40">
        <v>79848.5</v>
      </c>
      <c r="BW28" s="40">
        <v>67089.333329999994</v>
      </c>
      <c r="BX28" s="40">
        <v>-125398.44500000001</v>
      </c>
      <c r="BY28" s="40">
        <v>-66935.238689999998</v>
      </c>
      <c r="BZ28" s="40">
        <v>-80082.933269999994</v>
      </c>
      <c r="CA28" s="40">
        <v>-74077.830900000001</v>
      </c>
      <c r="CD28" s="93" t="s">
        <v>601</v>
      </c>
      <c r="CM28" s="23"/>
      <c r="CN28" s="25"/>
      <c r="CO28" s="25"/>
      <c r="CP28" s="25"/>
      <c r="CQ28" s="23"/>
      <c r="CR28" s="23"/>
      <c r="CS28" s="23"/>
      <c r="CT28" s="23"/>
    </row>
    <row r="29" spans="2:98">
      <c r="B29" s="23"/>
      <c r="C29" s="112"/>
      <c r="D29" s="41" t="str">
        <f t="shared" si="2"/>
        <v>603501.SS</v>
      </c>
      <c r="E29" s="32" t="s">
        <v>640</v>
      </c>
      <c r="F29" s="66">
        <v>44926</v>
      </c>
      <c r="G29" s="32" t="s">
        <v>517</v>
      </c>
      <c r="H29" s="79">
        <v>445.74287867163503</v>
      </c>
      <c r="I29" s="40">
        <v>527427.19730169897</v>
      </c>
      <c r="J29" s="40">
        <v>57856.084526546998</v>
      </c>
      <c r="K29" s="40">
        <v>24994.322460015399</v>
      </c>
      <c r="L29" s="40">
        <v>2363.6196940438299</v>
      </c>
      <c r="M29" s="40">
        <v>243.932696061396</v>
      </c>
      <c r="N29" s="67"/>
      <c r="O29" s="40"/>
      <c r="P29" s="40"/>
      <c r="Q29" s="40">
        <f t="shared" si="0"/>
        <v>558169.27237024822</v>
      </c>
      <c r="R29" s="67">
        <f>IF(D29="","",_xll.TR($D29,R$6,"Curn=#2 scale=6",,$F29,$H$5))</f>
        <v>439576.47131452698</v>
      </c>
      <c r="S29" s="68">
        <v>4.93842034366895</v>
      </c>
      <c r="T29" s="68">
        <f>_xll.TR(D29,T$6,"Curn=#2 Scale=6 Transpose=Y Null=BLANK",,$Q29,$H$5)</f>
        <v>6.0232151786948904</v>
      </c>
      <c r="U29" s="68">
        <v>4.8683713963394304</v>
      </c>
      <c r="V29" s="68">
        <v>4.0841131919055202</v>
      </c>
      <c r="W29" s="68">
        <v>35.655743405163904</v>
      </c>
      <c r="X29" s="68">
        <f>_xll.TR($D29,X$6,"Curn=#2 Scale=6 Transpose=Y Null=BLANK",,$Q29,$H$5)</f>
        <v>42.8499512559263</v>
      </c>
      <c r="Y29" s="68">
        <v>24.8885039880665</v>
      </c>
      <c r="Z29" s="68">
        <v>19.133707649130201</v>
      </c>
      <c r="AA29" s="68">
        <v>190.11716939742601</v>
      </c>
      <c r="AB29" s="68">
        <f>_xll.TR($D29,AB$6,"Curn=#2 Scale=6 Period=FY1:FY3 Transpose=Y Null=BLANK",,$Q29,$H$5)</f>
        <v>95.859669513060297</v>
      </c>
      <c r="AC29" s="68">
        <v>37.922246381735</v>
      </c>
      <c r="AD29" s="68">
        <v>26.392883976732598</v>
      </c>
      <c r="AE29" s="68">
        <v>54.398359394042402</v>
      </c>
      <c r="AF29" s="68">
        <f>_xll.TR($D29,AF$6,"Curn=#2 Scale=6 Transpose=Y Null=BLANK",,$Q29,$H$5)</f>
        <v>67.343138363243199</v>
      </c>
      <c r="AG29" s="68">
        <v>31.157337229805201</v>
      </c>
      <c r="AH29" s="68">
        <v>22.7559327975599</v>
      </c>
      <c r="AI29" s="69">
        <v>91.773809523799997</v>
      </c>
      <c r="AJ29" s="69">
        <v>82.0479239425689</v>
      </c>
      <c r="AK29" s="69">
        <v>36.606479444248102</v>
      </c>
      <c r="AL29" s="69">
        <v>26.081325216059501</v>
      </c>
      <c r="AM29" s="69">
        <v>1.0296284801331399</v>
      </c>
      <c r="AN29" s="70">
        <v>8.2766775051728997E-2</v>
      </c>
      <c r="AO29" s="70">
        <v>3.15178942912436</v>
      </c>
      <c r="AP29" s="70" t="s">
        <v>516</v>
      </c>
      <c r="AQ29" s="70">
        <v>0.25856210048476502</v>
      </c>
      <c r="AR29" s="70"/>
      <c r="AS29" s="70"/>
      <c r="AT29" s="71">
        <f t="shared" si="1"/>
        <v>0.15364960847962239</v>
      </c>
      <c r="AU29" s="40">
        <v>89011.554449402596</v>
      </c>
      <c r="AV29" s="40">
        <v>92669.654961786102</v>
      </c>
      <c r="AW29" s="40">
        <v>114652.155090292</v>
      </c>
      <c r="AX29" s="40">
        <v>136668.41395985501</v>
      </c>
      <c r="AY29" s="40">
        <v>12328.3496383605</v>
      </c>
      <c r="AZ29" s="40">
        <v>13026.1355266548</v>
      </c>
      <c r="BA29" s="40">
        <v>22426.790804215401</v>
      </c>
      <c r="BB29" s="40">
        <v>29172.039345736601</v>
      </c>
      <c r="BC29" s="80">
        <v>13.8502801289</v>
      </c>
      <c r="BD29" s="80">
        <v>14.094465059000299</v>
      </c>
      <c r="BE29" s="80">
        <v>19.6135162901518</v>
      </c>
      <c r="BF29" s="40">
        <v>21893.782049046698</v>
      </c>
      <c r="BG29" s="40">
        <v>13161.966545782499</v>
      </c>
      <c r="BH29" s="40">
        <v>22426.790804215401</v>
      </c>
      <c r="BI29" s="80">
        <v>20.728509301269298</v>
      </c>
      <c r="BJ29" s="80">
        <v>13.839766496003</v>
      </c>
      <c r="BK29" s="80">
        <v>19.6135162901518</v>
      </c>
      <c r="BL29" s="40">
        <v>8080.6935394942902</v>
      </c>
      <c r="BM29" s="40">
        <v>8288.4357031228592</v>
      </c>
      <c r="BN29" s="40">
        <v>17914.537056019701</v>
      </c>
      <c r="BO29" s="40">
        <v>24528.516468026301</v>
      </c>
      <c r="BP29" s="79">
        <v>3.7239285507162299</v>
      </c>
      <c r="BQ29" s="79">
        <v>5.4415396904533599</v>
      </c>
      <c r="BR29" s="79">
        <v>12.196393683057099</v>
      </c>
      <c r="BS29" s="79">
        <v>17.118264925352701</v>
      </c>
      <c r="BT29" s="40">
        <v>10016.215112542801</v>
      </c>
      <c r="BU29" s="40">
        <v>7203.3606808245404</v>
      </c>
      <c r="BV29" s="40">
        <v>7708.00893798384</v>
      </c>
      <c r="BW29" s="40">
        <v>8023.5633829612398</v>
      </c>
      <c r="BX29" s="40">
        <v>38856.362068733702</v>
      </c>
      <c r="BY29" s="40">
        <v>3368.0649629710801</v>
      </c>
      <c r="BZ29" s="40">
        <v>-1615.61676031246</v>
      </c>
      <c r="CA29" s="40">
        <v>-7763.4651965191197</v>
      </c>
      <c r="CD29" s="93" t="s">
        <v>639</v>
      </c>
      <c r="CM29" s="23"/>
      <c r="CN29" s="25"/>
      <c r="CO29" s="25"/>
      <c r="CP29" s="25"/>
      <c r="CQ29" s="23"/>
      <c r="CR29" s="23"/>
      <c r="CS29" s="23"/>
      <c r="CT29" s="23"/>
    </row>
    <row r="30" spans="2:98">
      <c r="B30" s="23"/>
      <c r="C30" s="112"/>
      <c r="D30" s="41" t="str">
        <f t="shared" si="2"/>
        <v/>
      </c>
      <c r="E30" s="32"/>
      <c r="F30" s="66"/>
      <c r="G30" s="32"/>
      <c r="H30" s="79"/>
      <c r="I30" s="40"/>
      <c r="J30" s="40"/>
      <c r="K30" s="40"/>
      <c r="L30" s="40"/>
      <c r="M30" s="40"/>
      <c r="N30" s="67"/>
      <c r="O30" s="40"/>
      <c r="P30" s="40"/>
      <c r="Q30" s="40" t="str">
        <f t="shared" si="0"/>
        <v/>
      </c>
      <c r="R30" s="67" t="str">
        <f>IF(D30="","",_xll.TR($D30,R$6,"Curn=#2 scale=6",,$F30,$H$5))</f>
        <v/>
      </c>
      <c r="S30" s="68"/>
      <c r="T30" s="68" t="str">
        <f>_xll.TR(D30,T$6,"Curn=#2 Scale=6 Transpose=Y Null=BLANK",,$Q30,$H$5)</f>
        <v>No universe defined.</v>
      </c>
      <c r="U30" s="68"/>
      <c r="V30" s="68"/>
      <c r="W30" s="68"/>
      <c r="X30" s="68" t="str">
        <f>_xll.TR($D30,X$6,"Curn=#2 Scale=6 Transpose=Y Null=BLANK",,$Q30,$H$5)</f>
        <v>No universe defined.</v>
      </c>
      <c r="Y30" s="68"/>
      <c r="Z30" s="68"/>
      <c r="AA30" s="68"/>
      <c r="AB30" s="68" t="str">
        <f>_xll.TR($D30,AB$6,"Curn=#2 Scale=6 Period=FY1:FY3 Transpose=Y Null=BLANK",,$Q30,$H$5)</f>
        <v>No universe defined.</v>
      </c>
      <c r="AC30" s="68"/>
      <c r="AD30" s="68"/>
      <c r="AE30" s="68"/>
      <c r="AF30" s="68" t="str">
        <f>_xll.TR($D30,AF$6,"Curn=#2 Scale=6 Transpose=Y Null=BLANK",,$Q30,$H$5)</f>
        <v>No universe defined.</v>
      </c>
      <c r="AG30" s="68"/>
      <c r="AH30" s="68"/>
      <c r="AI30" s="69"/>
      <c r="AJ30" s="69"/>
      <c r="AK30" s="69"/>
      <c r="AL30" s="69"/>
      <c r="AM30" s="69"/>
      <c r="AN30" s="70"/>
      <c r="AO30" s="70"/>
      <c r="AP30" s="70"/>
      <c r="AQ30" s="70"/>
      <c r="AR30" s="70"/>
      <c r="AS30" s="70"/>
      <c r="AT30" s="71" t="str">
        <f t="shared" si="1"/>
        <v/>
      </c>
      <c r="AU30" s="40"/>
      <c r="AV30" s="40"/>
      <c r="AW30" s="40"/>
      <c r="AX30" s="40"/>
      <c r="AY30" s="40"/>
      <c r="AZ30" s="40"/>
      <c r="BA30" s="40"/>
      <c r="BB30" s="40"/>
      <c r="BC30" s="80"/>
      <c r="BD30" s="80"/>
      <c r="BE30" s="80"/>
      <c r="BF30" s="40"/>
      <c r="BG30" s="40"/>
      <c r="BH30" s="40"/>
      <c r="BI30" s="80"/>
      <c r="BJ30" s="80"/>
      <c r="BK30" s="80"/>
      <c r="BL30" s="40"/>
      <c r="BM30" s="40"/>
      <c r="BN30" s="40"/>
      <c r="BO30" s="40"/>
      <c r="BP30" s="79"/>
      <c r="BQ30" s="79"/>
      <c r="BR30" s="79"/>
      <c r="BS30" s="79"/>
      <c r="BT30" s="40"/>
      <c r="BU30" s="40"/>
      <c r="BV30" s="40"/>
      <c r="BW30" s="40"/>
      <c r="BX30" s="40"/>
      <c r="BY30" s="40"/>
      <c r="BZ30" s="40"/>
      <c r="CA30" s="40"/>
      <c r="CD30" s="93"/>
      <c r="CM30" s="23"/>
      <c r="CN30" s="25"/>
      <c r="CO30" s="25"/>
      <c r="CP30" s="25"/>
      <c r="CQ30" s="23"/>
      <c r="CR30" s="23"/>
      <c r="CS30" s="23"/>
      <c r="CT30" s="23"/>
    </row>
    <row r="31" spans="2:98">
      <c r="B31" s="23"/>
      <c r="C31" s="112"/>
      <c r="D31" s="41" t="str">
        <f t="shared" si="2"/>
        <v/>
      </c>
      <c r="E31" s="32"/>
      <c r="F31" s="66"/>
      <c r="G31" s="32"/>
      <c r="H31" s="79"/>
      <c r="I31" s="40"/>
      <c r="J31" s="40"/>
      <c r="K31" s="40"/>
      <c r="L31" s="40"/>
      <c r="M31" s="40"/>
      <c r="N31" s="67"/>
      <c r="O31" s="40"/>
      <c r="P31" s="40"/>
      <c r="Q31" s="40" t="str">
        <f t="shared" si="0"/>
        <v/>
      </c>
      <c r="R31" s="67" t="str">
        <f>IF(D31="","",_xll.TR($D31,R$6,"Curn=#2 scale=6",,$F31,$H$5))</f>
        <v/>
      </c>
      <c r="S31" s="68"/>
      <c r="T31" s="68" t="str">
        <f>_xll.TR(D31,T$6,"Curn=#2 Scale=6 Transpose=Y Null=BLANK",,$Q31,$H$5)</f>
        <v>No universe defined.</v>
      </c>
      <c r="U31" s="68"/>
      <c r="V31" s="68"/>
      <c r="W31" s="68"/>
      <c r="X31" s="68" t="str">
        <f>_xll.TR($D31,X$6,"Curn=#2 Scale=6 Transpose=Y Null=BLANK",,$Q31,$H$5)</f>
        <v>No universe defined.</v>
      </c>
      <c r="Y31" s="68"/>
      <c r="Z31" s="68"/>
      <c r="AA31" s="68"/>
      <c r="AB31" s="68" t="str">
        <f>_xll.TR($D31,AB$6,"Curn=#2 Scale=6 Period=FY1:FY3 Transpose=Y Null=BLANK",,$Q31,$H$5)</f>
        <v>No universe defined.</v>
      </c>
      <c r="AC31" s="68"/>
      <c r="AD31" s="68"/>
      <c r="AE31" s="68"/>
      <c r="AF31" s="68" t="str">
        <f>_xll.TR($D31,AF$6,"Curn=#2 Scale=6 Transpose=Y Null=BLANK",,$Q31,$H$5)</f>
        <v>No universe defined.</v>
      </c>
      <c r="AG31" s="68"/>
      <c r="AH31" s="68"/>
      <c r="AI31" s="69"/>
      <c r="AJ31" s="69"/>
      <c r="AK31" s="69"/>
      <c r="AL31" s="69"/>
      <c r="AM31" s="69"/>
      <c r="AN31" s="70"/>
      <c r="AO31" s="70"/>
      <c r="AP31" s="70"/>
      <c r="AQ31" s="70"/>
      <c r="AR31" s="70"/>
      <c r="AS31" s="70"/>
      <c r="AT31" s="71" t="str">
        <f t="shared" si="1"/>
        <v/>
      </c>
      <c r="AU31" s="40"/>
      <c r="AV31" s="40"/>
      <c r="AW31" s="40"/>
      <c r="AX31" s="40"/>
      <c r="AY31" s="40"/>
      <c r="AZ31" s="40"/>
      <c r="BA31" s="40"/>
      <c r="BB31" s="40"/>
      <c r="BC31" s="80"/>
      <c r="BD31" s="80"/>
      <c r="BE31" s="80"/>
      <c r="BF31" s="40"/>
      <c r="BG31" s="40"/>
      <c r="BH31" s="40"/>
      <c r="BI31" s="80"/>
      <c r="BJ31" s="80"/>
      <c r="BK31" s="80"/>
      <c r="BL31" s="40"/>
      <c r="BM31" s="40"/>
      <c r="BN31" s="40"/>
      <c r="BO31" s="40"/>
      <c r="BP31" s="79"/>
      <c r="BQ31" s="79"/>
      <c r="BR31" s="79"/>
      <c r="BS31" s="79"/>
      <c r="BT31" s="40"/>
      <c r="BU31" s="40"/>
      <c r="BV31" s="40"/>
      <c r="BW31" s="40"/>
      <c r="BX31" s="40"/>
      <c r="BY31" s="40"/>
      <c r="BZ31" s="40"/>
      <c r="CA31" s="40"/>
      <c r="CD31" s="93"/>
      <c r="CM31" s="23"/>
      <c r="CN31" s="25"/>
      <c r="CO31" s="25"/>
      <c r="CP31" s="25"/>
      <c r="CQ31" s="23"/>
      <c r="CR31" s="23"/>
      <c r="CS31" s="23"/>
      <c r="CT31" s="23"/>
    </row>
    <row r="32" spans="2:98">
      <c r="B32" s="23"/>
      <c r="C32" s="112"/>
      <c r="D32" s="41" t="str">
        <f t="shared" si="2"/>
        <v/>
      </c>
      <c r="E32" s="32"/>
      <c r="F32" s="66"/>
      <c r="G32" s="32"/>
      <c r="H32" s="79"/>
      <c r="I32" s="40"/>
      <c r="J32" s="40"/>
      <c r="K32" s="40"/>
      <c r="L32" s="40"/>
      <c r="M32" s="40"/>
      <c r="N32" s="67"/>
      <c r="O32" s="40"/>
      <c r="P32" s="40"/>
      <c r="Q32" s="40" t="str">
        <f t="shared" si="0"/>
        <v/>
      </c>
      <c r="R32" s="67" t="str">
        <f>IF(D32="","",_xll.TR($D32,R$6,"Curn=#2 scale=6",,$F32,$H$5))</f>
        <v/>
      </c>
      <c r="S32" s="68"/>
      <c r="T32" s="68" t="str">
        <f>_xll.TR(D32,T$6,"Curn=#2 Scale=6 Transpose=Y Null=BLANK",,$Q32,$H$5)</f>
        <v>No universe defined.</v>
      </c>
      <c r="U32" s="68"/>
      <c r="V32" s="68"/>
      <c r="W32" s="68"/>
      <c r="X32" s="68" t="str">
        <f>_xll.TR($D32,X$6,"Curn=#2 Scale=6 Transpose=Y Null=BLANK",,$Q32,$H$5)</f>
        <v>No universe defined.</v>
      </c>
      <c r="Y32" s="68"/>
      <c r="Z32" s="68"/>
      <c r="AA32" s="68"/>
      <c r="AB32" s="68" t="str">
        <f>_xll.TR($D32,AB$6,"Curn=#2 Scale=6 Period=FY1:FY3 Transpose=Y Null=BLANK",,$Q32,$H$5)</f>
        <v>No universe defined.</v>
      </c>
      <c r="AC32" s="68"/>
      <c r="AD32" s="68"/>
      <c r="AE32" s="68"/>
      <c r="AF32" s="68" t="str">
        <f>_xll.TR($D32,AF$6,"Curn=#2 Scale=6 Transpose=Y Null=BLANK",,$Q32,$H$5)</f>
        <v>No universe defined.</v>
      </c>
      <c r="AG32" s="68"/>
      <c r="AH32" s="68"/>
      <c r="AI32" s="69"/>
      <c r="AJ32" s="69"/>
      <c r="AK32" s="69"/>
      <c r="AL32" s="69"/>
      <c r="AM32" s="69"/>
      <c r="AN32" s="70"/>
      <c r="AO32" s="70"/>
      <c r="AP32" s="70"/>
      <c r="AQ32" s="70"/>
      <c r="AR32" s="70"/>
      <c r="AS32" s="70"/>
      <c r="AT32" s="71" t="str">
        <f t="shared" si="1"/>
        <v/>
      </c>
      <c r="AU32" s="40"/>
      <c r="AV32" s="40"/>
      <c r="AW32" s="40"/>
      <c r="AX32" s="40"/>
      <c r="AY32" s="40"/>
      <c r="AZ32" s="40"/>
      <c r="BA32" s="40"/>
      <c r="BB32" s="40"/>
      <c r="BC32" s="80"/>
      <c r="BD32" s="80"/>
      <c r="BE32" s="80"/>
      <c r="BF32" s="40"/>
      <c r="BG32" s="40"/>
      <c r="BH32" s="40"/>
      <c r="BI32" s="80"/>
      <c r="BJ32" s="80"/>
      <c r="BK32" s="80"/>
      <c r="BL32" s="40"/>
      <c r="BM32" s="40"/>
      <c r="BN32" s="40"/>
      <c r="BO32" s="40"/>
      <c r="BP32" s="79"/>
      <c r="BQ32" s="79"/>
      <c r="BR32" s="79"/>
      <c r="BS32" s="79"/>
      <c r="BT32" s="40"/>
      <c r="BU32" s="40"/>
      <c r="BV32" s="40"/>
      <c r="BW32" s="40"/>
      <c r="BX32" s="40"/>
      <c r="BY32" s="40"/>
      <c r="BZ32" s="40"/>
      <c r="CA32" s="40"/>
      <c r="CD32" s="93"/>
      <c r="CM32" s="23"/>
      <c r="CN32" s="25"/>
      <c r="CO32" s="25"/>
      <c r="CP32" s="25"/>
      <c r="CQ32" s="23"/>
      <c r="CR32" s="23"/>
      <c r="CS32" s="23"/>
      <c r="CT32" s="23"/>
    </row>
    <row r="33" spans="2:98">
      <c r="B33" s="23"/>
      <c r="C33" s="112"/>
      <c r="D33" s="41" t="str">
        <f t="shared" si="2"/>
        <v/>
      </c>
      <c r="E33" s="32"/>
      <c r="F33" s="66"/>
      <c r="G33" s="32"/>
      <c r="H33" s="79"/>
      <c r="I33" s="40"/>
      <c r="J33" s="40"/>
      <c r="K33" s="40"/>
      <c r="L33" s="40"/>
      <c r="M33" s="40"/>
      <c r="N33" s="67"/>
      <c r="O33" s="40"/>
      <c r="P33" s="40"/>
      <c r="Q33" s="40" t="str">
        <f t="shared" si="0"/>
        <v/>
      </c>
      <c r="R33" s="67" t="str">
        <f>IF(D33="","",_xll.TR($D33,R$6,"Curn=#2 scale=6",,$F33,$H$5))</f>
        <v/>
      </c>
      <c r="S33" s="68"/>
      <c r="T33" s="68" t="str">
        <f>_xll.TR(D33,T$6,"Curn=#2 Scale=6 Transpose=Y Null=BLANK",,$Q33,$H$5)</f>
        <v>No universe defined.</v>
      </c>
      <c r="U33" s="68"/>
      <c r="V33" s="68"/>
      <c r="W33" s="68"/>
      <c r="X33" s="68" t="str">
        <f>_xll.TR($D33,X$6,"Curn=#2 Scale=6 Transpose=Y Null=BLANK",,$Q33,$H$5)</f>
        <v>No universe defined.</v>
      </c>
      <c r="Y33" s="68"/>
      <c r="Z33" s="68"/>
      <c r="AA33" s="68"/>
      <c r="AB33" s="68" t="str">
        <f>_xll.TR($D33,AB$6,"Curn=#2 Scale=6 Period=FY1:FY3 Transpose=Y Null=BLANK",,$Q33,$H$5)</f>
        <v>No universe defined.</v>
      </c>
      <c r="AC33" s="68"/>
      <c r="AD33" s="68"/>
      <c r="AE33" s="68"/>
      <c r="AF33" s="68" t="str">
        <f>_xll.TR($D33,AF$6,"Curn=#2 Scale=6 Transpose=Y Null=BLANK",,$Q33,$H$5)</f>
        <v>No universe defined.</v>
      </c>
      <c r="AG33" s="68"/>
      <c r="AH33" s="68"/>
      <c r="AI33" s="69"/>
      <c r="AJ33" s="69"/>
      <c r="AK33" s="69"/>
      <c r="AL33" s="69"/>
      <c r="AM33" s="69"/>
      <c r="AN33" s="70"/>
      <c r="AO33" s="70"/>
      <c r="AP33" s="70"/>
      <c r="AQ33" s="70"/>
      <c r="AR33" s="70"/>
      <c r="AS33" s="70"/>
      <c r="AT33" s="71" t="str">
        <f t="shared" si="1"/>
        <v/>
      </c>
      <c r="AU33" s="40"/>
      <c r="AV33" s="40"/>
      <c r="AW33" s="40"/>
      <c r="AX33" s="40"/>
      <c r="AY33" s="40"/>
      <c r="AZ33" s="40"/>
      <c r="BA33" s="40"/>
      <c r="BB33" s="40"/>
      <c r="BC33" s="80"/>
      <c r="BD33" s="80"/>
      <c r="BE33" s="80"/>
      <c r="BF33" s="40"/>
      <c r="BG33" s="40"/>
      <c r="BH33" s="40"/>
      <c r="BI33" s="80"/>
      <c r="BJ33" s="80"/>
      <c r="BK33" s="80"/>
      <c r="BL33" s="40"/>
      <c r="BM33" s="40"/>
      <c r="BN33" s="40"/>
      <c r="BO33" s="40"/>
      <c r="BP33" s="79"/>
      <c r="BQ33" s="79"/>
      <c r="BR33" s="79"/>
      <c r="BS33" s="79"/>
      <c r="BT33" s="40"/>
      <c r="BU33" s="40"/>
      <c r="BV33" s="40"/>
      <c r="BW33" s="40"/>
      <c r="BX33" s="40"/>
      <c r="BY33" s="40"/>
      <c r="BZ33" s="40"/>
      <c r="CA33" s="40"/>
      <c r="CD33" s="93"/>
      <c r="CM33" s="23"/>
      <c r="CN33" s="25"/>
      <c r="CO33" s="25"/>
      <c r="CP33" s="25"/>
      <c r="CQ33" s="23"/>
      <c r="CR33" s="23"/>
      <c r="CS33" s="23"/>
      <c r="CT33" s="23"/>
    </row>
    <row r="34" spans="2:98">
      <c r="B34" s="23"/>
      <c r="C34" s="112"/>
      <c r="D34" s="41" t="str">
        <f t="shared" si="2"/>
        <v/>
      </c>
      <c r="E34" s="32"/>
      <c r="F34" s="66"/>
      <c r="G34" s="32"/>
      <c r="H34" s="79"/>
      <c r="I34" s="40"/>
      <c r="J34" s="40"/>
      <c r="K34" s="40"/>
      <c r="L34" s="40"/>
      <c r="M34" s="40"/>
      <c r="N34" s="67"/>
      <c r="O34" s="40"/>
      <c r="P34" s="40"/>
      <c r="Q34" s="40" t="str">
        <f t="shared" si="0"/>
        <v/>
      </c>
      <c r="R34" s="67" t="str">
        <f>IF(D34="","",_xll.TR($D34,R$6,"Curn=#2 scale=6",,$F34,$H$5))</f>
        <v/>
      </c>
      <c r="S34" s="68"/>
      <c r="T34" s="68" t="str">
        <f>_xll.TR(D34,T$6,"Curn=#2 Scale=6 Transpose=Y Null=BLANK",,$Q34,$H$5)</f>
        <v>No universe defined.</v>
      </c>
      <c r="U34" s="68"/>
      <c r="V34" s="68"/>
      <c r="W34" s="68"/>
      <c r="X34" s="68" t="str">
        <f>_xll.TR($D34,X$6,"Curn=#2 Scale=6 Transpose=Y Null=BLANK",,$Q34,$H$5)</f>
        <v>No universe defined.</v>
      </c>
      <c r="Y34" s="68"/>
      <c r="Z34" s="68"/>
      <c r="AA34" s="68"/>
      <c r="AB34" s="68" t="str">
        <f>_xll.TR($D34,AB$6,"Curn=#2 Scale=6 Period=FY1:FY3 Transpose=Y Null=BLANK",,$Q34,$H$5)</f>
        <v>No universe defined.</v>
      </c>
      <c r="AC34" s="68"/>
      <c r="AD34" s="68"/>
      <c r="AE34" s="68"/>
      <c r="AF34" s="68" t="str">
        <f>_xll.TR($D34,AF$6,"Curn=#2 Scale=6 Transpose=Y Null=BLANK",,$Q34,$H$5)</f>
        <v>No universe defined.</v>
      </c>
      <c r="AG34" s="68"/>
      <c r="AH34" s="68"/>
      <c r="AI34" s="69"/>
      <c r="AJ34" s="69"/>
      <c r="AK34" s="69"/>
      <c r="AL34" s="69"/>
      <c r="AM34" s="69"/>
      <c r="AN34" s="70"/>
      <c r="AO34" s="70"/>
      <c r="AP34" s="70"/>
      <c r="AQ34" s="70"/>
      <c r="AR34" s="70"/>
      <c r="AS34" s="70"/>
      <c r="AT34" s="71" t="str">
        <f t="shared" si="1"/>
        <v/>
      </c>
      <c r="AU34" s="40"/>
      <c r="AV34" s="40"/>
      <c r="AW34" s="40"/>
      <c r="AX34" s="40"/>
      <c r="AY34" s="40"/>
      <c r="AZ34" s="40"/>
      <c r="BA34" s="40"/>
      <c r="BB34" s="40"/>
      <c r="BC34" s="80"/>
      <c r="BD34" s="80"/>
      <c r="BE34" s="80"/>
      <c r="BF34" s="40"/>
      <c r="BG34" s="40"/>
      <c r="BH34" s="40"/>
      <c r="BI34" s="80"/>
      <c r="BJ34" s="80"/>
      <c r="BK34" s="80"/>
      <c r="BL34" s="40"/>
      <c r="BM34" s="40"/>
      <c r="BN34" s="40"/>
      <c r="BO34" s="40"/>
      <c r="BP34" s="79"/>
      <c r="BQ34" s="79"/>
      <c r="BR34" s="79"/>
      <c r="BS34" s="79"/>
      <c r="BT34" s="40"/>
      <c r="BU34" s="40"/>
      <c r="BV34" s="40"/>
      <c r="BW34" s="40"/>
      <c r="BX34" s="40"/>
      <c r="BY34" s="40"/>
      <c r="BZ34" s="40"/>
      <c r="CA34" s="40"/>
      <c r="CD34" s="93"/>
      <c r="CM34" s="23"/>
      <c r="CN34" s="25"/>
      <c r="CO34" s="25"/>
      <c r="CP34" s="25"/>
      <c r="CQ34" s="23"/>
      <c r="CR34" s="23"/>
      <c r="CS34" s="23"/>
      <c r="CT34" s="23"/>
    </row>
    <row r="35" spans="2:98">
      <c r="B35" s="23"/>
      <c r="C35" s="112"/>
      <c r="D35" s="41" t="str">
        <f t="shared" si="2"/>
        <v/>
      </c>
      <c r="E35" s="32"/>
      <c r="F35" s="66"/>
      <c r="G35" s="32"/>
      <c r="H35" s="79"/>
      <c r="I35" s="40"/>
      <c r="J35" s="40"/>
      <c r="K35" s="40"/>
      <c r="L35" s="40"/>
      <c r="M35" s="40"/>
      <c r="N35" s="67"/>
      <c r="O35" s="40"/>
      <c r="P35" s="40"/>
      <c r="Q35" s="40" t="str">
        <f t="shared" si="0"/>
        <v/>
      </c>
      <c r="R35" s="67" t="str">
        <f>IF(D35="","",_xll.TR($D35,R$6,"Curn=#2 scale=6",,$F35,$H$5))</f>
        <v/>
      </c>
      <c r="S35" s="68"/>
      <c r="T35" s="68" t="str">
        <f>_xll.TR(D35,T$6,"Curn=#2 Scale=6 Transpose=Y Null=BLANK",,$Q35,$H$5)</f>
        <v>No universe defined.</v>
      </c>
      <c r="U35" s="68"/>
      <c r="V35" s="68"/>
      <c r="W35" s="68"/>
      <c r="X35" s="68" t="str">
        <f>_xll.TR($D35,X$6,"Curn=#2 Scale=6 Transpose=Y Null=BLANK",,$Q35,$H$5)</f>
        <v>No universe defined.</v>
      </c>
      <c r="Y35" s="68"/>
      <c r="Z35" s="68"/>
      <c r="AA35" s="68"/>
      <c r="AB35" s="68" t="str">
        <f>_xll.TR($D35,AB$6,"Curn=#2 Scale=6 Period=FY1:FY3 Transpose=Y Null=BLANK",,$Q35,$H$5)</f>
        <v>No universe defined.</v>
      </c>
      <c r="AC35" s="68"/>
      <c r="AD35" s="68"/>
      <c r="AE35" s="68"/>
      <c r="AF35" s="68" t="str">
        <f>_xll.TR($D35,AF$6,"Curn=#2 Scale=6 Transpose=Y Null=BLANK",,$Q35,$H$5)</f>
        <v>No universe defined.</v>
      </c>
      <c r="AG35" s="68"/>
      <c r="AH35" s="68"/>
      <c r="AI35" s="69"/>
      <c r="AJ35" s="69"/>
      <c r="AK35" s="69"/>
      <c r="AL35" s="69"/>
      <c r="AM35" s="69"/>
      <c r="AN35" s="70"/>
      <c r="AO35" s="70"/>
      <c r="AP35" s="70"/>
      <c r="AQ35" s="70"/>
      <c r="AR35" s="70"/>
      <c r="AS35" s="70"/>
      <c r="AT35" s="71" t="str">
        <f t="shared" si="1"/>
        <v/>
      </c>
      <c r="AU35" s="40"/>
      <c r="AV35" s="40"/>
      <c r="AW35" s="40"/>
      <c r="AX35" s="40"/>
      <c r="AY35" s="40"/>
      <c r="AZ35" s="40"/>
      <c r="BA35" s="40"/>
      <c r="BB35" s="40"/>
      <c r="BC35" s="80"/>
      <c r="BD35" s="80"/>
      <c r="BE35" s="80"/>
      <c r="BF35" s="40"/>
      <c r="BG35" s="40"/>
      <c r="BH35" s="40"/>
      <c r="BI35" s="80"/>
      <c r="BJ35" s="80"/>
      <c r="BK35" s="80"/>
      <c r="BL35" s="40"/>
      <c r="BM35" s="40"/>
      <c r="BN35" s="40"/>
      <c r="BO35" s="40"/>
      <c r="BP35" s="79"/>
      <c r="BQ35" s="79"/>
      <c r="BR35" s="79"/>
      <c r="BS35" s="79"/>
      <c r="BT35" s="40"/>
      <c r="BU35" s="40"/>
      <c r="BV35" s="40"/>
      <c r="BW35" s="40"/>
      <c r="BX35" s="40"/>
      <c r="BY35" s="40"/>
      <c r="BZ35" s="40"/>
      <c r="CA35" s="40"/>
      <c r="CD35" s="93"/>
      <c r="CM35" s="23"/>
      <c r="CN35" s="25"/>
      <c r="CO35" s="25"/>
      <c r="CP35" s="25"/>
      <c r="CQ35" s="23"/>
      <c r="CR35" s="23"/>
      <c r="CS35" s="23"/>
      <c r="CT35" s="23"/>
    </row>
    <row r="36" spans="2:98">
      <c r="B36" s="23"/>
      <c r="C36" s="112"/>
      <c r="D36" s="32" t="str">
        <f t="shared" si="2"/>
        <v/>
      </c>
      <c r="E36" s="32"/>
      <c r="F36" s="66"/>
      <c r="G36" s="32"/>
      <c r="H36" s="79"/>
      <c r="I36" s="40"/>
      <c r="J36" s="40"/>
      <c r="K36" s="40"/>
      <c r="L36" s="40"/>
      <c r="M36" s="40"/>
      <c r="N36" s="67"/>
      <c r="O36" s="40"/>
      <c r="P36" s="40"/>
      <c r="Q36" s="40" t="str">
        <f t="shared" si="0"/>
        <v/>
      </c>
      <c r="R36" s="67" t="str">
        <f>IF(D36="","",_xll.TR($D36,R$6,"Curn=#2 scale=6",,$F36,$H$5))</f>
        <v/>
      </c>
      <c r="S36" s="68"/>
      <c r="T36" s="68" t="str">
        <f>_xll.TR(D36,T$6,"Curn=#2 Scale=6 Transpose=Y Null=BLANK",,$Q36,$H$5)</f>
        <v>No universe defined.</v>
      </c>
      <c r="U36" s="68"/>
      <c r="V36" s="68"/>
      <c r="W36" s="68"/>
      <c r="X36" s="68" t="str">
        <f>_xll.TR($D36,X$6,"Curn=#2 Scale=6 Transpose=Y Null=BLANK",,$Q36,$H$5)</f>
        <v>No universe defined.</v>
      </c>
      <c r="Y36" s="68"/>
      <c r="Z36" s="68"/>
      <c r="AA36" s="68"/>
      <c r="AB36" s="68" t="str">
        <f>_xll.TR($D36,AB$6,"Curn=#2 Scale=6 Period=FY1:FY3 Transpose=Y Null=BLANK",,$Q36,$H$5)</f>
        <v>No universe defined.</v>
      </c>
      <c r="AC36" s="68"/>
      <c r="AD36" s="68"/>
      <c r="AE36" s="68"/>
      <c r="AF36" s="68" t="str">
        <f>_xll.TR($D36,AF$6,"Curn=#2 Scale=6 Transpose=Y Null=BLANK",,$Q36,$H$5)</f>
        <v>No universe defined.</v>
      </c>
      <c r="AG36" s="68"/>
      <c r="AH36" s="68"/>
      <c r="AI36" s="69"/>
      <c r="AJ36" s="69"/>
      <c r="AK36" s="69"/>
      <c r="AL36" s="69"/>
      <c r="AM36" s="69"/>
      <c r="AN36" s="70"/>
      <c r="AO36" s="70"/>
      <c r="AP36" s="70"/>
      <c r="AQ36" s="70"/>
      <c r="AR36" s="70"/>
      <c r="AS36" s="70"/>
      <c r="AT36" s="71" t="str">
        <f t="shared" si="1"/>
        <v/>
      </c>
      <c r="AU36" s="40"/>
      <c r="AV36" s="40"/>
      <c r="AW36" s="40"/>
      <c r="AX36" s="40"/>
      <c r="AY36" s="40"/>
      <c r="AZ36" s="40"/>
      <c r="BA36" s="40"/>
      <c r="BB36" s="40"/>
      <c r="BC36" s="80"/>
      <c r="BD36" s="80"/>
      <c r="BE36" s="80"/>
      <c r="BF36" s="40"/>
      <c r="BG36" s="40"/>
      <c r="BH36" s="40"/>
      <c r="BI36" s="80"/>
      <c r="BJ36" s="80"/>
      <c r="BK36" s="80"/>
      <c r="BL36" s="40"/>
      <c r="BM36" s="40"/>
      <c r="BN36" s="40"/>
      <c r="BO36" s="40"/>
      <c r="BP36" s="79"/>
      <c r="BQ36" s="79"/>
      <c r="BR36" s="79"/>
      <c r="BS36" s="79"/>
      <c r="BT36" s="40"/>
      <c r="BU36" s="40"/>
      <c r="BV36" s="40"/>
      <c r="BW36" s="40"/>
      <c r="BX36" s="40"/>
      <c r="BY36" s="40"/>
      <c r="BZ36" s="40"/>
      <c r="CA36" s="40"/>
      <c r="CD36" s="93"/>
      <c r="CM36" s="23"/>
      <c r="CN36" s="25"/>
      <c r="CO36" s="25"/>
      <c r="CP36" s="25"/>
      <c r="CQ36" s="23"/>
      <c r="CR36" s="23"/>
      <c r="CS36" s="23"/>
      <c r="CT36" s="23"/>
    </row>
    <row r="37" spans="2:98">
      <c r="B37" s="23"/>
      <c r="C37" s="112"/>
      <c r="D37" s="32" t="str">
        <f t="shared" si="2"/>
        <v/>
      </c>
      <c r="E37" s="32"/>
      <c r="F37" s="66"/>
      <c r="G37" s="32"/>
      <c r="H37" s="79"/>
      <c r="I37" s="40"/>
      <c r="J37" s="40"/>
      <c r="K37" s="40"/>
      <c r="L37" s="40"/>
      <c r="M37" s="40"/>
      <c r="N37" s="67"/>
      <c r="O37" s="40"/>
      <c r="P37" s="40"/>
      <c r="Q37" s="40" t="str">
        <f t="shared" si="0"/>
        <v/>
      </c>
      <c r="R37" s="67" t="str">
        <f>IF(D37="","",_xll.TR($D37,R$6,"Curn=#2 scale=6",,$F37,$H$5))</f>
        <v/>
      </c>
      <c r="S37" s="68"/>
      <c r="T37" s="68" t="str">
        <f>_xll.TR(D37,T$6,"Curn=#2 Scale=6 Transpose=Y Null=BLANK",,$Q37,$H$5)</f>
        <v>No universe defined.</v>
      </c>
      <c r="U37" s="68"/>
      <c r="V37" s="68"/>
      <c r="W37" s="68"/>
      <c r="X37" s="68" t="str">
        <f>_xll.TR($D37,X$6,"Curn=#2 Scale=6 Transpose=Y Null=BLANK",,$Q37,$H$5)</f>
        <v>No universe defined.</v>
      </c>
      <c r="Y37" s="68"/>
      <c r="Z37" s="68"/>
      <c r="AA37" s="68"/>
      <c r="AB37" s="68" t="str">
        <f>_xll.TR($D37,AB$6,"Curn=#2 Scale=6 Period=FY1:FY3 Transpose=Y Null=BLANK",,$Q37,$H$5)</f>
        <v>No universe defined.</v>
      </c>
      <c r="AC37" s="68"/>
      <c r="AD37" s="68"/>
      <c r="AE37" s="68"/>
      <c r="AF37" s="68" t="str">
        <f>_xll.TR($D37,AF$6,"Curn=#2 Scale=6 Transpose=Y Null=BLANK",,$Q37,$H$5)</f>
        <v>No universe defined.</v>
      </c>
      <c r="AG37" s="68"/>
      <c r="AH37" s="68"/>
      <c r="AI37" s="69"/>
      <c r="AJ37" s="69"/>
      <c r="AK37" s="69"/>
      <c r="AL37" s="69"/>
      <c r="AM37" s="69"/>
      <c r="AN37" s="70"/>
      <c r="AO37" s="70"/>
      <c r="AP37" s="70"/>
      <c r="AQ37" s="70"/>
      <c r="AR37" s="70"/>
      <c r="AS37" s="70"/>
      <c r="AT37" s="71" t="str">
        <f t="shared" si="1"/>
        <v/>
      </c>
      <c r="AU37" s="40"/>
      <c r="AV37" s="40"/>
      <c r="AW37" s="40"/>
      <c r="AX37" s="40"/>
      <c r="AY37" s="40"/>
      <c r="AZ37" s="40"/>
      <c r="BA37" s="40"/>
      <c r="BB37" s="40"/>
      <c r="BC37" s="80"/>
      <c r="BD37" s="80"/>
      <c r="BE37" s="80"/>
      <c r="BF37" s="40"/>
      <c r="BG37" s="40"/>
      <c r="BH37" s="40"/>
      <c r="BI37" s="80"/>
      <c r="BJ37" s="80"/>
      <c r="BK37" s="80"/>
      <c r="BL37" s="40"/>
      <c r="BM37" s="40"/>
      <c r="BN37" s="40"/>
      <c r="BO37" s="40"/>
      <c r="BP37" s="79"/>
      <c r="BQ37" s="79"/>
      <c r="BR37" s="79"/>
      <c r="BS37" s="79"/>
      <c r="BT37" s="40"/>
      <c r="BU37" s="40"/>
      <c r="BV37" s="40"/>
      <c r="BW37" s="40"/>
      <c r="BX37" s="40"/>
      <c r="BY37" s="40"/>
      <c r="BZ37" s="40"/>
      <c r="CA37" s="40"/>
      <c r="CD37" s="93"/>
      <c r="CM37" s="23"/>
      <c r="CN37" s="25"/>
      <c r="CO37" s="25"/>
      <c r="CP37" s="25"/>
      <c r="CQ37" s="23"/>
      <c r="CR37" s="23"/>
      <c r="CS37" s="23"/>
      <c r="CT37" s="23"/>
    </row>
    <row r="38" spans="2:98">
      <c r="B38" s="23"/>
      <c r="C38" s="112"/>
      <c r="D38" s="32" t="str">
        <f t="shared" si="2"/>
        <v/>
      </c>
      <c r="E38" s="32"/>
      <c r="F38" s="66"/>
      <c r="G38" s="32"/>
      <c r="H38" s="79"/>
      <c r="I38" s="40"/>
      <c r="J38" s="40"/>
      <c r="K38" s="40"/>
      <c r="L38" s="40"/>
      <c r="M38" s="40"/>
      <c r="N38" s="67"/>
      <c r="O38" s="40"/>
      <c r="P38" s="40"/>
      <c r="Q38" s="40" t="str">
        <f t="shared" si="0"/>
        <v/>
      </c>
      <c r="R38" s="67" t="str">
        <f>IF(D38="","",_xll.TR($D38,R$6,"Curn=#2 scale=6",,$F38,$H$5))</f>
        <v/>
      </c>
      <c r="S38" s="68"/>
      <c r="T38" s="68" t="str">
        <f>_xll.TR(D38,T$6,"Curn=#2 Scale=6 Transpose=Y Null=BLANK",,$Q38,$H$5)</f>
        <v>No universe defined.</v>
      </c>
      <c r="U38" s="68"/>
      <c r="V38" s="68"/>
      <c r="W38" s="68"/>
      <c r="X38" s="68" t="str">
        <f>_xll.TR($D38,X$6,"Curn=#2 Scale=6 Transpose=Y Null=BLANK",,$Q38,$H$5)</f>
        <v>No universe defined.</v>
      </c>
      <c r="Y38" s="68"/>
      <c r="Z38" s="68"/>
      <c r="AA38" s="68"/>
      <c r="AB38" s="68" t="str">
        <f>_xll.TR($D38,AB$6,"Curn=#2 Scale=6 Period=FY1:FY3 Transpose=Y Null=BLANK",,$Q38,$H$5)</f>
        <v>No universe defined.</v>
      </c>
      <c r="AC38" s="68"/>
      <c r="AD38" s="68"/>
      <c r="AE38" s="68"/>
      <c r="AF38" s="68" t="str">
        <f>_xll.TR($D38,AF$6,"Curn=#2 Scale=6 Transpose=Y Null=BLANK",,$Q38,$H$5)</f>
        <v>No universe defined.</v>
      </c>
      <c r="AG38" s="68"/>
      <c r="AH38" s="68"/>
      <c r="AI38" s="69"/>
      <c r="AJ38" s="69"/>
      <c r="AK38" s="69"/>
      <c r="AL38" s="69"/>
      <c r="AM38" s="69"/>
      <c r="AN38" s="70"/>
      <c r="AO38" s="70"/>
      <c r="AP38" s="70"/>
      <c r="AQ38" s="70"/>
      <c r="AR38" s="70"/>
      <c r="AS38" s="70"/>
      <c r="AT38" s="71" t="str">
        <f t="shared" si="1"/>
        <v/>
      </c>
      <c r="AU38" s="40"/>
      <c r="AV38" s="40"/>
      <c r="AW38" s="40"/>
      <c r="AX38" s="40"/>
      <c r="AY38" s="40"/>
      <c r="AZ38" s="40"/>
      <c r="BA38" s="40"/>
      <c r="BB38" s="40"/>
      <c r="BC38" s="80"/>
      <c r="BD38" s="80"/>
      <c r="BE38" s="80"/>
      <c r="BF38" s="40"/>
      <c r="BG38" s="40"/>
      <c r="BH38" s="40"/>
      <c r="BI38" s="80"/>
      <c r="BJ38" s="80"/>
      <c r="BK38" s="80"/>
      <c r="BL38" s="40"/>
      <c r="BM38" s="40"/>
      <c r="BN38" s="40"/>
      <c r="BO38" s="40"/>
      <c r="BP38" s="79"/>
      <c r="BQ38" s="79"/>
      <c r="BR38" s="79"/>
      <c r="BS38" s="79"/>
      <c r="BT38" s="40"/>
      <c r="BU38" s="40"/>
      <c r="BV38" s="40"/>
      <c r="BW38" s="40"/>
      <c r="BX38" s="40"/>
      <c r="BY38" s="40"/>
      <c r="BZ38" s="40"/>
      <c r="CA38" s="40"/>
      <c r="CD38" s="93"/>
      <c r="CM38" s="23"/>
      <c r="CN38" s="25"/>
      <c r="CO38" s="25"/>
      <c r="CP38" s="25"/>
      <c r="CQ38" s="23"/>
      <c r="CR38" s="23"/>
      <c r="CS38" s="23"/>
      <c r="CT38" s="23"/>
    </row>
    <row r="39" spans="2:98">
      <c r="B39" s="23"/>
      <c r="C39" s="112"/>
      <c r="D39" s="32" t="str">
        <f t="shared" si="2"/>
        <v/>
      </c>
      <c r="E39" s="32"/>
      <c r="F39" s="66"/>
      <c r="G39" s="32"/>
      <c r="H39" s="79"/>
      <c r="I39" s="40"/>
      <c r="J39" s="40"/>
      <c r="K39" s="40"/>
      <c r="L39" s="40"/>
      <c r="M39" s="40"/>
      <c r="N39" s="67"/>
      <c r="O39" s="40"/>
      <c r="P39" s="40"/>
      <c r="Q39" s="40" t="str">
        <f t="shared" si="0"/>
        <v/>
      </c>
      <c r="R39" s="67" t="str">
        <f>IF(D39="","",_xll.TR($D39,R$6,"Curn=#2 scale=6",,$F39,$H$5))</f>
        <v/>
      </c>
      <c r="S39" s="68"/>
      <c r="T39" s="68" t="str">
        <f>_xll.TR(D39,T$6,"Curn=#2 Scale=6 Transpose=Y Null=BLANK",,$Q39,$H$5)</f>
        <v>No universe defined.</v>
      </c>
      <c r="U39" s="68"/>
      <c r="V39" s="68"/>
      <c r="W39" s="68"/>
      <c r="X39" s="68" t="str">
        <f>_xll.TR($D39,X$6,"Curn=#2 Scale=6 Transpose=Y Null=BLANK",,$Q39,$H$5)</f>
        <v>No universe defined.</v>
      </c>
      <c r="Y39" s="68"/>
      <c r="Z39" s="68"/>
      <c r="AA39" s="68"/>
      <c r="AB39" s="68" t="str">
        <f>_xll.TR($D39,AB$6,"Curn=#2 Scale=6 Period=FY1:FY3 Transpose=Y Null=BLANK",,$Q39,$H$5)</f>
        <v>No universe defined.</v>
      </c>
      <c r="AC39" s="68"/>
      <c r="AD39" s="68"/>
      <c r="AE39" s="68"/>
      <c r="AF39" s="68" t="str">
        <f>_xll.TR($D39,AF$6,"Curn=#2 Scale=6 Transpose=Y Null=BLANK",,$Q39,$H$5)</f>
        <v>No universe defined.</v>
      </c>
      <c r="AG39" s="68"/>
      <c r="AH39" s="68"/>
      <c r="AI39" s="69"/>
      <c r="AJ39" s="69"/>
      <c r="AK39" s="69"/>
      <c r="AL39" s="69"/>
      <c r="AM39" s="69"/>
      <c r="AN39" s="70"/>
      <c r="AO39" s="70"/>
      <c r="AP39" s="70"/>
      <c r="AQ39" s="70"/>
      <c r="AR39" s="70"/>
      <c r="AS39" s="70"/>
      <c r="AT39" s="71" t="str">
        <f t="shared" si="1"/>
        <v/>
      </c>
      <c r="AU39" s="40"/>
      <c r="AV39" s="40"/>
      <c r="AW39" s="40"/>
      <c r="AX39" s="40"/>
      <c r="AY39" s="40"/>
      <c r="AZ39" s="40"/>
      <c r="BA39" s="40"/>
      <c r="BB39" s="40"/>
      <c r="BC39" s="80"/>
      <c r="BD39" s="80"/>
      <c r="BE39" s="80"/>
      <c r="BF39" s="40"/>
      <c r="BG39" s="40"/>
      <c r="BH39" s="40"/>
      <c r="BI39" s="80"/>
      <c r="BJ39" s="80"/>
      <c r="BK39" s="80"/>
      <c r="BL39" s="40"/>
      <c r="BM39" s="40"/>
      <c r="BN39" s="40"/>
      <c r="BO39" s="40"/>
      <c r="BP39" s="79"/>
      <c r="BQ39" s="79"/>
      <c r="BR39" s="79"/>
      <c r="BS39" s="79"/>
      <c r="BT39" s="40"/>
      <c r="BU39" s="40"/>
      <c r="BV39" s="40"/>
      <c r="BW39" s="40"/>
      <c r="BX39" s="40"/>
      <c r="BY39" s="40"/>
      <c r="BZ39" s="40"/>
      <c r="CA39" s="40"/>
      <c r="CD39" s="93"/>
      <c r="CM39" s="23"/>
      <c r="CN39" s="25"/>
      <c r="CO39" s="25"/>
      <c r="CP39" s="25"/>
      <c r="CQ39" s="23"/>
      <c r="CR39" s="23"/>
      <c r="CS39" s="23"/>
      <c r="CT39" s="23"/>
    </row>
    <row r="40" spans="2:98">
      <c r="B40" s="23"/>
      <c r="C40" s="112"/>
      <c r="D40" s="32" t="str">
        <f t="shared" si="2"/>
        <v/>
      </c>
      <c r="E40" s="32"/>
      <c r="F40" s="66"/>
      <c r="G40" s="32"/>
      <c r="H40" s="79"/>
      <c r="I40" s="40"/>
      <c r="J40" s="40"/>
      <c r="K40" s="40"/>
      <c r="L40" s="40"/>
      <c r="M40" s="40"/>
      <c r="N40" s="67"/>
      <c r="O40" s="40"/>
      <c r="P40" s="40"/>
      <c r="Q40" s="40" t="str">
        <f t="shared" si="0"/>
        <v/>
      </c>
      <c r="R40" s="67" t="str">
        <f>IF(D40="","",_xll.TR($D40,R$6,"Curn=#2 scale=6",,$F40,$H$5))</f>
        <v/>
      </c>
      <c r="S40" s="68"/>
      <c r="T40" s="68" t="str">
        <f>_xll.TR(D40,T$6,"Curn=#2 Scale=6 Transpose=Y Null=BLANK",,$Q40,$H$5)</f>
        <v>No universe defined.</v>
      </c>
      <c r="U40" s="68"/>
      <c r="V40" s="68"/>
      <c r="W40" s="68"/>
      <c r="X40" s="68" t="str">
        <f>_xll.TR($D40,X$6,"Curn=#2 Scale=6 Transpose=Y Null=BLANK",,$Q40,$H$5)</f>
        <v>No universe defined.</v>
      </c>
      <c r="Y40" s="68"/>
      <c r="Z40" s="68"/>
      <c r="AA40" s="68"/>
      <c r="AB40" s="68" t="str">
        <f>_xll.TR($D40,AB$6,"Curn=#2 Scale=6 Period=FY1:FY3 Transpose=Y Null=BLANK",,$Q40,$H$5)</f>
        <v>No universe defined.</v>
      </c>
      <c r="AC40" s="68"/>
      <c r="AD40" s="68"/>
      <c r="AE40" s="68"/>
      <c r="AF40" s="68" t="str">
        <f>_xll.TR($D40,AF$6,"Curn=#2 Scale=6 Transpose=Y Null=BLANK",,$Q40,$H$5)</f>
        <v>No universe defined.</v>
      </c>
      <c r="AG40" s="68"/>
      <c r="AH40" s="68"/>
      <c r="AI40" s="69"/>
      <c r="AJ40" s="69"/>
      <c r="AK40" s="69"/>
      <c r="AL40" s="69"/>
      <c r="AM40" s="69"/>
      <c r="AN40" s="70"/>
      <c r="AO40" s="70"/>
      <c r="AP40" s="70"/>
      <c r="AQ40" s="70"/>
      <c r="AR40" s="70"/>
      <c r="AS40" s="70"/>
      <c r="AT40" s="71" t="str">
        <f t="shared" si="1"/>
        <v/>
      </c>
      <c r="AU40" s="40"/>
      <c r="AV40" s="40"/>
      <c r="AW40" s="40"/>
      <c r="AX40" s="40"/>
      <c r="AY40" s="40"/>
      <c r="AZ40" s="40"/>
      <c r="BA40" s="40"/>
      <c r="BB40" s="40"/>
      <c r="BC40" s="80"/>
      <c r="BD40" s="80"/>
      <c r="BE40" s="80"/>
      <c r="BF40" s="40"/>
      <c r="BG40" s="40"/>
      <c r="BH40" s="40"/>
      <c r="BI40" s="80"/>
      <c r="BJ40" s="80"/>
      <c r="BK40" s="80"/>
      <c r="BL40" s="40"/>
      <c r="BM40" s="40"/>
      <c r="BN40" s="40"/>
      <c r="BO40" s="40"/>
      <c r="BP40" s="79"/>
      <c r="BQ40" s="79"/>
      <c r="BR40" s="79"/>
      <c r="BS40" s="79"/>
      <c r="BT40" s="40"/>
      <c r="BU40" s="40"/>
      <c r="BV40" s="40"/>
      <c r="BW40" s="40"/>
      <c r="BX40" s="40"/>
      <c r="BY40" s="40"/>
      <c r="BZ40" s="40"/>
      <c r="CA40" s="40"/>
      <c r="CD40" s="93"/>
      <c r="CM40" s="23"/>
      <c r="CN40" s="25"/>
      <c r="CO40" s="25"/>
      <c r="CP40" s="25"/>
      <c r="CQ40" s="23"/>
      <c r="CR40" s="23"/>
      <c r="CS40" s="23"/>
      <c r="CT40" s="23"/>
    </row>
    <row r="41" spans="2:98">
      <c r="B41" s="23"/>
      <c r="C41" s="112"/>
      <c r="D41" s="32" t="str">
        <f t="shared" si="2"/>
        <v/>
      </c>
      <c r="E41" s="32"/>
      <c r="F41" s="66"/>
      <c r="G41" s="32"/>
      <c r="H41" s="79"/>
      <c r="I41" s="40"/>
      <c r="J41" s="40"/>
      <c r="K41" s="40"/>
      <c r="L41" s="40"/>
      <c r="M41" s="40"/>
      <c r="N41" s="67"/>
      <c r="O41" s="40"/>
      <c r="P41" s="40"/>
      <c r="Q41" s="40" t="str">
        <f t="shared" si="0"/>
        <v/>
      </c>
      <c r="R41" s="67" t="str">
        <f>IF(D41="","",_xll.TR($D41,R$6,"Curn=#2 scale=6",,$F41,$H$5))</f>
        <v/>
      </c>
      <c r="S41" s="68"/>
      <c r="T41" s="68" t="str">
        <f>_xll.TR(D41,T$6,"Curn=#2 Scale=6 Transpose=Y Null=BLANK",,$Q41,$H$5)</f>
        <v>No universe defined.</v>
      </c>
      <c r="U41" s="68"/>
      <c r="V41" s="68"/>
      <c r="W41" s="68"/>
      <c r="X41" s="68" t="str">
        <f>_xll.TR($D41,X$6,"Curn=#2 Scale=6 Transpose=Y Null=BLANK",,$Q41,$H$5)</f>
        <v>No universe defined.</v>
      </c>
      <c r="Y41" s="68"/>
      <c r="Z41" s="68"/>
      <c r="AA41" s="68"/>
      <c r="AB41" s="68" t="str">
        <f>_xll.TR($D41,AB$6,"Curn=#2 Scale=6 Period=FY1:FY3 Transpose=Y Null=BLANK",,$Q41,$H$5)</f>
        <v>No universe defined.</v>
      </c>
      <c r="AC41" s="68"/>
      <c r="AD41" s="68"/>
      <c r="AE41" s="68"/>
      <c r="AF41" s="68" t="str">
        <f>_xll.TR($D41,AF$6,"Curn=#2 Scale=6 Transpose=Y Null=BLANK",,$Q41,$H$5)</f>
        <v>No universe defined.</v>
      </c>
      <c r="AG41" s="68"/>
      <c r="AH41" s="68"/>
      <c r="AI41" s="69"/>
      <c r="AJ41" s="69"/>
      <c r="AK41" s="69"/>
      <c r="AL41" s="69"/>
      <c r="AM41" s="69"/>
      <c r="AN41" s="70"/>
      <c r="AO41" s="70"/>
      <c r="AP41" s="70"/>
      <c r="AQ41" s="70"/>
      <c r="AR41" s="70"/>
      <c r="AS41" s="70"/>
      <c r="AT41" s="71" t="str">
        <f t="shared" si="1"/>
        <v/>
      </c>
      <c r="AU41" s="40"/>
      <c r="AV41" s="40"/>
      <c r="AW41" s="40"/>
      <c r="AX41" s="40"/>
      <c r="AY41" s="40"/>
      <c r="AZ41" s="40"/>
      <c r="BA41" s="40"/>
      <c r="BB41" s="40"/>
      <c r="BC41" s="80"/>
      <c r="BD41" s="80"/>
      <c r="BE41" s="80"/>
      <c r="BF41" s="40"/>
      <c r="BG41" s="40"/>
      <c r="BH41" s="40"/>
      <c r="BI41" s="80"/>
      <c r="BJ41" s="80"/>
      <c r="BK41" s="80"/>
      <c r="BL41" s="40"/>
      <c r="BM41" s="40"/>
      <c r="BN41" s="40"/>
      <c r="BO41" s="40"/>
      <c r="BP41" s="79"/>
      <c r="BQ41" s="79"/>
      <c r="BR41" s="79"/>
      <c r="BS41" s="79"/>
      <c r="BT41" s="40"/>
      <c r="BU41" s="40"/>
      <c r="BV41" s="40"/>
      <c r="BW41" s="40"/>
      <c r="BX41" s="40"/>
      <c r="BY41" s="40"/>
      <c r="BZ41" s="40"/>
      <c r="CA41" s="40"/>
      <c r="CD41" s="93"/>
      <c r="CM41" s="23"/>
      <c r="CN41" s="25"/>
      <c r="CO41" s="25"/>
      <c r="CP41" s="25"/>
      <c r="CQ41" s="23"/>
      <c r="CR41" s="23"/>
      <c r="CS41" s="23"/>
      <c r="CT41" s="23"/>
    </row>
    <row r="42" spans="2:98">
      <c r="B42" s="23"/>
      <c r="C42" s="112"/>
      <c r="D42" s="32" t="str">
        <f t="shared" si="2"/>
        <v/>
      </c>
      <c r="E42" s="32"/>
      <c r="F42" s="66"/>
      <c r="G42" s="32"/>
      <c r="H42" s="79"/>
      <c r="I42" s="40"/>
      <c r="J42" s="40"/>
      <c r="K42" s="40"/>
      <c r="L42" s="40"/>
      <c r="M42" s="40"/>
      <c r="N42" s="67"/>
      <c r="O42" s="40"/>
      <c r="P42" s="40"/>
      <c r="Q42" s="40" t="str">
        <f t="shared" si="0"/>
        <v/>
      </c>
      <c r="R42" s="67" t="str">
        <f>IF(D42="","",_xll.TR($D42,R$6,"Curn=#2 scale=6",,$F42,$H$5))</f>
        <v/>
      </c>
      <c r="S42" s="68"/>
      <c r="T42" s="68" t="str">
        <f>_xll.TR(D42,T$6,"Curn=#2 Scale=6 Transpose=Y Null=BLANK",,$Q42,$H$5)</f>
        <v>No universe defined.</v>
      </c>
      <c r="U42" s="68"/>
      <c r="V42" s="68"/>
      <c r="W42" s="68"/>
      <c r="X42" s="68" t="str">
        <f>_xll.TR($D42,X$6,"Curn=#2 Scale=6 Transpose=Y Null=BLANK",,$Q42,$H$5)</f>
        <v>No universe defined.</v>
      </c>
      <c r="Y42" s="68"/>
      <c r="Z42" s="68"/>
      <c r="AA42" s="68"/>
      <c r="AB42" s="68" t="str">
        <f>_xll.TR($D42,AB$6,"Curn=#2 Scale=6 Period=FY1:FY3 Transpose=Y Null=BLANK",,$Q42,$H$5)</f>
        <v>No universe defined.</v>
      </c>
      <c r="AC42" s="68"/>
      <c r="AD42" s="68"/>
      <c r="AE42" s="68"/>
      <c r="AF42" s="68" t="str">
        <f>_xll.TR($D42,AF$6,"Curn=#2 Scale=6 Transpose=Y Null=BLANK",,$Q42,$H$5)</f>
        <v>No universe defined.</v>
      </c>
      <c r="AG42" s="68"/>
      <c r="AH42" s="68"/>
      <c r="AI42" s="69"/>
      <c r="AJ42" s="69"/>
      <c r="AK42" s="69"/>
      <c r="AL42" s="69"/>
      <c r="AM42" s="69"/>
      <c r="AN42" s="70"/>
      <c r="AO42" s="70"/>
      <c r="AP42" s="70"/>
      <c r="AQ42" s="70"/>
      <c r="AR42" s="70"/>
      <c r="AS42" s="70"/>
      <c r="AT42" s="71" t="str">
        <f t="shared" si="1"/>
        <v/>
      </c>
      <c r="AU42" s="40"/>
      <c r="AV42" s="40"/>
      <c r="AW42" s="40"/>
      <c r="AX42" s="40"/>
      <c r="AY42" s="40"/>
      <c r="AZ42" s="40"/>
      <c r="BA42" s="40"/>
      <c r="BB42" s="40"/>
      <c r="BC42" s="80"/>
      <c r="BD42" s="80"/>
      <c r="BE42" s="80"/>
      <c r="BF42" s="40"/>
      <c r="BG42" s="40"/>
      <c r="BH42" s="40"/>
      <c r="BI42" s="80"/>
      <c r="BJ42" s="80"/>
      <c r="BK42" s="80"/>
      <c r="BL42" s="40"/>
      <c r="BM42" s="40"/>
      <c r="BN42" s="40"/>
      <c r="BO42" s="40"/>
      <c r="BP42" s="79"/>
      <c r="BQ42" s="79"/>
      <c r="BR42" s="79"/>
      <c r="BS42" s="79"/>
      <c r="BT42" s="40"/>
      <c r="BU42" s="40"/>
      <c r="BV42" s="40"/>
      <c r="BW42" s="40"/>
      <c r="BX42" s="40"/>
      <c r="BY42" s="40"/>
      <c r="BZ42" s="40"/>
      <c r="CA42" s="40"/>
      <c r="CD42" s="93"/>
      <c r="CM42" s="23"/>
      <c r="CN42" s="25"/>
      <c r="CO42" s="25"/>
      <c r="CP42" s="25"/>
      <c r="CQ42" s="23"/>
      <c r="CR42" s="23"/>
      <c r="CS42" s="23"/>
      <c r="CT42" s="23"/>
    </row>
    <row r="43" spans="2:98">
      <c r="B43" s="23"/>
      <c r="C43" s="112"/>
      <c r="D43" s="32" t="str">
        <f t="shared" si="2"/>
        <v/>
      </c>
      <c r="E43" s="32"/>
      <c r="F43" s="66"/>
      <c r="G43" s="32"/>
      <c r="H43" s="79"/>
      <c r="I43" s="40"/>
      <c r="J43" s="40"/>
      <c r="K43" s="40"/>
      <c r="L43" s="40"/>
      <c r="M43" s="40"/>
      <c r="N43" s="67"/>
      <c r="O43" s="40"/>
      <c r="P43" s="40"/>
      <c r="Q43" s="40" t="str">
        <f t="shared" si="0"/>
        <v/>
      </c>
      <c r="R43" s="67" t="str">
        <f>IF(D43="","",_xll.TR($D43,R$6,"Curn=#2 scale=6",,$F43,$H$5))</f>
        <v/>
      </c>
      <c r="S43" s="68"/>
      <c r="T43" s="68" t="str">
        <f>_xll.TR(D43,T$6,"Curn=#2 Scale=6 Transpose=Y Null=BLANK",,$Q43,$H$5)</f>
        <v>No universe defined.</v>
      </c>
      <c r="U43" s="68"/>
      <c r="V43" s="68"/>
      <c r="W43" s="68"/>
      <c r="X43" s="68" t="str">
        <f>_xll.TR($D43,X$6,"Curn=#2 Scale=6 Transpose=Y Null=BLANK",,$Q43,$H$5)</f>
        <v>No universe defined.</v>
      </c>
      <c r="Y43" s="68" t="str">
        <f>IF($D43="","",IFERROR($Q43/_xll.TR($D43,Y$6,"Curn=#1 Scale=6 Null=BLANK",,$H$5),"-"))</f>
        <v/>
      </c>
      <c r="Z43" s="68" t="str">
        <f>IF($D43="","",IFERROR($Q43/_xll.TR($D43,Z$6,"Curn=#1 Scale=6 Null=BLANK",,$H$5),"-"))</f>
        <v/>
      </c>
      <c r="AA43" s="68"/>
      <c r="AB43" s="68" t="str">
        <f>_xll.TR($D43,AB$6,"Curn=#2 Scale=6 Period=FY1:FY3 Transpose=Y Null=BLANK",,$Q43,$H$5)</f>
        <v>No universe defined.</v>
      </c>
      <c r="AC43" s="68"/>
      <c r="AD43" s="68"/>
      <c r="AE43" s="68"/>
      <c r="AF43" s="68" t="str">
        <f>_xll.TR($D43,AF$6,"Curn=#2 Scale=6 Transpose=Y Null=BLANK",,$Q43,$H$5)</f>
        <v>No universe defined.</v>
      </c>
      <c r="AG43" s="68"/>
      <c r="AH43" s="68"/>
      <c r="AI43" s="69"/>
      <c r="AJ43" s="69"/>
      <c r="AK43" s="69"/>
      <c r="AL43" s="69"/>
      <c r="AM43" s="69"/>
      <c r="AN43" s="70"/>
      <c r="AO43" s="70"/>
      <c r="AP43" s="70"/>
      <c r="AQ43" s="70"/>
      <c r="AR43" s="70"/>
      <c r="AS43" s="70"/>
      <c r="AT43" s="71" t="str">
        <f t="shared" si="1"/>
        <v/>
      </c>
      <c r="AU43" s="40"/>
      <c r="AV43" s="40"/>
      <c r="AW43" s="40"/>
      <c r="AX43" s="40"/>
      <c r="AY43" s="40"/>
      <c r="AZ43" s="40"/>
      <c r="BA43" s="40"/>
      <c r="BB43" s="40"/>
      <c r="BC43" s="80"/>
      <c r="BD43" s="80"/>
      <c r="BE43" s="80"/>
      <c r="BF43" s="40"/>
      <c r="BG43" s="40"/>
      <c r="BH43" s="40"/>
      <c r="BI43" s="80"/>
      <c r="BJ43" s="80"/>
      <c r="BK43" s="80"/>
      <c r="BL43" s="40"/>
      <c r="BM43" s="40"/>
      <c r="BN43" s="40"/>
      <c r="BO43" s="40"/>
      <c r="BP43" s="79"/>
      <c r="BQ43" s="79"/>
      <c r="BR43" s="79"/>
      <c r="BS43" s="79"/>
      <c r="BT43" s="40"/>
      <c r="BU43" s="40"/>
      <c r="BV43" s="40"/>
      <c r="BW43" s="40"/>
      <c r="BX43" s="40"/>
      <c r="BY43" s="40"/>
      <c r="BZ43" s="40"/>
      <c r="CA43" s="40"/>
      <c r="CD43" s="93"/>
      <c r="CM43" s="23"/>
      <c r="CN43" s="25"/>
      <c r="CO43" s="25"/>
      <c r="CP43" s="25"/>
      <c r="CQ43" s="23"/>
      <c r="CR43" s="23"/>
      <c r="CS43" s="23"/>
      <c r="CT43" s="23"/>
    </row>
    <row r="44" spans="2:98">
      <c r="B44" s="23"/>
      <c r="C44" s="112"/>
      <c r="D44" s="32" t="str">
        <f t="shared" si="2"/>
        <v/>
      </c>
      <c r="E44" s="32"/>
      <c r="F44" s="66"/>
      <c r="G44" s="32"/>
      <c r="H44" s="79"/>
      <c r="I44" s="40"/>
      <c r="J44" s="40"/>
      <c r="K44" s="40"/>
      <c r="L44" s="40"/>
      <c r="M44" s="40"/>
      <c r="N44" s="67"/>
      <c r="O44" s="40"/>
      <c r="P44" s="40"/>
      <c r="Q44" s="40" t="str">
        <f t="shared" si="0"/>
        <v/>
      </c>
      <c r="R44" s="67" t="str">
        <f>IF(D44="","",_xll.TR($D44,R$6,"Curn=#2 scale=6",,$F44,$H$5))</f>
        <v/>
      </c>
      <c r="S44" s="68"/>
      <c r="T44" s="68" t="str">
        <f>_xll.TR(D44,T$6,"Curn=#2 Scale=6 Transpose=Y Null=BLANK",,$Q44,$H$5)</f>
        <v>No universe defined.</v>
      </c>
      <c r="U44" s="68"/>
      <c r="V44" s="68"/>
      <c r="W44" s="68"/>
      <c r="X44" s="68" t="str">
        <f>_xll.TR($D44,X$6,"Curn=#2 Scale=6 Transpose=Y Null=BLANK",,$Q44,$H$5)</f>
        <v>No universe defined.</v>
      </c>
      <c r="Y44" s="68"/>
      <c r="Z44" s="68"/>
      <c r="AA44" s="68"/>
      <c r="AB44" s="68" t="str">
        <f>_xll.TR($D44,AB$6,"Curn=#2 Scale=6 Period=FY1:FY3 Transpose=Y Null=BLANK",,$Q44,$H$5)</f>
        <v>No universe defined.</v>
      </c>
      <c r="AC44" s="68"/>
      <c r="AD44" s="68"/>
      <c r="AE44" s="68"/>
      <c r="AF44" s="68" t="str">
        <f>_xll.TR($D44,AF$6,"Curn=#2 Scale=6 Transpose=Y Null=BLANK",,$Q44,$H$5)</f>
        <v>No universe defined.</v>
      </c>
      <c r="AG44" s="68"/>
      <c r="AH44" s="68"/>
      <c r="AI44" s="69"/>
      <c r="AJ44" s="69"/>
      <c r="AK44" s="69"/>
      <c r="AL44" s="69"/>
      <c r="AM44" s="69"/>
      <c r="AN44" s="70"/>
      <c r="AO44" s="70"/>
      <c r="AP44" s="70"/>
      <c r="AQ44" s="70"/>
      <c r="AR44" s="70"/>
      <c r="AS44" s="70"/>
      <c r="AT44" s="71" t="str">
        <f t="shared" si="1"/>
        <v/>
      </c>
      <c r="AU44" s="40"/>
      <c r="AV44" s="40"/>
      <c r="AW44" s="40"/>
      <c r="AX44" s="40"/>
      <c r="AY44" s="40"/>
      <c r="AZ44" s="40"/>
      <c r="BA44" s="40"/>
      <c r="BB44" s="40"/>
      <c r="BC44" s="80"/>
      <c r="BD44" s="80"/>
      <c r="BE44" s="80"/>
      <c r="BF44" s="40"/>
      <c r="BG44" s="40"/>
      <c r="BH44" s="40"/>
      <c r="BI44" s="80"/>
      <c r="BJ44" s="80"/>
      <c r="BK44" s="80"/>
      <c r="BL44" s="40"/>
      <c r="BM44" s="40"/>
      <c r="BN44" s="40"/>
      <c r="BO44" s="40"/>
      <c r="BP44" s="79"/>
      <c r="BQ44" s="79"/>
      <c r="BR44" s="79"/>
      <c r="BS44" s="79"/>
      <c r="BT44" s="40"/>
      <c r="BU44" s="40"/>
      <c r="BV44" s="40"/>
      <c r="BW44" s="40"/>
      <c r="BX44" s="40"/>
      <c r="BY44" s="40"/>
      <c r="BZ44" s="40"/>
      <c r="CA44" s="40"/>
      <c r="CD44" s="93"/>
      <c r="CM44" s="23"/>
      <c r="CN44" s="25"/>
      <c r="CO44" s="25"/>
      <c r="CP44" s="25"/>
      <c r="CQ44" s="23"/>
      <c r="CR44" s="23"/>
      <c r="CS44" s="23"/>
      <c r="CT44" s="23"/>
    </row>
    <row r="45" spans="2:98">
      <c r="B45" s="23"/>
      <c r="C45" s="112"/>
      <c r="D45" s="32" t="str">
        <f t="shared" si="2"/>
        <v/>
      </c>
      <c r="E45" s="32"/>
      <c r="F45" s="66"/>
      <c r="G45" s="32"/>
      <c r="H45" s="79"/>
      <c r="I45" s="40"/>
      <c r="J45" s="40"/>
      <c r="K45" s="40"/>
      <c r="L45" s="40"/>
      <c r="M45" s="40"/>
      <c r="N45" s="67"/>
      <c r="O45" s="40"/>
      <c r="P45" s="40"/>
      <c r="Q45" s="40" t="str">
        <f t="shared" si="0"/>
        <v/>
      </c>
      <c r="R45" s="67" t="str">
        <f>IF(D45="","",_xll.TR($D45,R$6,"Curn=#2 scale=6",,$F45,$H$5))</f>
        <v/>
      </c>
      <c r="S45" s="68"/>
      <c r="T45" s="68" t="str">
        <f>_xll.TR(D45,T$6,"Curn=#2 Scale=6 Transpose=Y Null=BLANK",,$Q45,$H$5)</f>
        <v>No universe defined.</v>
      </c>
      <c r="U45" s="68"/>
      <c r="V45" s="68"/>
      <c r="W45" s="68"/>
      <c r="X45" s="68" t="str">
        <f>_xll.TR($D45,X$6,"Curn=#2 Scale=6 Transpose=Y Null=BLANK",,$Q45,$H$5)</f>
        <v>No universe defined.</v>
      </c>
      <c r="Y45" s="68"/>
      <c r="Z45" s="68"/>
      <c r="AA45" s="68"/>
      <c r="AB45" s="68" t="str">
        <f>_xll.TR($D45,AB$6,"Curn=#2 Scale=6 Period=FY1:FY3 Transpose=Y Null=BLANK",,$Q45,$H$5)</f>
        <v>No universe defined.</v>
      </c>
      <c r="AC45" s="68"/>
      <c r="AD45" s="68"/>
      <c r="AE45" s="68"/>
      <c r="AF45" s="68" t="str">
        <f>_xll.TR($D45,AF$6,"Curn=#2 Scale=6 Transpose=Y Null=BLANK",,$Q45,$H$5)</f>
        <v>No universe defined.</v>
      </c>
      <c r="AG45" s="68"/>
      <c r="AH45" s="68"/>
      <c r="AI45" s="69"/>
      <c r="AJ45" s="69"/>
      <c r="AK45" s="69"/>
      <c r="AL45" s="69"/>
      <c r="AM45" s="69"/>
      <c r="AN45" s="70"/>
      <c r="AO45" s="70"/>
      <c r="AP45" s="70"/>
      <c r="AQ45" s="70"/>
      <c r="AR45" s="70"/>
      <c r="AS45" s="70"/>
      <c r="AT45" s="71" t="str">
        <f t="shared" si="1"/>
        <v/>
      </c>
      <c r="AU45" s="40"/>
      <c r="AV45" s="40"/>
      <c r="AW45" s="40"/>
      <c r="AX45" s="40"/>
      <c r="AY45" s="40"/>
      <c r="AZ45" s="40"/>
      <c r="BA45" s="40"/>
      <c r="BB45" s="40"/>
      <c r="BC45" s="80"/>
      <c r="BD45" s="80"/>
      <c r="BE45" s="80"/>
      <c r="BF45" s="40"/>
      <c r="BG45" s="40"/>
      <c r="BH45" s="40"/>
      <c r="BI45" s="80"/>
      <c r="BJ45" s="80"/>
      <c r="BK45" s="80"/>
      <c r="BL45" s="40"/>
      <c r="BM45" s="40"/>
      <c r="BN45" s="40"/>
      <c r="BO45" s="40"/>
      <c r="BP45" s="79"/>
      <c r="BQ45" s="79"/>
      <c r="BR45" s="79"/>
      <c r="BS45" s="79"/>
      <c r="BT45" s="40"/>
      <c r="BU45" s="40"/>
      <c r="BV45" s="40"/>
      <c r="BW45" s="40"/>
      <c r="BX45" s="40"/>
      <c r="BY45" s="40"/>
      <c r="BZ45" s="40"/>
      <c r="CA45" s="40"/>
      <c r="CD45" s="93"/>
      <c r="CM45" s="23"/>
      <c r="CN45" s="25"/>
      <c r="CO45" s="25"/>
      <c r="CP45" s="25"/>
      <c r="CQ45" s="23"/>
      <c r="CR45" s="23"/>
      <c r="CS45" s="23"/>
      <c r="CT45" s="23"/>
    </row>
    <row r="46" spans="2:98">
      <c r="B46" s="23"/>
      <c r="C46" s="112"/>
      <c r="D46" s="32" t="str">
        <f t="shared" si="2"/>
        <v/>
      </c>
      <c r="E46" s="32"/>
      <c r="F46" s="66"/>
      <c r="G46" s="32"/>
      <c r="H46" s="79"/>
      <c r="I46" s="40"/>
      <c r="J46" s="40"/>
      <c r="K46" s="40"/>
      <c r="L46" s="40"/>
      <c r="M46" s="40"/>
      <c r="N46" s="67"/>
      <c r="O46" s="40"/>
      <c r="P46" s="40"/>
      <c r="Q46" s="40" t="str">
        <f t="shared" si="0"/>
        <v/>
      </c>
      <c r="R46" s="67" t="str">
        <f>IF(D46="","",_xll.TR($D46,R$6,"Curn=#2 scale=6",,$F46,$H$5))</f>
        <v/>
      </c>
      <c r="S46" s="68"/>
      <c r="T46" s="68" t="str">
        <f>_xll.TR(D46,T$6,"Curn=#2 Scale=6 Transpose=Y Null=BLANK",,$Q46,$H$5)</f>
        <v>No universe defined.</v>
      </c>
      <c r="U46" s="68"/>
      <c r="V46" s="68"/>
      <c r="W46" s="68"/>
      <c r="X46" s="68" t="str">
        <f>_xll.TR($D46,X$6,"Curn=#2 Scale=6 Transpose=Y Null=BLANK",,$Q46,$H$5)</f>
        <v>No universe defined.</v>
      </c>
      <c r="Y46" s="68"/>
      <c r="Z46" s="68"/>
      <c r="AA46" s="68"/>
      <c r="AB46" s="68" t="str">
        <f>_xll.TR($D46,AB$6,"Curn=#2 Scale=6 Period=FY1:FY3 Transpose=Y Null=BLANK",,$Q46,$H$5)</f>
        <v>No universe defined.</v>
      </c>
      <c r="AC46" s="68"/>
      <c r="AD46" s="68"/>
      <c r="AE46" s="68"/>
      <c r="AF46" s="68" t="str">
        <f>_xll.TR($D46,AF$6,"Curn=#2 Scale=6 Transpose=Y Null=BLANK",,$Q46,$H$5)</f>
        <v>No universe defined.</v>
      </c>
      <c r="AG46" s="68"/>
      <c r="AH46" s="68"/>
      <c r="AI46" s="69"/>
      <c r="AJ46" s="69"/>
      <c r="AK46" s="69"/>
      <c r="AL46" s="69"/>
      <c r="AM46" s="69"/>
      <c r="AN46" s="70"/>
      <c r="AO46" s="70"/>
      <c r="AP46" s="70"/>
      <c r="AQ46" s="70"/>
      <c r="AR46" s="70"/>
      <c r="AS46" s="70"/>
      <c r="AT46" s="71" t="str">
        <f t="shared" si="1"/>
        <v/>
      </c>
      <c r="AU46" s="40"/>
      <c r="AV46" s="40"/>
      <c r="AW46" s="40"/>
      <c r="AX46" s="40"/>
      <c r="AY46" s="40"/>
      <c r="AZ46" s="40"/>
      <c r="BA46" s="40"/>
      <c r="BB46" s="40"/>
      <c r="BC46" s="80"/>
      <c r="BD46" s="80"/>
      <c r="BE46" s="80"/>
      <c r="BF46" s="40"/>
      <c r="BG46" s="40"/>
      <c r="BH46" s="40"/>
      <c r="BI46" s="80"/>
      <c r="BJ46" s="80"/>
      <c r="BK46" s="80"/>
      <c r="BL46" s="40"/>
      <c r="BM46" s="40"/>
      <c r="BN46" s="40"/>
      <c r="BO46" s="40"/>
      <c r="BP46" s="79"/>
      <c r="BQ46" s="79"/>
      <c r="BR46" s="79"/>
      <c r="BS46" s="79"/>
      <c r="BT46" s="40"/>
      <c r="BU46" s="40"/>
      <c r="BV46" s="40"/>
      <c r="BW46" s="40"/>
      <c r="BX46" s="40"/>
      <c r="BY46" s="40"/>
      <c r="BZ46" s="40"/>
      <c r="CA46" s="40"/>
      <c r="CD46" s="93"/>
      <c r="CM46" s="23"/>
      <c r="CN46" s="25"/>
      <c r="CO46" s="25"/>
      <c r="CP46" s="25"/>
      <c r="CQ46" s="23"/>
      <c r="CR46" s="23"/>
      <c r="CS46" s="23"/>
      <c r="CT46" s="23"/>
    </row>
    <row r="47" spans="2:98">
      <c r="B47" s="23"/>
      <c r="C47" s="112"/>
      <c r="D47" s="32" t="str">
        <f t="shared" si="2"/>
        <v/>
      </c>
      <c r="E47" s="32"/>
      <c r="F47" s="66"/>
      <c r="G47" s="32"/>
      <c r="H47" s="79"/>
      <c r="I47" s="40"/>
      <c r="J47" s="40"/>
      <c r="K47" s="40"/>
      <c r="L47" s="40"/>
      <c r="M47" s="40"/>
      <c r="N47" s="67"/>
      <c r="O47" s="40"/>
      <c r="P47" s="40"/>
      <c r="Q47" s="40" t="str">
        <f t="shared" si="0"/>
        <v/>
      </c>
      <c r="R47" s="67" t="str">
        <f>IF(D47="","",_xll.TR($D47,R$6,"Curn=#2 scale=6",,$F47,$H$5))</f>
        <v/>
      </c>
      <c r="S47" s="68"/>
      <c r="T47" s="68" t="str">
        <f>_xll.TR(D47,T$6,"Curn=#2 Scale=6 Transpose=Y Null=BLANK",,$Q47,$H$5)</f>
        <v>No universe defined.</v>
      </c>
      <c r="U47" s="68"/>
      <c r="V47" s="68"/>
      <c r="W47" s="68"/>
      <c r="X47" s="68" t="str">
        <f>_xll.TR($D47,X$6,"Curn=#2 Scale=6 Transpose=Y Null=BLANK",,$Q47,$H$5)</f>
        <v>No universe defined.</v>
      </c>
      <c r="Y47" s="68"/>
      <c r="Z47" s="68"/>
      <c r="AA47" s="68"/>
      <c r="AB47" s="68" t="str">
        <f>_xll.TR($D47,AB$6,"Curn=#2 Scale=6 Period=FY1:FY3 Transpose=Y Null=BLANK",,$Q47,$H$5)</f>
        <v>No universe defined.</v>
      </c>
      <c r="AC47" s="68"/>
      <c r="AD47" s="68"/>
      <c r="AE47" s="68"/>
      <c r="AF47" s="68" t="str">
        <f>_xll.TR($D47,AF$6,"Curn=#2 Scale=6 Transpose=Y Null=BLANK",,$Q47,$H$5)</f>
        <v>No universe defined.</v>
      </c>
      <c r="AG47" s="68"/>
      <c r="AH47" s="68"/>
      <c r="AI47" s="69"/>
      <c r="AJ47" s="69"/>
      <c r="AK47" s="69"/>
      <c r="AL47" s="69"/>
      <c r="AM47" s="69"/>
      <c r="AN47" s="70"/>
      <c r="AO47" s="70"/>
      <c r="AP47" s="70"/>
      <c r="AQ47" s="70"/>
      <c r="AR47" s="70"/>
      <c r="AS47" s="70"/>
      <c r="AT47" s="71" t="str">
        <f t="shared" si="1"/>
        <v/>
      </c>
      <c r="AU47" s="40"/>
      <c r="AV47" s="40"/>
      <c r="AW47" s="40"/>
      <c r="AX47" s="40"/>
      <c r="AY47" s="40"/>
      <c r="AZ47" s="40"/>
      <c r="BA47" s="40"/>
      <c r="BB47" s="40"/>
      <c r="BC47" s="80"/>
      <c r="BD47" s="80"/>
      <c r="BE47" s="80"/>
      <c r="BF47" s="40"/>
      <c r="BG47" s="40"/>
      <c r="BH47" s="40"/>
      <c r="BI47" s="80"/>
      <c r="BJ47" s="80"/>
      <c r="BK47" s="80"/>
      <c r="BL47" s="40"/>
      <c r="BM47" s="40"/>
      <c r="BN47" s="40"/>
      <c r="BO47" s="40"/>
      <c r="BP47" s="79"/>
      <c r="BQ47" s="79"/>
      <c r="BR47" s="79"/>
      <c r="BS47" s="79"/>
      <c r="BT47" s="40"/>
      <c r="BU47" s="40"/>
      <c r="BV47" s="40"/>
      <c r="BW47" s="40"/>
      <c r="BX47" s="40"/>
      <c r="BY47" s="40"/>
      <c r="BZ47" s="40"/>
      <c r="CA47" s="40"/>
      <c r="CD47" s="93"/>
      <c r="CM47" s="23"/>
      <c r="CN47" s="25"/>
      <c r="CO47" s="25"/>
      <c r="CP47" s="25"/>
      <c r="CQ47" s="23"/>
      <c r="CR47" s="23"/>
      <c r="CS47" s="23"/>
      <c r="CT47" s="23"/>
    </row>
    <row r="48" spans="2:98">
      <c r="B48" s="23"/>
      <c r="C48" s="112"/>
      <c r="D48" s="32" t="str">
        <f t="shared" si="2"/>
        <v/>
      </c>
      <c r="E48" s="32"/>
      <c r="F48" s="66"/>
      <c r="G48" s="32"/>
      <c r="H48" s="79"/>
      <c r="I48" s="40"/>
      <c r="J48" s="40"/>
      <c r="K48" s="40"/>
      <c r="L48" s="40"/>
      <c r="M48" s="40"/>
      <c r="N48" s="67"/>
      <c r="O48" s="40"/>
      <c r="P48" s="40"/>
      <c r="Q48" s="40" t="str">
        <f t="shared" si="0"/>
        <v/>
      </c>
      <c r="R48" s="67" t="str">
        <f>IF(D48="","",_xll.TR($D48,R$6,"Curn=#2 scale=6",,$F48,$H$5))</f>
        <v/>
      </c>
      <c r="S48" s="68"/>
      <c r="T48" s="68" t="str">
        <f>_xll.TR(D48,T$6,"Curn=#2 Scale=6 Transpose=Y Null=BLANK",,$Q48,$H$5)</f>
        <v>No universe defined.</v>
      </c>
      <c r="U48" s="68"/>
      <c r="V48" s="68"/>
      <c r="W48" s="68"/>
      <c r="X48" s="68" t="str">
        <f>_xll.TR($D48,X$6,"Curn=#2 Scale=6 Transpose=Y Null=BLANK",,$Q48,$H$5)</f>
        <v>No universe defined.</v>
      </c>
      <c r="Y48" s="68"/>
      <c r="Z48" s="68"/>
      <c r="AA48" s="68"/>
      <c r="AB48" s="68" t="str">
        <f>_xll.TR($D48,AB$6,"Curn=#2 Scale=6 Period=FY1:FY3 Transpose=Y Null=BLANK",,$Q48,$H$5)</f>
        <v>No universe defined.</v>
      </c>
      <c r="AC48" s="68"/>
      <c r="AD48" s="68"/>
      <c r="AE48" s="68"/>
      <c r="AF48" s="68" t="str">
        <f>_xll.TR($D48,AF$6,"Curn=#2 Scale=6 Transpose=Y Null=BLANK",,$Q48,$H$5)</f>
        <v>No universe defined.</v>
      </c>
      <c r="AG48" s="68"/>
      <c r="AH48" s="68"/>
      <c r="AI48" s="69"/>
      <c r="AJ48" s="69"/>
      <c r="AK48" s="69"/>
      <c r="AL48" s="69"/>
      <c r="AM48" s="69"/>
      <c r="AN48" s="70"/>
      <c r="AO48" s="70"/>
      <c r="AP48" s="70"/>
      <c r="AQ48" s="70"/>
      <c r="AR48" s="70"/>
      <c r="AS48" s="70"/>
      <c r="AT48" s="71" t="str">
        <f t="shared" si="1"/>
        <v/>
      </c>
      <c r="AU48" s="40"/>
      <c r="AV48" s="40"/>
      <c r="AW48" s="40"/>
      <c r="AX48" s="40"/>
      <c r="AY48" s="40"/>
      <c r="AZ48" s="40"/>
      <c r="BA48" s="40"/>
      <c r="BB48" s="40"/>
      <c r="BC48" s="80"/>
      <c r="BD48" s="80"/>
      <c r="BE48" s="80"/>
      <c r="BF48" s="40"/>
      <c r="BG48" s="40"/>
      <c r="BH48" s="40"/>
      <c r="BI48" s="80"/>
      <c r="BJ48" s="80"/>
      <c r="BK48" s="80"/>
      <c r="BL48" s="40"/>
      <c r="BM48" s="40"/>
      <c r="BN48" s="40"/>
      <c r="BO48" s="40"/>
      <c r="BP48" s="79"/>
      <c r="BQ48" s="79"/>
      <c r="BR48" s="79"/>
      <c r="BS48" s="79"/>
      <c r="BT48" s="40"/>
      <c r="BU48" s="40"/>
      <c r="BV48" s="40"/>
      <c r="BW48" s="40"/>
      <c r="BX48" s="40"/>
      <c r="BY48" s="40"/>
      <c r="BZ48" s="40"/>
      <c r="CA48" s="40"/>
      <c r="CD48" s="93"/>
      <c r="CM48" s="23"/>
      <c r="CN48" s="25"/>
      <c r="CO48" s="25"/>
      <c r="CP48" s="25"/>
      <c r="CQ48" s="23"/>
      <c r="CR48" s="23"/>
      <c r="CS48" s="23"/>
      <c r="CT48" s="23"/>
    </row>
    <row r="49" spans="2:98">
      <c r="B49" s="23"/>
      <c r="C49" s="112"/>
      <c r="D49" s="32" t="str">
        <f t="shared" si="2"/>
        <v/>
      </c>
      <c r="E49" s="32"/>
      <c r="F49" s="66"/>
      <c r="G49" s="32"/>
      <c r="H49" s="79"/>
      <c r="I49" s="40"/>
      <c r="J49" s="40"/>
      <c r="K49" s="40"/>
      <c r="L49" s="40"/>
      <c r="M49" s="40"/>
      <c r="N49" s="67"/>
      <c r="O49" s="40"/>
      <c r="P49" s="40"/>
      <c r="Q49" s="40" t="str">
        <f t="shared" si="0"/>
        <v/>
      </c>
      <c r="R49" s="67" t="str">
        <f>IF(D49="","",_xll.TR($D49,R$6,"Curn=#2 scale=6",,$F49,$H$5))</f>
        <v/>
      </c>
      <c r="S49" s="68"/>
      <c r="T49" s="68" t="str">
        <f>_xll.TR(D49,T$6,"Curn=#2 Scale=6 Transpose=Y Null=BLANK",,$Q49,$H$5)</f>
        <v>No universe defined.</v>
      </c>
      <c r="U49" s="68"/>
      <c r="V49" s="68"/>
      <c r="W49" s="68"/>
      <c r="X49" s="68" t="str">
        <f>_xll.TR($D49,X$6,"Curn=#2 Scale=6 Transpose=Y Null=BLANK",,$Q49,$H$5)</f>
        <v>No universe defined.</v>
      </c>
      <c r="Y49" s="68"/>
      <c r="Z49" s="68"/>
      <c r="AA49" s="68"/>
      <c r="AB49" s="68" t="str">
        <f>_xll.TR($D49,AB$6,"Curn=#2 Scale=6 Period=FY1:FY3 Transpose=Y Null=BLANK",,$Q49,$H$5)</f>
        <v>No universe defined.</v>
      </c>
      <c r="AC49" s="68"/>
      <c r="AD49" s="68"/>
      <c r="AE49" s="68"/>
      <c r="AF49" s="68" t="str">
        <f>_xll.TR($D49,AF$6,"Curn=#2 Scale=6 Transpose=Y Null=BLANK",,$Q49,$H$5)</f>
        <v>No universe defined.</v>
      </c>
      <c r="AG49" s="68"/>
      <c r="AH49" s="68"/>
      <c r="AI49" s="69"/>
      <c r="AJ49" s="69"/>
      <c r="AK49" s="69"/>
      <c r="AL49" s="69"/>
      <c r="AM49" s="69"/>
      <c r="AN49" s="70"/>
      <c r="AO49" s="70"/>
      <c r="AP49" s="70"/>
      <c r="AQ49" s="70"/>
      <c r="AR49" s="70"/>
      <c r="AS49" s="70"/>
      <c r="AT49" s="71" t="str">
        <f t="shared" si="1"/>
        <v/>
      </c>
      <c r="AU49" s="40"/>
      <c r="AV49" s="40"/>
      <c r="AW49" s="40"/>
      <c r="AX49" s="40"/>
      <c r="AY49" s="40"/>
      <c r="AZ49" s="40"/>
      <c r="BA49" s="40"/>
      <c r="BB49" s="40"/>
      <c r="BC49" s="80"/>
      <c r="BD49" s="80"/>
      <c r="BE49" s="80"/>
      <c r="BF49" s="40"/>
      <c r="BG49" s="40"/>
      <c r="BH49" s="40"/>
      <c r="BI49" s="80"/>
      <c r="BJ49" s="80"/>
      <c r="BK49" s="80"/>
      <c r="BL49" s="40"/>
      <c r="BM49" s="40"/>
      <c r="BN49" s="40"/>
      <c r="BO49" s="40"/>
      <c r="BP49" s="79"/>
      <c r="BQ49" s="79"/>
      <c r="BR49" s="79"/>
      <c r="BS49" s="79"/>
      <c r="BT49" s="40"/>
      <c r="BU49" s="40"/>
      <c r="BV49" s="40"/>
      <c r="BW49" s="40"/>
      <c r="BX49" s="40"/>
      <c r="BY49" s="40"/>
      <c r="BZ49" s="40"/>
      <c r="CA49" s="40"/>
      <c r="CD49" s="93"/>
      <c r="CM49" s="23"/>
      <c r="CN49" s="25"/>
      <c r="CO49" s="25"/>
      <c r="CP49" s="25"/>
      <c r="CQ49" s="23"/>
      <c r="CR49" s="23"/>
      <c r="CS49" s="23"/>
      <c r="CT49" s="23"/>
    </row>
    <row r="50" spans="2:98">
      <c r="B50" s="23"/>
      <c r="C50" s="112"/>
      <c r="D50" s="32" t="str">
        <f t="shared" si="2"/>
        <v/>
      </c>
      <c r="E50" s="32"/>
      <c r="F50" s="66"/>
      <c r="G50" s="32"/>
      <c r="H50" s="79"/>
      <c r="I50" s="40"/>
      <c r="J50" s="40"/>
      <c r="K50" s="40"/>
      <c r="L50" s="40"/>
      <c r="M50" s="40"/>
      <c r="N50" s="67"/>
      <c r="O50" s="40"/>
      <c r="P50" s="40"/>
      <c r="Q50" s="40" t="str">
        <f t="shared" si="0"/>
        <v/>
      </c>
      <c r="R50" s="67" t="str">
        <f>IF(D50="","",_xll.TR($D50,R$6,"Curn=#2 scale=6",,$F50,$H$5))</f>
        <v/>
      </c>
      <c r="S50" s="68"/>
      <c r="T50" s="68" t="str">
        <f>_xll.TR(D50,T$6,"Curn=#2 Scale=6 Transpose=Y Null=BLANK",,$Q50,$H$5)</f>
        <v>No universe defined.</v>
      </c>
      <c r="U50" s="68"/>
      <c r="V50" s="68"/>
      <c r="W50" s="68"/>
      <c r="X50" s="68" t="str">
        <f>_xll.TR($D50,X$6,"Curn=#2 Scale=6 Transpose=Y Null=BLANK",,$Q50,$H$5)</f>
        <v>No universe defined.</v>
      </c>
      <c r="Y50" s="68"/>
      <c r="Z50" s="68"/>
      <c r="AA50" s="68"/>
      <c r="AB50" s="68" t="str">
        <f>_xll.TR($D50,AB$6,"Curn=#2 Scale=6 Period=FY1:FY3 Transpose=Y Null=BLANK",,$Q50,$H$5)</f>
        <v>No universe defined.</v>
      </c>
      <c r="AC50" s="68"/>
      <c r="AD50" s="68"/>
      <c r="AE50" s="68"/>
      <c r="AF50" s="68" t="str">
        <f>_xll.TR($D50,AF$6,"Curn=#2 Scale=6 Transpose=Y Null=BLANK",,$Q50,$H$5)</f>
        <v>No universe defined.</v>
      </c>
      <c r="AG50" s="68"/>
      <c r="AH50" s="68"/>
      <c r="AI50" s="69"/>
      <c r="AJ50" s="69"/>
      <c r="AK50" s="69"/>
      <c r="AL50" s="69"/>
      <c r="AM50" s="69"/>
      <c r="AN50" s="70"/>
      <c r="AO50" s="70"/>
      <c r="AP50" s="70"/>
      <c r="AQ50" s="70"/>
      <c r="AR50" s="70"/>
      <c r="AS50" s="70"/>
      <c r="AT50" s="71" t="str">
        <f t="shared" si="1"/>
        <v/>
      </c>
      <c r="AU50" s="40"/>
      <c r="AV50" s="40"/>
      <c r="AW50" s="40"/>
      <c r="AX50" s="40"/>
      <c r="AY50" s="40"/>
      <c r="AZ50" s="40"/>
      <c r="BA50" s="40"/>
      <c r="BB50" s="40"/>
      <c r="BC50" s="80"/>
      <c r="BD50" s="80"/>
      <c r="BE50" s="80"/>
      <c r="BF50" s="40"/>
      <c r="BG50" s="40"/>
      <c r="BH50" s="40"/>
      <c r="BI50" s="80"/>
      <c r="BJ50" s="80"/>
      <c r="BK50" s="80"/>
      <c r="BL50" s="40"/>
      <c r="BM50" s="40"/>
      <c r="BN50" s="40"/>
      <c r="BO50" s="40"/>
      <c r="BP50" s="79"/>
      <c r="BQ50" s="79"/>
      <c r="BR50" s="79"/>
      <c r="BS50" s="79"/>
      <c r="BT50" s="40"/>
      <c r="BU50" s="40"/>
      <c r="BV50" s="40"/>
      <c r="BW50" s="40"/>
      <c r="BX50" s="40"/>
      <c r="BY50" s="40"/>
      <c r="BZ50" s="40"/>
      <c r="CA50" s="40"/>
      <c r="CD50" s="93"/>
      <c r="CM50" s="23"/>
      <c r="CN50" s="25"/>
      <c r="CO50" s="25"/>
      <c r="CP50" s="25"/>
      <c r="CQ50" s="23"/>
      <c r="CR50" s="23"/>
      <c r="CS50" s="23"/>
      <c r="CT50" s="23"/>
    </row>
    <row r="51" spans="2:98">
      <c r="B51" s="23"/>
      <c r="C51" s="112"/>
      <c r="D51" s="32" t="str">
        <f t="shared" si="2"/>
        <v/>
      </c>
      <c r="E51" s="32"/>
      <c r="F51" s="66"/>
      <c r="G51" s="32"/>
      <c r="H51" s="79"/>
      <c r="I51" s="40"/>
      <c r="J51" s="40"/>
      <c r="K51" s="40"/>
      <c r="L51" s="40"/>
      <c r="M51" s="40"/>
      <c r="N51" s="67"/>
      <c r="O51" s="40"/>
      <c r="P51" s="40"/>
      <c r="Q51" s="40" t="str">
        <f t="shared" si="0"/>
        <v/>
      </c>
      <c r="R51" s="67" t="str">
        <f>IF(D51="","",_xll.TR($D51,R$6,"Curn=#2 scale=6",,$F51,$H$5))</f>
        <v/>
      </c>
      <c r="S51" s="68"/>
      <c r="T51" s="68" t="str">
        <f>_xll.TR(D51,T$6,"Curn=#2 Scale=6 Transpose=Y Null=BLANK",,$Q51,$H$5)</f>
        <v>No universe defined.</v>
      </c>
      <c r="U51" s="68"/>
      <c r="V51" s="68"/>
      <c r="W51" s="68"/>
      <c r="X51" s="68" t="str">
        <f>_xll.TR($D51,X$6,"Curn=#2 Scale=6 Transpose=Y Null=BLANK",,$Q51,$H$5)</f>
        <v>No universe defined.</v>
      </c>
      <c r="Y51" s="68"/>
      <c r="Z51" s="68"/>
      <c r="AA51" s="68"/>
      <c r="AB51" s="68" t="str">
        <f>_xll.TR($D51,AB$6,"Curn=#2 Scale=6 Period=FY1:FY3 Transpose=Y Null=BLANK",,$Q51,$H$5)</f>
        <v>No universe defined.</v>
      </c>
      <c r="AC51" s="68"/>
      <c r="AD51" s="68"/>
      <c r="AE51" s="68"/>
      <c r="AF51" s="68" t="str">
        <f>_xll.TR($D51,AF$6,"Curn=#2 Scale=6 Transpose=Y Null=BLANK",,$Q51,$H$5)</f>
        <v>No universe defined.</v>
      </c>
      <c r="AG51" s="68"/>
      <c r="AH51" s="68"/>
      <c r="AI51" s="69"/>
      <c r="AJ51" s="69"/>
      <c r="AK51" s="69"/>
      <c r="AL51" s="69"/>
      <c r="AM51" s="69"/>
      <c r="AN51" s="70"/>
      <c r="AO51" s="70"/>
      <c r="AP51" s="70"/>
      <c r="AQ51" s="70"/>
      <c r="AR51" s="70"/>
      <c r="AS51" s="70"/>
      <c r="AT51" s="71" t="str">
        <f t="shared" si="1"/>
        <v/>
      </c>
      <c r="AU51" s="40"/>
      <c r="AV51" s="40"/>
      <c r="AW51" s="40"/>
      <c r="AX51" s="40"/>
      <c r="AY51" s="40"/>
      <c r="AZ51" s="40"/>
      <c r="BA51" s="40"/>
      <c r="BB51" s="40"/>
      <c r="BC51" s="80"/>
      <c r="BD51" s="80"/>
      <c r="BE51" s="80"/>
      <c r="BF51" s="40"/>
      <c r="BG51" s="40"/>
      <c r="BH51" s="40"/>
      <c r="BI51" s="80"/>
      <c r="BJ51" s="80"/>
      <c r="BK51" s="80"/>
      <c r="BL51" s="40"/>
      <c r="BM51" s="40"/>
      <c r="BN51" s="40"/>
      <c r="BO51" s="40"/>
      <c r="BP51" s="79"/>
      <c r="BQ51" s="79"/>
      <c r="BR51" s="79"/>
      <c r="BS51" s="79"/>
      <c r="BT51" s="40"/>
      <c r="BU51" s="40"/>
      <c r="BV51" s="40"/>
      <c r="BW51" s="40"/>
      <c r="BX51" s="40"/>
      <c r="BY51" s="40"/>
      <c r="BZ51" s="40"/>
      <c r="CA51" s="40"/>
      <c r="CD51" s="93"/>
      <c r="CM51" s="23"/>
      <c r="CN51" s="25"/>
      <c r="CO51" s="25"/>
      <c r="CP51" s="25"/>
      <c r="CQ51" s="23"/>
      <c r="CR51" s="23"/>
      <c r="CS51" s="23"/>
      <c r="CT51" s="23"/>
    </row>
    <row r="52" spans="2:98">
      <c r="B52" s="23"/>
      <c r="C52" s="112"/>
      <c r="D52" s="32" t="str">
        <f t="shared" si="2"/>
        <v/>
      </c>
      <c r="E52" s="32"/>
      <c r="F52" s="66"/>
      <c r="G52" s="32"/>
      <c r="H52" s="79"/>
      <c r="I52" s="40"/>
      <c r="J52" s="40"/>
      <c r="K52" s="40"/>
      <c r="L52" s="40"/>
      <c r="M52" s="40"/>
      <c r="N52" s="67"/>
      <c r="O52" s="40"/>
      <c r="P52" s="40"/>
      <c r="Q52" s="40" t="str">
        <f t="shared" si="0"/>
        <v/>
      </c>
      <c r="R52" s="67" t="str">
        <f>IF(D52="","",_xll.TR($D52,R$6,"Curn=#2 scale=6",,$F52,$H$5))</f>
        <v/>
      </c>
      <c r="S52" s="68"/>
      <c r="T52" s="68" t="str">
        <f>_xll.TR(D52,T$6,"Curn=#2 Scale=6 Transpose=Y Null=BLANK",,$Q52,$H$5)</f>
        <v>No universe defined.</v>
      </c>
      <c r="U52" s="68"/>
      <c r="V52" s="68"/>
      <c r="W52" s="68"/>
      <c r="X52" s="68" t="str">
        <f>_xll.TR($D52,X$6,"Curn=#2 Scale=6 Transpose=Y Null=BLANK",,$Q52,$H$5)</f>
        <v>No universe defined.</v>
      </c>
      <c r="Y52" s="68"/>
      <c r="Z52" s="68"/>
      <c r="AA52" s="68"/>
      <c r="AB52" s="68" t="str">
        <f>_xll.TR($D52,AB$6,"Curn=#2 Scale=6 Period=FY1:FY3 Transpose=Y Null=BLANK",,$Q52,$H$5)</f>
        <v>No universe defined.</v>
      </c>
      <c r="AC52" s="68"/>
      <c r="AD52" s="68"/>
      <c r="AE52" s="68"/>
      <c r="AF52" s="68" t="str">
        <f>_xll.TR($D52,AF$6,"Curn=#2 Scale=6 Transpose=Y Null=BLANK",,$Q52,$H$5)</f>
        <v>No universe defined.</v>
      </c>
      <c r="AG52" s="68"/>
      <c r="AH52" s="68"/>
      <c r="AI52" s="69"/>
      <c r="AJ52" s="69"/>
      <c r="AK52" s="69"/>
      <c r="AL52" s="69"/>
      <c r="AM52" s="69"/>
      <c r="AN52" s="70"/>
      <c r="AO52" s="70"/>
      <c r="AP52" s="70"/>
      <c r="AQ52" s="70"/>
      <c r="AR52" s="70"/>
      <c r="AS52" s="70"/>
      <c r="AT52" s="71" t="str">
        <f t="shared" si="1"/>
        <v/>
      </c>
      <c r="AU52" s="40"/>
      <c r="AV52" s="40"/>
      <c r="AW52" s="40"/>
      <c r="AX52" s="40"/>
      <c r="AY52" s="40"/>
      <c r="AZ52" s="40"/>
      <c r="BA52" s="40"/>
      <c r="BB52" s="40"/>
      <c r="BC52" s="80"/>
      <c r="BD52" s="80"/>
      <c r="BE52" s="80"/>
      <c r="BF52" s="40"/>
      <c r="BG52" s="40"/>
      <c r="BH52" s="40"/>
      <c r="BI52" s="80"/>
      <c r="BJ52" s="80"/>
      <c r="BK52" s="80"/>
      <c r="BL52" s="40"/>
      <c r="BM52" s="40"/>
      <c r="BN52" s="40"/>
      <c r="BO52" s="40"/>
      <c r="BP52" s="79"/>
      <c r="BQ52" s="79"/>
      <c r="BR52" s="79"/>
      <c r="BS52" s="79"/>
      <c r="BT52" s="40"/>
      <c r="BU52" s="40"/>
      <c r="BV52" s="40"/>
      <c r="BW52" s="40"/>
      <c r="BX52" s="40"/>
      <c r="BY52" s="40"/>
      <c r="BZ52" s="40"/>
      <c r="CA52" s="40"/>
      <c r="CD52" s="93"/>
      <c r="CM52" s="23"/>
      <c r="CN52" s="25"/>
      <c r="CO52" s="25"/>
      <c r="CP52" s="25"/>
      <c r="CQ52" s="23"/>
      <c r="CR52" s="23"/>
      <c r="CS52" s="23"/>
      <c r="CT52" s="23"/>
    </row>
    <row r="53" spans="2:98">
      <c r="B53" s="23"/>
      <c r="C53" s="112"/>
      <c r="D53" s="32" t="str">
        <f t="shared" si="2"/>
        <v/>
      </c>
      <c r="E53" s="32"/>
      <c r="F53" s="66"/>
      <c r="G53" s="32"/>
      <c r="H53" s="79"/>
      <c r="I53" s="40"/>
      <c r="J53" s="40"/>
      <c r="K53" s="40"/>
      <c r="L53" s="40"/>
      <c r="M53" s="40"/>
      <c r="N53" s="67"/>
      <c r="O53" s="40"/>
      <c r="P53" s="40"/>
      <c r="Q53" s="40" t="str">
        <f t="shared" si="0"/>
        <v/>
      </c>
      <c r="R53" s="67" t="str">
        <f>IF(D53="","",_xll.TR($D53,R$6,"Curn=#2 scale=6",,$F53,$H$5))</f>
        <v/>
      </c>
      <c r="S53" s="68"/>
      <c r="T53" s="68" t="str">
        <f>_xll.TR(D53,T$6,"Curn=#2 Scale=6 Transpose=Y Null=BLANK",,$Q53,$H$5)</f>
        <v>No universe defined.</v>
      </c>
      <c r="U53" s="68" t="str">
        <f>IF($D53="","",IFERROR(_xll.TR($D53,U$6,"Curn=#2 Scale=6 Null=BLANK",,$Q53,$H$5),"-"))</f>
        <v/>
      </c>
      <c r="V53" s="68" t="str">
        <f>IF($D53="","",IFERROR(_xll.TR($D53,V$6,"Curn=#2 Scale=6 Null=BLANK",,$Q53,$H$5),"-"))</f>
        <v/>
      </c>
      <c r="W53" s="68"/>
      <c r="X53" s="68" t="str">
        <f>_xll.TR($D53,X$6,"Curn=#2 Scale=6 Transpose=Y Null=BLANK",,$Q53,$H$5)</f>
        <v>No universe defined.</v>
      </c>
      <c r="Y53" s="68" t="str">
        <f>IF($D53="","",IFERROR($Q53/_xll.TR($D53,Y$6,"Curn=#1 Scale=6 Null=BLANK",,$H$5),"-"))</f>
        <v/>
      </c>
      <c r="Z53" s="68" t="str">
        <f>IF($D53="","",IFERROR($Q53/_xll.TR($D53,Z$6,"Curn=#1 Scale=6 Null=BLANK",,$H$5),"-"))</f>
        <v/>
      </c>
      <c r="AA53" s="68"/>
      <c r="AB53" s="68" t="str">
        <f>_xll.TR($D53,AB$6,"Curn=#2 Scale=6 Period=FY1:FY3 Transpose=Y Null=BLANK",,$Q53,$H$5)</f>
        <v>No universe defined.</v>
      </c>
      <c r="AC53" s="68"/>
      <c r="AD53" s="68"/>
      <c r="AE53" s="68"/>
      <c r="AF53" s="68" t="str">
        <f>_xll.TR($D53,AF$6,"Curn=#2 Scale=6 Transpose=Y Null=BLANK",,$Q53,$H$5)</f>
        <v>No universe defined.</v>
      </c>
      <c r="AG53" s="68"/>
      <c r="AH53" s="68"/>
      <c r="AI53" s="69"/>
      <c r="AJ53" s="69"/>
      <c r="AK53" s="69"/>
      <c r="AL53" s="69"/>
      <c r="AM53" s="69"/>
      <c r="AN53" s="70"/>
      <c r="AO53" s="70"/>
      <c r="AP53" s="70"/>
      <c r="AQ53" s="70"/>
      <c r="AR53" s="70"/>
      <c r="AS53" s="70"/>
      <c r="AT53" s="71" t="str">
        <f t="shared" si="1"/>
        <v/>
      </c>
      <c r="AU53" s="40"/>
      <c r="AV53" s="40"/>
      <c r="AW53" s="40"/>
      <c r="AX53" s="40"/>
      <c r="AY53" s="40"/>
      <c r="AZ53" s="40"/>
      <c r="BA53" s="40"/>
      <c r="BB53" s="40"/>
      <c r="BC53" s="80"/>
      <c r="BD53" s="80"/>
      <c r="BE53" s="80"/>
      <c r="BF53" s="40"/>
      <c r="BG53" s="40"/>
      <c r="BH53" s="40"/>
      <c r="BI53" s="80"/>
      <c r="BJ53" s="80"/>
      <c r="BK53" s="80"/>
      <c r="BL53" s="40"/>
      <c r="BM53" s="40"/>
      <c r="BN53" s="40"/>
      <c r="BO53" s="40"/>
      <c r="BP53" s="79"/>
      <c r="BQ53" s="79"/>
      <c r="BR53" s="79"/>
      <c r="BS53" s="79"/>
      <c r="BT53" s="40"/>
      <c r="BU53" s="40"/>
      <c r="BV53" s="40"/>
      <c r="BW53" s="40"/>
      <c r="BX53" s="40"/>
      <c r="BY53" s="40"/>
      <c r="BZ53" s="40"/>
      <c r="CA53" s="40"/>
      <c r="CD53" s="56"/>
      <c r="CM53" s="23"/>
      <c r="CN53" s="25"/>
      <c r="CO53" s="25"/>
      <c r="CP53" s="25"/>
      <c r="CQ53" s="23"/>
      <c r="CR53" s="23"/>
      <c r="CS53" s="23"/>
      <c r="CT53" s="23"/>
    </row>
    <row r="54" spans="2:98">
      <c r="B54" s="23"/>
      <c r="C54" s="112"/>
      <c r="D54" s="32" t="str">
        <f t="shared" si="2"/>
        <v/>
      </c>
      <c r="E54" s="32"/>
      <c r="F54" s="66"/>
      <c r="G54" s="32"/>
      <c r="H54" s="79"/>
      <c r="I54" s="40"/>
      <c r="J54" s="40"/>
      <c r="K54" s="40"/>
      <c r="L54" s="40"/>
      <c r="M54" s="40"/>
      <c r="N54" s="67"/>
      <c r="O54" s="40"/>
      <c r="P54" s="40"/>
      <c r="Q54" s="40" t="str">
        <f t="shared" si="0"/>
        <v/>
      </c>
      <c r="R54" s="67" t="str">
        <f>IF(D54="","",_xll.TR($D54,R$6,"Curn=#2 scale=6",,$F54,$H$5))</f>
        <v/>
      </c>
      <c r="S54" s="68"/>
      <c r="T54" s="68" t="str">
        <f>_xll.TR(D54,T$6,"Curn=#2 Scale=6 Transpose=Y Null=BLANK",,$Q54,$H$5)</f>
        <v>No universe defined.</v>
      </c>
      <c r="U54" s="68" t="str">
        <f>IF($D54="","",IFERROR(_xll.TR($D54,U$6,"Curn=#2 Scale=6 Null=BLANK",,$Q54,$H$5),"-"))</f>
        <v/>
      </c>
      <c r="V54" s="68" t="str">
        <f>IF($D54="","",IFERROR(_xll.TR($D54,V$6,"Curn=#2 Scale=6 Null=BLANK",,$Q54,$H$5),"-"))</f>
        <v/>
      </c>
      <c r="W54" s="68"/>
      <c r="X54" s="68" t="str">
        <f>_xll.TR($D54,X$6,"Curn=#2 Scale=6 Transpose=Y Null=BLANK",,$Q54,$H$5)</f>
        <v>No universe defined.</v>
      </c>
      <c r="Y54" s="68" t="str">
        <f>IF($D54="","",IFERROR($Q54/_xll.TR($D54,Y$6,"Curn=#1 Scale=6 Null=BLANK",,$H$5),"-"))</f>
        <v/>
      </c>
      <c r="Z54" s="68" t="str">
        <f>IF($D54="","",IFERROR($Q54/_xll.TR($D54,Z$6,"Curn=#1 Scale=6 Null=BLANK",,$H$5),"-"))</f>
        <v/>
      </c>
      <c r="AA54" s="68"/>
      <c r="AB54" s="68" t="str">
        <f>_xll.TR($D54,AB$6,"Curn=#2 Scale=6 Period=FY1:FY3 Transpose=Y Null=BLANK",,$Q54,$H$5)</f>
        <v>No universe defined.</v>
      </c>
      <c r="AC54" s="68"/>
      <c r="AD54" s="68"/>
      <c r="AE54" s="68"/>
      <c r="AF54" s="68" t="str">
        <f>_xll.TR($D54,AF$6,"Curn=#2 Scale=6 Transpose=Y Null=BLANK",,$Q54,$H$5)</f>
        <v>No universe defined.</v>
      </c>
      <c r="AG54" s="68"/>
      <c r="AH54" s="68"/>
      <c r="AI54" s="69"/>
      <c r="AJ54" s="69"/>
      <c r="AK54" s="69"/>
      <c r="AL54" s="69"/>
      <c r="AM54" s="69"/>
      <c r="AN54" s="70"/>
      <c r="AO54" s="70"/>
      <c r="AP54" s="70"/>
      <c r="AQ54" s="70"/>
      <c r="AR54" s="70"/>
      <c r="AS54" s="70"/>
      <c r="AT54" s="71" t="str">
        <f t="shared" si="1"/>
        <v/>
      </c>
      <c r="AU54" s="40"/>
      <c r="AV54" s="40"/>
      <c r="AW54" s="40"/>
      <c r="AX54" s="40"/>
      <c r="AY54" s="40"/>
      <c r="AZ54" s="40"/>
      <c r="BA54" s="40"/>
      <c r="BB54" s="40"/>
      <c r="BC54" s="80"/>
      <c r="BD54" s="80"/>
      <c r="BE54" s="80"/>
      <c r="BF54" s="40"/>
      <c r="BG54" s="40"/>
      <c r="BH54" s="40"/>
      <c r="BI54" s="80"/>
      <c r="BJ54" s="80"/>
      <c r="BK54" s="80"/>
      <c r="BL54" s="40"/>
      <c r="BM54" s="40"/>
      <c r="BN54" s="40"/>
      <c r="BO54" s="40"/>
      <c r="BP54" s="79"/>
      <c r="BQ54" s="79"/>
      <c r="BR54" s="79"/>
      <c r="BS54" s="79"/>
      <c r="BT54" s="40"/>
      <c r="BU54" s="40"/>
      <c r="BV54" s="40"/>
      <c r="BW54" s="40"/>
      <c r="BX54" s="40"/>
      <c r="BY54" s="40"/>
      <c r="BZ54" s="40"/>
      <c r="CA54" s="40"/>
      <c r="CD54" s="56"/>
      <c r="CM54" s="23"/>
      <c r="CN54" s="25"/>
      <c r="CO54" s="25"/>
      <c r="CP54" s="25"/>
      <c r="CQ54" s="23"/>
      <c r="CR54" s="23"/>
      <c r="CS54" s="23"/>
      <c r="CT54" s="23"/>
    </row>
    <row r="55" spans="2:98">
      <c r="B55" s="23"/>
      <c r="C55" s="112"/>
      <c r="D55" s="32" t="str">
        <f t="shared" si="2"/>
        <v/>
      </c>
      <c r="E55" s="32"/>
      <c r="F55" s="66"/>
      <c r="G55" s="32"/>
      <c r="H55" s="79"/>
      <c r="I55" s="40"/>
      <c r="J55" s="40"/>
      <c r="K55" s="40"/>
      <c r="L55" s="40"/>
      <c r="M55" s="40"/>
      <c r="N55" s="67"/>
      <c r="O55" s="40"/>
      <c r="P55" s="40"/>
      <c r="Q55" s="40" t="str">
        <f t="shared" si="0"/>
        <v/>
      </c>
      <c r="R55" s="67" t="str">
        <f>IF(D55="","",_xll.TR($D55,R$6,"Curn=#2 scale=6",,$F55,$H$5))</f>
        <v/>
      </c>
      <c r="S55" s="68"/>
      <c r="T55" s="68" t="str">
        <f>_xll.TR(D55,T$6,"Curn=#2 Scale=6 Transpose=Y Null=BLANK",,$Q55,$H$5)</f>
        <v>No universe defined.</v>
      </c>
      <c r="U55" s="68" t="str">
        <f>IF($D55="","",IFERROR(_xll.TR($D55,U$6,"Curn=#2 Scale=6 Null=BLANK",,$Q55,$H$5),"-"))</f>
        <v/>
      </c>
      <c r="V55" s="68" t="str">
        <f>IF($D55="","",IFERROR(_xll.TR($D55,V$6,"Curn=#2 Scale=6 Null=BLANK",,$Q55,$H$5),"-"))</f>
        <v/>
      </c>
      <c r="W55" s="68"/>
      <c r="X55" s="68" t="str">
        <f>_xll.TR($D55,X$6,"Curn=#2 Scale=6 Transpose=Y Null=BLANK",,$Q55,$H$5)</f>
        <v>No universe defined.</v>
      </c>
      <c r="Y55" s="68" t="str">
        <f>IF($D55="","",IFERROR($Q55/_xll.TR($D55,Y$6,"Curn=#1 Scale=6 Null=BLANK",,$H$5),"-"))</f>
        <v/>
      </c>
      <c r="Z55" s="68" t="str">
        <f>IF($D55="","",IFERROR($Q55/_xll.TR($D55,Z$6,"Curn=#1 Scale=6 Null=BLANK",,$H$5),"-"))</f>
        <v/>
      </c>
      <c r="AA55" s="68"/>
      <c r="AB55" s="68" t="str">
        <f>_xll.TR($D55,AB$6,"Curn=#2 Scale=6 Period=FY1:FY3 Transpose=Y Null=BLANK",,$Q55,$H$5)</f>
        <v>No universe defined.</v>
      </c>
      <c r="AC55" s="68"/>
      <c r="AD55" s="68"/>
      <c r="AE55" s="68"/>
      <c r="AF55" s="68" t="str">
        <f>_xll.TR($D55,AF$6,"Curn=#2 Scale=6 Transpose=Y Null=BLANK",,$Q55,$H$5)</f>
        <v>No universe defined.</v>
      </c>
      <c r="AG55" s="68"/>
      <c r="AH55" s="68"/>
      <c r="AI55" s="69"/>
      <c r="AJ55" s="69"/>
      <c r="AK55" s="69"/>
      <c r="AL55" s="69"/>
      <c r="AM55" s="69"/>
      <c r="AN55" s="70"/>
      <c r="AO55" s="70"/>
      <c r="AP55" s="70"/>
      <c r="AQ55" s="70"/>
      <c r="AR55" s="70"/>
      <c r="AS55" s="70"/>
      <c r="AT55" s="71" t="str">
        <f t="shared" si="1"/>
        <v/>
      </c>
      <c r="AU55" s="40"/>
      <c r="AV55" s="40"/>
      <c r="AW55" s="40"/>
      <c r="AX55" s="40"/>
      <c r="AY55" s="40"/>
      <c r="AZ55" s="40"/>
      <c r="BA55" s="40"/>
      <c r="BB55" s="40"/>
      <c r="BC55" s="80"/>
      <c r="BD55" s="80"/>
      <c r="BE55" s="80"/>
      <c r="BF55" s="40"/>
      <c r="BG55" s="40"/>
      <c r="BH55" s="40"/>
      <c r="BI55" s="80"/>
      <c r="BJ55" s="80"/>
      <c r="BK55" s="80"/>
      <c r="BL55" s="40"/>
      <c r="BM55" s="40"/>
      <c r="BN55" s="40"/>
      <c r="BO55" s="40"/>
      <c r="BP55" s="79"/>
      <c r="BQ55" s="79"/>
      <c r="BR55" s="79"/>
      <c r="BS55" s="79"/>
      <c r="BT55" s="40"/>
      <c r="BU55" s="40"/>
      <c r="BV55" s="40"/>
      <c r="BW55" s="40"/>
      <c r="BX55" s="40"/>
      <c r="BY55" s="40"/>
      <c r="BZ55" s="40"/>
      <c r="CA55" s="40"/>
      <c r="CD55" s="56"/>
      <c r="CM55" s="23"/>
      <c r="CN55" s="25"/>
      <c r="CO55" s="25"/>
      <c r="CP55" s="25"/>
      <c r="CQ55" s="23"/>
      <c r="CR55" s="23"/>
      <c r="CS55" s="23"/>
      <c r="CT55" s="23"/>
    </row>
    <row r="56" spans="2:98">
      <c r="B56" s="23"/>
      <c r="C56" s="112"/>
      <c r="D56" s="32" t="str">
        <f t="shared" si="2"/>
        <v/>
      </c>
      <c r="E56" s="32"/>
      <c r="F56" s="66"/>
      <c r="G56" s="32"/>
      <c r="H56" s="79"/>
      <c r="I56" s="40"/>
      <c r="J56" s="40"/>
      <c r="K56" s="40"/>
      <c r="L56" s="40"/>
      <c r="M56" s="40"/>
      <c r="N56" s="67"/>
      <c r="O56" s="40"/>
      <c r="P56" s="40"/>
      <c r="Q56" s="40" t="str">
        <f t="shared" si="0"/>
        <v/>
      </c>
      <c r="R56" s="67" t="str">
        <f>IF(D56="","",_xll.TR($D56,R$6,"Curn=#2 scale=6",,$F56,$H$5))</f>
        <v/>
      </c>
      <c r="S56" s="68"/>
      <c r="T56" s="68" t="str">
        <f>_xll.TR(D56,T$6,"Curn=#2 Scale=6 Transpose=Y Null=BLANK",,$Q56,$H$5)</f>
        <v>No universe defined.</v>
      </c>
      <c r="U56" s="68" t="str">
        <f>IF($D56="","",IFERROR(_xll.TR($D56,U$6,"Curn=#2 Scale=6 Null=BLANK",,$Q56,$H$5),"-"))</f>
        <v/>
      </c>
      <c r="V56" s="68" t="str">
        <f>IF($D56="","",IFERROR(_xll.TR($D56,V$6,"Curn=#2 Scale=6 Null=BLANK",,$Q56,$H$5),"-"))</f>
        <v/>
      </c>
      <c r="W56" s="68"/>
      <c r="X56" s="68" t="str">
        <f>_xll.TR($D56,X$6,"Curn=#2 Scale=6 Transpose=Y Null=BLANK",,$Q56,$H$5)</f>
        <v>No universe defined.</v>
      </c>
      <c r="Y56" s="68" t="str">
        <f>IF($D56="","",IFERROR($Q56/_xll.TR($D56,Y$6,"Curn=#1 Scale=6 Null=BLANK",,$H$5),"-"))</f>
        <v/>
      </c>
      <c r="Z56" s="68" t="str">
        <f>IF($D56="","",IFERROR($Q56/_xll.TR($D56,Z$6,"Curn=#1 Scale=6 Null=BLANK",,$H$5),"-"))</f>
        <v/>
      </c>
      <c r="AA56" s="68"/>
      <c r="AB56" s="68" t="str">
        <f>_xll.TR($D56,AB$6,"Curn=#2 Scale=6 Period=FY1:FY3 Transpose=Y Null=BLANK",,$Q56,$H$5)</f>
        <v>No universe defined.</v>
      </c>
      <c r="AC56" s="68"/>
      <c r="AD56" s="68"/>
      <c r="AE56" s="68"/>
      <c r="AF56" s="68" t="str">
        <f>_xll.TR($D56,AF$6,"Curn=#2 Scale=6 Transpose=Y Null=BLANK",,$Q56,$H$5)</f>
        <v>No universe defined.</v>
      </c>
      <c r="AG56" s="68"/>
      <c r="AH56" s="68"/>
      <c r="AI56" s="69"/>
      <c r="AJ56" s="69"/>
      <c r="AK56" s="69"/>
      <c r="AL56" s="69"/>
      <c r="AM56" s="69"/>
      <c r="AN56" s="70"/>
      <c r="AO56" s="70"/>
      <c r="AP56" s="70"/>
      <c r="AQ56" s="70"/>
      <c r="AR56" s="70"/>
      <c r="AS56" s="70"/>
      <c r="AT56" s="71" t="str">
        <f t="shared" si="1"/>
        <v/>
      </c>
      <c r="AU56" s="40"/>
      <c r="AV56" s="40"/>
      <c r="AW56" s="40"/>
      <c r="AX56" s="40"/>
      <c r="AY56" s="40"/>
      <c r="AZ56" s="40"/>
      <c r="BA56" s="40"/>
      <c r="BB56" s="40"/>
      <c r="BC56" s="80"/>
      <c r="BD56" s="80"/>
      <c r="BE56" s="80"/>
      <c r="BF56" s="40"/>
      <c r="BG56" s="40"/>
      <c r="BH56" s="40"/>
      <c r="BI56" s="80"/>
      <c r="BJ56" s="80"/>
      <c r="BK56" s="80"/>
      <c r="BL56" s="40"/>
      <c r="BM56" s="40"/>
      <c r="BN56" s="40"/>
      <c r="BO56" s="40"/>
      <c r="BP56" s="79"/>
      <c r="BQ56" s="79"/>
      <c r="BR56" s="79"/>
      <c r="BS56" s="79"/>
      <c r="BT56" s="40"/>
      <c r="BU56" s="40"/>
      <c r="BV56" s="40"/>
      <c r="BW56" s="40"/>
      <c r="BX56" s="40"/>
      <c r="BY56" s="40"/>
      <c r="BZ56" s="40"/>
      <c r="CA56" s="40"/>
      <c r="CD56" s="56"/>
      <c r="CM56" s="23"/>
      <c r="CN56" s="25"/>
      <c r="CO56" s="25"/>
      <c r="CP56" s="25"/>
      <c r="CQ56" s="23"/>
      <c r="CR56" s="23"/>
      <c r="CS56" s="23"/>
      <c r="CT56" s="23"/>
    </row>
    <row r="57" spans="2:98">
      <c r="B57" s="23"/>
      <c r="C57" s="112"/>
      <c r="D57" s="32" t="str">
        <f t="shared" si="2"/>
        <v/>
      </c>
      <c r="E57" s="32"/>
      <c r="F57" s="66"/>
      <c r="G57" s="32"/>
      <c r="H57" s="79"/>
      <c r="I57" s="40"/>
      <c r="J57" s="40"/>
      <c r="K57" s="40"/>
      <c r="L57" s="40"/>
      <c r="M57" s="40"/>
      <c r="N57" s="67"/>
      <c r="O57" s="40"/>
      <c r="P57" s="40"/>
      <c r="Q57" s="40" t="str">
        <f t="shared" si="0"/>
        <v/>
      </c>
      <c r="R57" s="67" t="str">
        <f>IF(D57="","",_xll.TR($D57,R$6,"Curn=#2 scale=6",,$F57,$H$5))</f>
        <v/>
      </c>
      <c r="S57" s="68"/>
      <c r="T57" s="68" t="str">
        <f>_xll.TR(D57,T$6,"Curn=#2 Scale=6 Transpose=Y Null=BLANK",,$Q57,$H$5)</f>
        <v>No universe defined.</v>
      </c>
      <c r="U57" s="68" t="str">
        <f>IF($D57="","",IFERROR(_xll.TR($D57,U$6,"Curn=#2 Scale=6 Null=BLANK",,$Q57,$H$5),"-"))</f>
        <v/>
      </c>
      <c r="V57" s="68" t="str">
        <f>IF($D57="","",IFERROR(_xll.TR($D57,V$6,"Curn=#2 Scale=6 Null=BLANK",,$Q57,$H$5),"-"))</f>
        <v/>
      </c>
      <c r="W57" s="68"/>
      <c r="X57" s="68" t="str">
        <f>_xll.TR($D57,X$6,"Curn=#2 Scale=6 Transpose=Y Null=BLANK",,$Q57,$H$5)</f>
        <v>No universe defined.</v>
      </c>
      <c r="Y57" s="68" t="str">
        <f>IF($D57="","",IFERROR($Q57/_xll.TR($D57,Y$6,"Curn=#1 Scale=6 Null=BLANK",,$H$5),"-"))</f>
        <v/>
      </c>
      <c r="Z57" s="68" t="str">
        <f>IF($D57="","",IFERROR($Q57/_xll.TR($D57,Z$6,"Curn=#1 Scale=6 Null=BLANK",,$H$5),"-"))</f>
        <v/>
      </c>
      <c r="AA57" s="68"/>
      <c r="AB57" s="68" t="str">
        <f>_xll.TR($D57,AB$6,"Curn=#2 Scale=6 Period=FY1:FY3 Transpose=Y Null=BLANK",,$Q57,$H$5)</f>
        <v>No universe defined.</v>
      </c>
      <c r="AC57" s="68"/>
      <c r="AD57" s="68"/>
      <c r="AE57" s="68"/>
      <c r="AF57" s="68" t="str">
        <f>_xll.TR($D57,AF$6,"Curn=#2 Scale=6 Transpose=Y Null=BLANK",,$Q57,$H$5)</f>
        <v>No universe defined.</v>
      </c>
      <c r="AG57" s="68"/>
      <c r="AH57" s="68"/>
      <c r="AI57" s="69"/>
      <c r="AJ57" s="69"/>
      <c r="AK57" s="69"/>
      <c r="AL57" s="69"/>
      <c r="AM57" s="69"/>
      <c r="AN57" s="70"/>
      <c r="AO57" s="70"/>
      <c r="AP57" s="70"/>
      <c r="AQ57" s="70"/>
      <c r="AR57" s="70"/>
      <c r="AS57" s="70"/>
      <c r="AT57" s="71" t="str">
        <f t="shared" si="1"/>
        <v/>
      </c>
      <c r="AU57" s="40"/>
      <c r="AV57" s="40"/>
      <c r="AW57" s="40"/>
      <c r="AX57" s="40"/>
      <c r="AY57" s="40"/>
      <c r="AZ57" s="40"/>
      <c r="BA57" s="40"/>
      <c r="BB57" s="40"/>
      <c r="BC57" s="80"/>
      <c r="BD57" s="80"/>
      <c r="BE57" s="80"/>
      <c r="BF57" s="40"/>
      <c r="BG57" s="40"/>
      <c r="BH57" s="40"/>
      <c r="BI57" s="80"/>
      <c r="BJ57" s="80"/>
      <c r="BK57" s="80"/>
      <c r="BL57" s="40"/>
      <c r="BM57" s="40"/>
      <c r="BN57" s="40"/>
      <c r="BO57" s="40"/>
      <c r="BP57" s="79"/>
      <c r="BQ57" s="79"/>
      <c r="BR57" s="79"/>
      <c r="BS57" s="79"/>
      <c r="BT57" s="40"/>
      <c r="BU57" s="40"/>
      <c r="BV57" s="40"/>
      <c r="BW57" s="40"/>
      <c r="BX57" s="40"/>
      <c r="BY57" s="40"/>
      <c r="BZ57" s="40"/>
      <c r="CA57" s="40"/>
      <c r="CD57" s="56"/>
      <c r="CM57" s="23"/>
      <c r="CN57" s="25"/>
      <c r="CO57" s="25"/>
      <c r="CP57" s="25"/>
      <c r="CQ57" s="23"/>
      <c r="CR57" s="23"/>
      <c r="CS57" s="23"/>
      <c r="CT57" s="23"/>
    </row>
    <row r="58" spans="2:98">
      <c r="B58" s="23"/>
      <c r="C58" s="112"/>
      <c r="D58" s="32" t="str">
        <f t="shared" si="2"/>
        <v/>
      </c>
      <c r="E58" s="32"/>
      <c r="F58" s="66"/>
      <c r="G58" s="32"/>
      <c r="H58" s="79"/>
      <c r="I58" s="40"/>
      <c r="J58" s="40"/>
      <c r="K58" s="40"/>
      <c r="L58" s="40"/>
      <c r="M58" s="40"/>
      <c r="N58" s="67"/>
      <c r="O58" s="40"/>
      <c r="P58" s="40"/>
      <c r="Q58" s="40" t="str">
        <f t="shared" si="0"/>
        <v/>
      </c>
      <c r="R58" s="67" t="str">
        <f>IF(D58="","",_xll.TR($D58,R$6,"Curn=#2 scale=6",,$F58,$H$5))</f>
        <v/>
      </c>
      <c r="S58" s="68"/>
      <c r="T58" s="68" t="str">
        <f>_xll.TR(D58,T$6,"Curn=#2 Scale=6 Transpose=Y Null=BLANK",,$Q58,$H$5)</f>
        <v>No universe defined.</v>
      </c>
      <c r="U58" s="68" t="str">
        <f>IF($D58="","",IFERROR(_xll.TR($D58,U$6,"Curn=#2 Scale=6 Null=BLANK",,$Q58,$H$5),"-"))</f>
        <v/>
      </c>
      <c r="V58" s="68" t="str">
        <f>IF($D58="","",IFERROR(_xll.TR($D58,V$6,"Curn=#2 Scale=6 Null=BLANK",,$Q58,$H$5),"-"))</f>
        <v/>
      </c>
      <c r="W58" s="68"/>
      <c r="X58" s="68" t="str">
        <f>_xll.TR($D58,X$6,"Curn=#2 Scale=6 Transpose=Y Null=BLANK",,$Q58,$H$5)</f>
        <v>No universe defined.</v>
      </c>
      <c r="Y58" s="68" t="str">
        <f>IF($D58="","",IFERROR($Q58/_xll.TR($D58,Y$6,"Curn=#1 Scale=6 Null=BLANK",,$H$5),"-"))</f>
        <v/>
      </c>
      <c r="Z58" s="68" t="str">
        <f>IF($D58="","",IFERROR($Q58/_xll.TR($D58,Z$6,"Curn=#1 Scale=6 Null=BLANK",,$H$5),"-"))</f>
        <v/>
      </c>
      <c r="AA58" s="68"/>
      <c r="AB58" s="68" t="str">
        <f>_xll.TR($D58,AB$6,"Curn=#2 Scale=6 Period=FY1:FY3 Transpose=Y Null=BLANK",,$Q58,$H$5)</f>
        <v>No universe defined.</v>
      </c>
      <c r="AC58" s="68"/>
      <c r="AD58" s="68"/>
      <c r="AE58" s="68"/>
      <c r="AF58" s="68" t="str">
        <f>_xll.TR($D58,AF$6,"Curn=#2 Scale=6 Transpose=Y Null=BLANK",,$Q58,$H$5)</f>
        <v>No universe defined.</v>
      </c>
      <c r="AG58" s="68"/>
      <c r="AH58" s="68"/>
      <c r="AI58" s="69"/>
      <c r="AJ58" s="69"/>
      <c r="AK58" s="69"/>
      <c r="AL58" s="69"/>
      <c r="AM58" s="69"/>
      <c r="AN58" s="70"/>
      <c r="AO58" s="70"/>
      <c r="AP58" s="70"/>
      <c r="AQ58" s="70"/>
      <c r="AR58" s="70"/>
      <c r="AS58" s="70"/>
      <c r="AT58" s="71" t="str">
        <f t="shared" si="1"/>
        <v/>
      </c>
      <c r="AU58" s="40"/>
      <c r="AV58" s="40"/>
      <c r="AW58" s="40"/>
      <c r="AX58" s="40"/>
      <c r="AY58" s="40"/>
      <c r="AZ58" s="40"/>
      <c r="BA58" s="40"/>
      <c r="BB58" s="40"/>
      <c r="BC58" s="80"/>
      <c r="BD58" s="80"/>
      <c r="BE58" s="80"/>
      <c r="BF58" s="40"/>
      <c r="BG58" s="40"/>
      <c r="BH58" s="40"/>
      <c r="BI58" s="80"/>
      <c r="BJ58" s="80"/>
      <c r="BK58" s="80"/>
      <c r="BL58" s="40"/>
      <c r="BM58" s="40"/>
      <c r="BN58" s="40"/>
      <c r="BO58" s="40"/>
      <c r="BP58" s="79"/>
      <c r="BQ58" s="79"/>
      <c r="BR58" s="79"/>
      <c r="BS58" s="79"/>
      <c r="BT58" s="40"/>
      <c r="BU58" s="40"/>
      <c r="BV58" s="40"/>
      <c r="BW58" s="40"/>
      <c r="BX58" s="40"/>
      <c r="BY58" s="40"/>
      <c r="BZ58" s="40"/>
      <c r="CA58" s="40"/>
      <c r="CD58" s="56"/>
      <c r="CM58" s="23"/>
      <c r="CN58" s="25"/>
      <c r="CO58" s="25"/>
      <c r="CP58" s="25"/>
      <c r="CQ58" s="23"/>
      <c r="CR58" s="23"/>
      <c r="CS58" s="23"/>
      <c r="CT58" s="23"/>
    </row>
    <row r="59" spans="2:98">
      <c r="B59" s="23"/>
      <c r="C59" s="104"/>
      <c r="D59" s="32" t="str">
        <f t="shared" si="2"/>
        <v/>
      </c>
      <c r="E59" s="32"/>
      <c r="F59" s="66"/>
      <c r="G59" s="32"/>
      <c r="H59" s="79"/>
      <c r="I59" s="40"/>
      <c r="J59" s="40"/>
      <c r="K59" s="40"/>
      <c r="L59" s="40"/>
      <c r="M59" s="40"/>
      <c r="N59" s="67"/>
      <c r="O59" s="40"/>
      <c r="P59" s="40"/>
      <c r="Q59" s="40" t="str">
        <f t="shared" si="0"/>
        <v/>
      </c>
      <c r="R59" s="67" t="str">
        <f>IF(D59="","",_xll.TR($D59,R$6,"Curn=#2 scale=6",,$F59,$H$5))</f>
        <v/>
      </c>
      <c r="S59" s="68"/>
      <c r="T59" s="68" t="str">
        <f>_xll.TR(D59,T$6,"Curn=#2 Scale=6 Transpose=Y Null=BLANK",,$Q59,$H$5)</f>
        <v>No universe defined.</v>
      </c>
      <c r="U59" s="68" t="str">
        <f>IF($D59="","",IFERROR(_xll.TR($D59,U$6,"Curn=#2 Scale=6 Null=BLANK",,$Q59,$H$5),"-"))</f>
        <v/>
      </c>
      <c r="V59" s="68" t="str">
        <f>IF($D59="","",IFERROR(_xll.TR($D59,V$6,"Curn=#2 Scale=6 Null=BLANK",,$Q59,$H$5),"-"))</f>
        <v/>
      </c>
      <c r="W59" s="68"/>
      <c r="X59" s="68" t="str">
        <f>_xll.TR($D59,X$6,"Curn=#2 Scale=6 Transpose=Y Null=BLANK",,$Q59,$H$5)</f>
        <v>No universe defined.</v>
      </c>
      <c r="Y59" s="68" t="str">
        <f>IF($D59="","",IFERROR($Q59/_xll.TR($D59,Y$6,"Curn=#1 Scale=6 Null=BLANK",,$H$5),"-"))</f>
        <v/>
      </c>
      <c r="Z59" s="68" t="str">
        <f>IF($D59="","",IFERROR($Q59/_xll.TR($D59,Z$6,"Curn=#1 Scale=6 Null=BLANK",,$H$5),"-"))</f>
        <v/>
      </c>
      <c r="AA59" s="68"/>
      <c r="AB59" s="68" t="str">
        <f>_xll.TR($D59,AB$6,"Curn=#2 Scale=6 Period=FY1:FY3 Transpose=Y Null=BLANK",,$Q59,$H$5)</f>
        <v>No universe defined.</v>
      </c>
      <c r="AC59" s="68"/>
      <c r="AD59" s="68"/>
      <c r="AE59" s="68"/>
      <c r="AF59" s="68" t="str">
        <f>_xll.TR($D59,AF$6,"Curn=#2 Scale=6 Transpose=Y Null=BLANK",,$Q59,$H$5)</f>
        <v>No universe defined.</v>
      </c>
      <c r="AG59" s="68"/>
      <c r="AH59" s="68"/>
      <c r="AI59" s="69"/>
      <c r="AJ59" s="69"/>
      <c r="AK59" s="69"/>
      <c r="AL59" s="69"/>
      <c r="AM59" s="69"/>
      <c r="AN59" s="70"/>
      <c r="AO59" s="70"/>
      <c r="AP59" s="70"/>
      <c r="AQ59" s="70"/>
      <c r="AR59" s="70"/>
      <c r="AS59" s="70"/>
      <c r="AT59" s="71" t="str">
        <f t="shared" si="1"/>
        <v/>
      </c>
      <c r="AU59" s="40"/>
      <c r="AV59" s="40"/>
      <c r="AW59" s="40"/>
      <c r="AX59" s="40"/>
      <c r="AY59" s="40"/>
      <c r="AZ59" s="40"/>
      <c r="BA59" s="40"/>
      <c r="BB59" s="40"/>
      <c r="BC59" s="80"/>
      <c r="BD59" s="80"/>
      <c r="BE59" s="80"/>
      <c r="BF59" s="40"/>
      <c r="BG59" s="40"/>
      <c r="BH59" s="40"/>
      <c r="BI59" s="80"/>
      <c r="BJ59" s="80"/>
      <c r="BK59" s="80"/>
      <c r="BL59" s="40"/>
      <c r="BM59" s="40"/>
      <c r="BN59" s="40"/>
      <c r="BO59" s="40"/>
      <c r="BP59" s="79"/>
      <c r="BQ59" s="79"/>
      <c r="BR59" s="79"/>
      <c r="BS59" s="79"/>
      <c r="BT59" s="40"/>
      <c r="BU59" s="40"/>
      <c r="BV59" s="40"/>
      <c r="BW59" s="40"/>
      <c r="BX59" s="40"/>
      <c r="BY59" s="40"/>
      <c r="BZ59" s="40"/>
      <c r="CA59" s="40"/>
      <c r="CD59" s="56"/>
      <c r="CM59" s="23"/>
      <c r="CN59" s="25"/>
      <c r="CO59" s="25"/>
      <c r="CP59" s="25"/>
      <c r="CQ59" s="23"/>
      <c r="CR59" s="23"/>
      <c r="CS59" s="23"/>
      <c r="CT59" s="23"/>
    </row>
    <row r="60" spans="2:98">
      <c r="CD60" s="56"/>
      <c r="CS60" s="23"/>
      <c r="CT60" s="23"/>
    </row>
    <row r="61" spans="2:98">
      <c r="CS61" s="23"/>
      <c r="CT61" s="23"/>
    </row>
    <row r="62" spans="2:98">
      <c r="CS62" s="23"/>
      <c r="CT62" s="23"/>
    </row>
    <row r="63" spans="2:98">
      <c r="CS63" s="23"/>
      <c r="CT63" s="23"/>
    </row>
    <row r="64" spans="2:98">
      <c r="CS64" s="23"/>
      <c r="CT64" s="23"/>
    </row>
    <row r="65" spans="97:98">
      <c r="CS65" s="23"/>
      <c r="CT65" s="23"/>
    </row>
    <row r="66" spans="97:98">
      <c r="CS66" s="23"/>
      <c r="CT66" s="23"/>
    </row>
    <row r="67" spans="97:98">
      <c r="CS67" s="23"/>
      <c r="CT67" s="23"/>
    </row>
    <row r="68" spans="97:98">
      <c r="CS68" s="23"/>
      <c r="CT68" s="23"/>
    </row>
    <row r="69" spans="97:98">
      <c r="CS69" s="23"/>
      <c r="CT69" s="23"/>
    </row>
    <row r="70" spans="97:98">
      <c r="CS70" s="23"/>
      <c r="CT70" s="23"/>
    </row>
    <row r="71" spans="97:98">
      <c r="CS71" s="23"/>
      <c r="CT71" s="23"/>
    </row>
    <row r="72" spans="97:98">
      <c r="CS72" s="23"/>
      <c r="CT72" s="23"/>
    </row>
    <row r="73" spans="97:98">
      <c r="CS73" s="23"/>
      <c r="CT73" s="23"/>
    </row>
    <row r="74" spans="97:98">
      <c r="CS74" s="23"/>
      <c r="CT74" s="23"/>
    </row>
    <row r="75" spans="97:98">
      <c r="CS75" s="23"/>
      <c r="CT75" s="23"/>
    </row>
    <row r="76" spans="97:98">
      <c r="CS76" s="23"/>
      <c r="CT76" s="23"/>
    </row>
    <row r="77" spans="97:98">
      <c r="CS77" s="23"/>
      <c r="CT77" s="23"/>
    </row>
    <row r="78" spans="97:98">
      <c r="CS78" s="23"/>
      <c r="CT78" s="23"/>
    </row>
    <row r="79" spans="97:98">
      <c r="CS79" s="23"/>
      <c r="CT79" s="23"/>
    </row>
    <row r="80" spans="97:98">
      <c r="CS80" s="23"/>
      <c r="CT80" s="23"/>
    </row>
    <row r="81" spans="97:98">
      <c r="CS81" s="23"/>
      <c r="CT81" s="23"/>
    </row>
    <row r="82" spans="97:98">
      <c r="CS82" s="23"/>
      <c r="CT82" s="23"/>
    </row>
    <row r="83" spans="97:98">
      <c r="CS83" s="23"/>
      <c r="CT83" s="23"/>
    </row>
    <row r="84" spans="97:98">
      <c r="CS84" s="23"/>
      <c r="CT84" s="23"/>
    </row>
    <row r="85" spans="97:98">
      <c r="CS85" s="23"/>
      <c r="CT85" s="23"/>
    </row>
    <row r="86" spans="97:98">
      <c r="CS86" s="23"/>
      <c r="CT86" s="23"/>
    </row>
    <row r="87" spans="97:98">
      <c r="CS87" s="23"/>
      <c r="CT87" s="23"/>
    </row>
    <row r="88" spans="97:98">
      <c r="CS88" s="23"/>
      <c r="CT88" s="23"/>
    </row>
    <row r="89" spans="97:98">
      <c r="CS89" s="23"/>
      <c r="CT89" s="23"/>
    </row>
    <row r="90" spans="97:98">
      <c r="CS90" s="23"/>
      <c r="CT90" s="23"/>
    </row>
    <row r="91" spans="97:98">
      <c r="CS91" s="23"/>
      <c r="CT91" s="23"/>
    </row>
    <row r="92" spans="97:98">
      <c r="CS92" s="23"/>
      <c r="CT92" s="23"/>
    </row>
    <row r="93" spans="97:98">
      <c r="CS93" s="23"/>
      <c r="CT93" s="23"/>
    </row>
    <row r="94" spans="97:98">
      <c r="CS94" s="23"/>
      <c r="CT94" s="23"/>
    </row>
    <row r="95" spans="97:98">
      <c r="CS95" s="23"/>
      <c r="CT95" s="23"/>
    </row>
    <row r="96" spans="97:98">
      <c r="CS96" s="23"/>
      <c r="CT96" s="23"/>
    </row>
    <row r="97" spans="97:98">
      <c r="CS97" s="23"/>
      <c r="CT97" s="23"/>
    </row>
    <row r="98" spans="97:98">
      <c r="CS98" s="23"/>
      <c r="CT98" s="23"/>
    </row>
    <row r="99" spans="97:98">
      <c r="CS99" s="23"/>
      <c r="CT99" s="23"/>
    </row>
    <row r="100" spans="97:98">
      <c r="CS100" s="23"/>
      <c r="CT100" s="23"/>
    </row>
    <row r="101" spans="97:98">
      <c r="CS101" s="23"/>
      <c r="CT101" s="23"/>
    </row>
    <row r="102" spans="97:98">
      <c r="CS102" s="23"/>
      <c r="CT102" s="23"/>
    </row>
    <row r="103" spans="97:98">
      <c r="CS103" s="23"/>
      <c r="CT103" s="23"/>
    </row>
    <row r="104" spans="97:98">
      <c r="CS104" s="23"/>
      <c r="CT104" s="23"/>
    </row>
    <row r="105" spans="97:98">
      <c r="CS105" s="23"/>
      <c r="CT105" s="23"/>
    </row>
    <row r="106" spans="97:98">
      <c r="CS106" s="23"/>
      <c r="CT106" s="23"/>
    </row>
    <row r="107" spans="97:98">
      <c r="CS107" s="23"/>
      <c r="CT107" s="23"/>
    </row>
    <row r="108" spans="97:98">
      <c r="CS108" s="23"/>
      <c r="CT108" s="23"/>
    </row>
    <row r="109" spans="97:98">
      <c r="CS109" s="23"/>
      <c r="CT109" s="23"/>
    </row>
    <row r="110" spans="97:98">
      <c r="CS110" s="23"/>
      <c r="CT110" s="23"/>
    </row>
    <row r="111" spans="97:98">
      <c r="CS111" s="23"/>
      <c r="CT111" s="23"/>
    </row>
    <row r="112" spans="97:98">
      <c r="CS112" s="23"/>
      <c r="CT112" s="23"/>
    </row>
    <row r="113" spans="97:98">
      <c r="CS113" s="23"/>
      <c r="CT113" s="23"/>
    </row>
    <row r="114" spans="97:98">
      <c r="CS114" s="23"/>
      <c r="CT114" s="23"/>
    </row>
    <row r="115" spans="97:98">
      <c r="CS115" s="23"/>
      <c r="CT115" s="23"/>
    </row>
    <row r="116" spans="97:98">
      <c r="CS116" s="23"/>
      <c r="CT116" s="23"/>
    </row>
    <row r="117" spans="97:98">
      <c r="CS117" s="23"/>
      <c r="CT117" s="23"/>
    </row>
    <row r="118" spans="97:98">
      <c r="CS118" s="23"/>
      <c r="CT118" s="23"/>
    </row>
    <row r="119" spans="97:98">
      <c r="CS119" s="23"/>
      <c r="CT119" s="23"/>
    </row>
    <row r="120" spans="97:98">
      <c r="CS120" s="23"/>
      <c r="CT120" s="23"/>
    </row>
    <row r="121" spans="97:98">
      <c r="CS121" s="23"/>
      <c r="CT121" s="23"/>
    </row>
    <row r="122" spans="97:98">
      <c r="CS122" s="23"/>
      <c r="CT122" s="23"/>
    </row>
    <row r="123" spans="97:98">
      <c r="CS123" s="23"/>
      <c r="CT123" s="23"/>
    </row>
    <row r="124" spans="97:98">
      <c r="CS124" s="23"/>
      <c r="CT124" s="23"/>
    </row>
    <row r="125" spans="97:98">
      <c r="CS125" s="23"/>
      <c r="CT125" s="23"/>
    </row>
    <row r="126" spans="97:98">
      <c r="CS126" s="23"/>
      <c r="CT126" s="23"/>
    </row>
    <row r="127" spans="97:98">
      <c r="CS127" s="23"/>
      <c r="CT127" s="23"/>
    </row>
    <row r="128" spans="97:98">
      <c r="CS128" s="23"/>
      <c r="CT128" s="23"/>
    </row>
    <row r="129" spans="97:98">
      <c r="CS129" s="23"/>
      <c r="CT129" s="23"/>
    </row>
    <row r="130" spans="97:98">
      <c r="CS130" s="23"/>
      <c r="CT130" s="23"/>
    </row>
    <row r="131" spans="97:98">
      <c r="CS131" s="23"/>
      <c r="CT131" s="23"/>
    </row>
    <row r="132" spans="97:98">
      <c r="CS132" s="23"/>
      <c r="CT132" s="23"/>
    </row>
    <row r="133" spans="97:98">
      <c r="CS133" s="23"/>
      <c r="CT133" s="23"/>
    </row>
    <row r="134" spans="97:98">
      <c r="CS134" s="23"/>
      <c r="CT134" s="23"/>
    </row>
    <row r="135" spans="97:98">
      <c r="CS135" s="23"/>
      <c r="CT135" s="23"/>
    </row>
    <row r="136" spans="97:98">
      <c r="CS136" s="23"/>
      <c r="CT136" s="23"/>
    </row>
    <row r="137" spans="97:98">
      <c r="CS137" s="23"/>
      <c r="CT137" s="23"/>
    </row>
    <row r="138" spans="97:98">
      <c r="CS138" s="23"/>
      <c r="CT138" s="23"/>
    </row>
    <row r="139" spans="97:98">
      <c r="CS139" s="23"/>
      <c r="CT139" s="23"/>
    </row>
    <row r="140" spans="97:98">
      <c r="CS140" s="23"/>
      <c r="CT140" s="23"/>
    </row>
    <row r="141" spans="97:98">
      <c r="CS141" s="23"/>
      <c r="CT141" s="23"/>
    </row>
    <row r="142" spans="97:98">
      <c r="CS142" s="23"/>
      <c r="CT142" s="23"/>
    </row>
    <row r="143" spans="97:98">
      <c r="CS143" s="23"/>
      <c r="CT143" s="23"/>
    </row>
    <row r="144" spans="97:98">
      <c r="CS144" s="23"/>
      <c r="CT144" s="23"/>
    </row>
    <row r="145" spans="97:98">
      <c r="CS145" s="23"/>
      <c r="CT145" s="23"/>
    </row>
    <row r="146" spans="97:98">
      <c r="CS146" s="23"/>
      <c r="CT146" s="23"/>
    </row>
    <row r="147" spans="97:98">
      <c r="CS147" s="23"/>
      <c r="CT147" s="23"/>
    </row>
    <row r="148" spans="97:98">
      <c r="CS148" s="23"/>
      <c r="CT148" s="23"/>
    </row>
    <row r="149" spans="97:98">
      <c r="CS149" s="23"/>
      <c r="CT149" s="23"/>
    </row>
    <row r="150" spans="97:98">
      <c r="CS150" s="23"/>
      <c r="CT150" s="23"/>
    </row>
    <row r="151" spans="97:98">
      <c r="CS151" s="23"/>
      <c r="CT151" s="23"/>
    </row>
    <row r="152" spans="97:98">
      <c r="CS152" s="23"/>
      <c r="CT152" s="23"/>
    </row>
    <row r="153" spans="97:98">
      <c r="CS153" s="23"/>
      <c r="CT153" s="23"/>
    </row>
    <row r="154" spans="97:98">
      <c r="CS154" s="23"/>
      <c r="CT154" s="23"/>
    </row>
    <row r="155" spans="97:98">
      <c r="CS155" s="23"/>
      <c r="CT155" s="23"/>
    </row>
  </sheetData>
  <phoneticPr fontId="141" type="noConversion"/>
  <conditionalFormatting sqref="T10:CA59">
    <cfRule type="expression" dxfId="3" priority="1">
      <formula>ISTEXT(T10)</formula>
    </cfRule>
  </conditionalFormatting>
  <dataValidations count="2">
    <dataValidation type="list" allowBlank="1" showInputMessage="1" showErrorMessage="1" sqref="C8" xr:uid="{2BF4C9A2-7F76-468D-8A5A-78D6E954D110}">
      <formula1>"User Input, Automatic"</formula1>
    </dataValidation>
    <dataValidation type="whole" allowBlank="1" showInputMessage="1" showErrorMessage="1" sqref="E5" xr:uid="{3ECAF840-D374-486F-800D-60AF330E5052}">
      <formula1>1</formula1>
      <formula2>50</formula2>
    </dataValidation>
  </dataValidations>
  <pageMargins left="0.7" right="0.7" top="0.75" bottom="0.75" header="0.3" footer="0.3"/>
  <pageSetup orientation="portrait" r:id="rId1"/>
  <headerFooter>
    <oddFooter>&amp;L&amp;1#&amp;"Calibri"&amp;8&amp;K000000Sensitivity: Confidential</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464DB6-DEB7-404C-90E6-E0D871066012}">
  <sheetPr>
    <tabColor rgb="FFFFFF00"/>
  </sheetPr>
  <dimension ref="A1:CT156"/>
  <sheetViews>
    <sheetView showGridLines="0" tabSelected="1" topLeftCell="AP1" zoomScale="85" zoomScaleNormal="85" workbookViewId="0">
      <selection activeCell="AX10" sqref="AX10"/>
    </sheetView>
  </sheetViews>
  <sheetFormatPr defaultColWidth="9.125" defaultRowHeight="16.5"/>
  <cols>
    <col min="1" max="1" width="3.75" style="1" customWidth="1"/>
    <col min="2" max="2" width="7.25" style="1" customWidth="1"/>
    <col min="3" max="3" width="12.625" style="1" bestFit="1" customWidth="1"/>
    <col min="4" max="4" width="12.375" style="1" bestFit="1" customWidth="1"/>
    <col min="5" max="5" width="23.875" style="1" bestFit="1" customWidth="1"/>
    <col min="6" max="6" width="18.75" style="18" customWidth="1"/>
    <col min="7" max="7" width="23.125" style="1" customWidth="1"/>
    <col min="8" max="8" width="12.625" style="1" customWidth="1"/>
    <col min="9" max="11" width="11.625" style="1" customWidth="1"/>
    <col min="12" max="12" width="12.375" style="1" customWidth="1"/>
    <col min="13" max="13" width="11.625" style="1" customWidth="1"/>
    <col min="14" max="14" width="15.375" style="1" customWidth="1"/>
    <col min="15" max="15" width="9.625" style="1" customWidth="1"/>
    <col min="16" max="16" width="6.875" style="1" customWidth="1"/>
    <col min="17" max="18" width="11.625" style="1" customWidth="1"/>
    <col min="19" max="26" width="15.25" style="1" customWidth="1"/>
    <col min="27" max="30" width="22.75" style="1" customWidth="1"/>
    <col min="31" max="39" width="15.25" style="1" customWidth="1"/>
    <col min="40" max="40" width="16.25" style="1" customWidth="1"/>
    <col min="41" max="46" width="22.125" style="1" customWidth="1"/>
    <col min="47" max="50" width="14.875" style="1" customWidth="1"/>
    <col min="51" max="54" width="14" style="1" customWidth="1"/>
    <col min="55" max="57" width="19.75" style="1" customWidth="1"/>
    <col min="58" max="60" width="25.625" style="1" customWidth="1"/>
    <col min="61" max="63" width="32" style="1" customWidth="1"/>
    <col min="64" max="79" width="11.125" style="1" customWidth="1"/>
    <col min="80" max="87" width="25.625" style="1" customWidth="1"/>
    <col min="88" max="89" width="9.125" style="1"/>
    <col min="90" max="90" width="51.25" style="1" bestFit="1" customWidth="1"/>
    <col min="91" max="91" width="9.125" style="1"/>
    <col min="92" max="92" width="11" style="1" bestFit="1" customWidth="1"/>
    <col min="93" max="93" width="9.875" style="1" bestFit="1" customWidth="1"/>
    <col min="94" max="94" width="11" style="1" bestFit="1" customWidth="1"/>
    <col min="95" max="96" width="9.125" style="1"/>
    <col min="97" max="97" width="27.625" style="1" customWidth="1"/>
    <col min="98" max="16384" width="9.125" style="1"/>
  </cols>
  <sheetData>
    <row r="1" spans="1:98" ht="33" customHeight="1" thickBot="1">
      <c r="A1" s="103"/>
      <c r="B1" s="103"/>
      <c r="C1" s="103" t="s">
        <v>501</v>
      </c>
      <c r="D1" s="103"/>
      <c r="E1" s="103"/>
      <c r="F1" s="103"/>
      <c r="G1" s="103"/>
      <c r="H1" s="103"/>
      <c r="I1" s="103"/>
      <c r="J1" s="103"/>
      <c r="K1" s="103"/>
      <c r="L1" s="103"/>
      <c r="M1" s="103"/>
      <c r="N1" s="103"/>
      <c r="O1" s="103"/>
      <c r="P1" s="103"/>
      <c r="Q1" s="103"/>
      <c r="R1" s="103"/>
      <c r="S1" s="103"/>
      <c r="T1" s="103"/>
      <c r="U1" s="103"/>
      <c r="V1" s="103"/>
      <c r="W1" s="103"/>
      <c r="X1" s="103"/>
      <c r="Y1" s="103"/>
      <c r="Z1" s="103"/>
      <c r="AA1" s="103"/>
      <c r="AB1" s="103"/>
      <c r="AC1" s="103"/>
      <c r="AD1" s="103"/>
      <c r="AE1" s="103"/>
      <c r="AF1" s="103"/>
      <c r="AG1" s="103"/>
      <c r="AH1" s="103"/>
      <c r="AI1" s="103"/>
      <c r="AJ1" s="103"/>
      <c r="AK1" s="103"/>
      <c r="AL1" s="103"/>
      <c r="AM1" s="103"/>
      <c r="AN1" s="103"/>
      <c r="AO1" s="103"/>
      <c r="AP1" s="103"/>
      <c r="AQ1" s="103"/>
      <c r="AR1" s="103"/>
      <c r="AS1" s="103"/>
      <c r="AT1" s="103"/>
      <c r="AU1" s="103"/>
      <c r="AV1" s="103"/>
      <c r="AW1" s="103"/>
      <c r="AX1" s="103"/>
      <c r="AY1" s="103"/>
      <c r="AZ1" s="103"/>
      <c r="BA1" s="103"/>
      <c r="BB1" s="103"/>
      <c r="BC1" s="103"/>
      <c r="BD1" s="103"/>
      <c r="BE1" s="103"/>
      <c r="BF1" s="103"/>
      <c r="BG1" s="103"/>
      <c r="BH1" s="103"/>
      <c r="BI1" s="103"/>
      <c r="BJ1" s="103"/>
      <c r="BK1" s="103"/>
      <c r="BL1" s="103"/>
      <c r="BM1" s="103"/>
      <c r="BN1" s="103"/>
      <c r="BO1" s="103"/>
      <c r="BP1" s="103"/>
      <c r="BQ1" s="103"/>
      <c r="BR1" s="103"/>
      <c r="BS1" s="103"/>
      <c r="BT1" s="103"/>
      <c r="BU1" s="103"/>
      <c r="BV1" s="103"/>
      <c r="BW1" s="103"/>
      <c r="BX1" s="103"/>
      <c r="BY1" s="103"/>
      <c r="BZ1" s="103"/>
      <c r="CA1" s="103"/>
      <c r="CB1" s="103"/>
      <c r="CC1" s="103"/>
      <c r="CD1" s="103"/>
      <c r="CE1" s="103"/>
      <c r="CF1" s="103"/>
      <c r="CG1" s="103"/>
      <c r="CH1" s="103"/>
      <c r="CI1" s="103"/>
      <c r="CJ1" s="103"/>
      <c r="CK1" s="103"/>
      <c r="CL1" s="103"/>
      <c r="CM1" s="103"/>
      <c r="CN1" s="103"/>
      <c r="CO1" s="103"/>
      <c r="CP1" s="103"/>
      <c r="CQ1" s="103"/>
      <c r="CR1" s="103"/>
      <c r="CS1" s="103"/>
      <c r="CT1" s="103"/>
    </row>
    <row r="2" spans="1:98">
      <c r="E2" s="102"/>
      <c r="J2" s="6" t="str">
        <f>"SCREEN(U(IN(Peers("&amp;$D$9&amp;"))),,IN("&amp;J3&amp;","&amp;F3&amp;")"&amp;J4&amp;""&amp;J5&amp;", TOP(TR.CompanyMarketCap,"&amp;$E$6&amp;",nnumber), CURN="&amp;$H$6&amp;")"</f>
        <v>SCREEN(U(IN(Peers(2330.TW))),,IN(TR.TRBCBusinessSectorCode,5710),TR.CompanyMarketCap&gt;=500000000000, TOP(TR.CompanyMarketCap,10,nnumber), CURN=TWD)</v>
      </c>
    </row>
    <row r="3" spans="1:98">
      <c r="D3" s="34" t="s">
        <v>539</v>
      </c>
      <c r="E3" s="137" t="s">
        <v>581</v>
      </c>
      <c r="F3" s="140" t="str">
        <f>_xll.TR($D$9,J3,"Null=BLANK")</f>
        <v>5710</v>
      </c>
      <c r="G3" s="139" t="str">
        <f>_xll.TR($D$9,K3,"Null=BLANK")</f>
        <v>Technology Equipment</v>
      </c>
      <c r="J3" s="6" t="str">
        <f>INDEX(Index!$F$5:$F$9,MATCH(Peers_customized!$E3,Index!$D$5:$D$9,0))</f>
        <v>TR.TRBCBusinessSectorCode</v>
      </c>
      <c r="K3" s="6" t="str">
        <f>INDEX(Index!$I$5:$I$9,MATCH(Peers_customized!$E3,Index!$D$5:$D$9,0))</f>
        <v>TR.TRBCBusinessSector</v>
      </c>
    </row>
    <row r="4" spans="1:98">
      <c r="D4" s="34" t="s">
        <v>540</v>
      </c>
      <c r="E4" s="136" t="s">
        <v>641</v>
      </c>
      <c r="F4" s="138">
        <v>500000000000</v>
      </c>
      <c r="J4" s="6" t="str">
        <f>IF(E4="사용안함","",",TR.CompanyMarketCap"&amp;E4&amp;F4)</f>
        <v>,TR.CompanyMarketCap&gt;=500000000000</v>
      </c>
    </row>
    <row r="5" spans="1:98">
      <c r="D5" s="34" t="s">
        <v>541</v>
      </c>
      <c r="E5" s="136" t="s">
        <v>611</v>
      </c>
      <c r="F5" s="24" t="str">
        <f>INDEX(표6[Geography_code],MATCH(Peers_customized!$E5,표2[Geography],0))</f>
        <v/>
      </c>
      <c r="G5" s="6"/>
      <c r="J5" s="6" t="str">
        <f>IF(E5="All","",", IN(TR.ExchangeCountryCode,"&amp;F5&amp;")")</f>
        <v/>
      </c>
      <c r="AY5" s="145"/>
    </row>
    <row r="6" spans="1:98" ht="15.95" customHeight="1">
      <c r="D6" s="34" t="s">
        <v>371</v>
      </c>
      <c r="E6" s="104">
        <v>10</v>
      </c>
      <c r="G6" s="98" t="s">
        <v>495</v>
      </c>
      <c r="H6" s="94" t="str">
        <f>Valuation!F8</f>
        <v>TWD</v>
      </c>
      <c r="J6" s="56"/>
      <c r="Q6" s="1" t="s">
        <v>327</v>
      </c>
      <c r="S6" s="26" t="s">
        <v>432</v>
      </c>
      <c r="T6" s="26"/>
      <c r="U6" s="26"/>
      <c r="V6" s="26"/>
      <c r="W6" s="26" t="s">
        <v>433</v>
      </c>
      <c r="X6" s="26"/>
      <c r="Y6" s="26"/>
      <c r="Z6" s="26"/>
      <c r="AA6" s="26" t="s">
        <v>434</v>
      </c>
      <c r="AB6" s="26"/>
      <c r="AC6" s="26"/>
      <c r="AD6" s="26"/>
      <c r="AE6" s="26" t="s">
        <v>435</v>
      </c>
      <c r="AF6" s="26"/>
      <c r="AG6" s="26"/>
      <c r="AH6" s="26"/>
      <c r="AI6" s="26" t="s">
        <v>436</v>
      </c>
      <c r="AJ6" s="26"/>
      <c r="AK6" s="26"/>
      <c r="AL6" s="26"/>
      <c r="AM6" s="26" t="s">
        <v>367</v>
      </c>
      <c r="AN6" s="26" t="s">
        <v>363</v>
      </c>
      <c r="AO6" s="26" t="s">
        <v>437</v>
      </c>
      <c r="AP6" s="26"/>
      <c r="AQ6" s="26"/>
      <c r="AR6" s="26"/>
      <c r="AS6" s="26"/>
      <c r="AT6" s="26" t="s">
        <v>457</v>
      </c>
      <c r="AU6" s="26" t="s">
        <v>317</v>
      </c>
      <c r="AV6" s="26"/>
      <c r="AW6" s="26"/>
      <c r="AX6" s="26"/>
      <c r="AY6" s="26" t="s">
        <v>319</v>
      </c>
      <c r="AZ6" s="26"/>
      <c r="BA6" s="26"/>
      <c r="BB6" s="26"/>
      <c r="BC6" s="26"/>
      <c r="BD6" s="26"/>
      <c r="BE6" s="26"/>
      <c r="BF6" s="26"/>
      <c r="BG6" s="26"/>
      <c r="BH6" s="26"/>
      <c r="BI6" s="26"/>
      <c r="BJ6" s="26"/>
      <c r="BK6" s="26"/>
      <c r="BL6" s="26" t="s">
        <v>320</v>
      </c>
      <c r="BM6" s="26"/>
      <c r="BN6" s="26"/>
      <c r="BO6" s="26"/>
      <c r="BP6" s="26" t="s">
        <v>438</v>
      </c>
      <c r="BQ6" s="26"/>
      <c r="BR6" s="26"/>
      <c r="BS6" s="26"/>
      <c r="BT6" s="26" t="s">
        <v>439</v>
      </c>
      <c r="BU6" s="26"/>
      <c r="BV6" s="26"/>
      <c r="BW6" s="26"/>
      <c r="BX6" s="26" t="s">
        <v>440</v>
      </c>
      <c r="BY6" s="26"/>
      <c r="BZ6" s="26"/>
      <c r="CA6" s="26"/>
      <c r="CD6" s="56"/>
    </row>
    <row r="7" spans="1:98">
      <c r="F7" s="24" t="s">
        <v>464</v>
      </c>
      <c r="G7" s="6" t="s">
        <v>360</v>
      </c>
      <c r="H7" s="6" t="s">
        <v>325</v>
      </c>
      <c r="I7" s="6" t="s">
        <v>372</v>
      </c>
      <c r="J7" s="6" t="s">
        <v>463</v>
      </c>
      <c r="K7" s="6" t="s">
        <v>465</v>
      </c>
      <c r="L7" s="6" t="s">
        <v>466</v>
      </c>
      <c r="M7" s="6" t="s">
        <v>467</v>
      </c>
      <c r="N7" s="6" t="s">
        <v>468</v>
      </c>
      <c r="O7" s="6" t="s">
        <v>469</v>
      </c>
      <c r="P7" s="6"/>
      <c r="Q7" s="6"/>
      <c r="R7" s="6" t="s">
        <v>476</v>
      </c>
      <c r="S7" s="6" t="s">
        <v>477</v>
      </c>
      <c r="T7" s="6" t="s">
        <v>479</v>
      </c>
      <c r="U7" s="6" t="s">
        <v>474</v>
      </c>
      <c r="V7" s="6" t="s">
        <v>475</v>
      </c>
      <c r="W7" s="6" t="s">
        <v>478</v>
      </c>
      <c r="X7" s="6" t="s">
        <v>480</v>
      </c>
      <c r="Y7" s="6" t="s">
        <v>451</v>
      </c>
      <c r="Z7" s="6" t="s">
        <v>452</v>
      </c>
      <c r="AA7" s="6" t="s">
        <v>481</v>
      </c>
      <c r="AB7" s="6" t="s">
        <v>482</v>
      </c>
      <c r="AC7" s="6" t="s">
        <v>455</v>
      </c>
      <c r="AD7" s="6" t="s">
        <v>456</v>
      </c>
      <c r="AE7" s="6" t="s">
        <v>483</v>
      </c>
      <c r="AF7" s="6" t="s">
        <v>484</v>
      </c>
      <c r="AG7" s="6" t="s">
        <v>453</v>
      </c>
      <c r="AH7" s="6" t="s">
        <v>454</v>
      </c>
      <c r="AI7" s="6" t="s">
        <v>485</v>
      </c>
      <c r="AJ7" s="6" t="s">
        <v>486</v>
      </c>
      <c r="AK7" s="6" t="s">
        <v>487</v>
      </c>
      <c r="AL7" s="6" t="s">
        <v>488</v>
      </c>
      <c r="AM7" s="6" t="s">
        <v>382</v>
      </c>
      <c r="AN7" s="6" t="s">
        <v>383</v>
      </c>
      <c r="AO7" s="6" t="s">
        <v>489</v>
      </c>
      <c r="AP7" s="6" t="s">
        <v>405</v>
      </c>
      <c r="AQ7" s="6" t="s">
        <v>470</v>
      </c>
      <c r="AR7" s="6" t="s">
        <v>471</v>
      </c>
      <c r="AS7" s="6" t="s">
        <v>472</v>
      </c>
      <c r="AT7" s="6" t="s">
        <v>328</v>
      </c>
      <c r="AU7" s="6" t="s">
        <v>331</v>
      </c>
      <c r="AV7" s="6" t="s">
        <v>332</v>
      </c>
      <c r="AW7" s="6" t="s">
        <v>333</v>
      </c>
      <c r="AX7" s="6" t="s">
        <v>409</v>
      </c>
      <c r="AY7" s="6" t="s">
        <v>334</v>
      </c>
      <c r="AZ7" s="6" t="s">
        <v>335</v>
      </c>
      <c r="BA7" s="6" t="s">
        <v>336</v>
      </c>
      <c r="BB7" s="6" t="s">
        <v>411</v>
      </c>
      <c r="BC7" s="6" t="s">
        <v>490</v>
      </c>
      <c r="BD7" s="6" t="s">
        <v>329</v>
      </c>
      <c r="BE7" s="6" t="s">
        <v>330</v>
      </c>
      <c r="BF7" s="6" t="s">
        <v>337</v>
      </c>
      <c r="BG7" s="6" t="s">
        <v>337</v>
      </c>
      <c r="BH7" s="6" t="s">
        <v>337</v>
      </c>
      <c r="BI7" s="6" t="s">
        <v>491</v>
      </c>
      <c r="BJ7" s="6" t="s">
        <v>491</v>
      </c>
      <c r="BK7" s="6" t="s">
        <v>491</v>
      </c>
      <c r="BL7" s="6" t="s">
        <v>384</v>
      </c>
      <c r="BM7" s="6" t="s">
        <v>385</v>
      </c>
      <c r="BN7" s="6" t="s">
        <v>386</v>
      </c>
      <c r="BO7" s="6" t="s">
        <v>413</v>
      </c>
      <c r="BP7" s="6" t="s">
        <v>492</v>
      </c>
      <c r="BQ7" s="6" t="s">
        <v>393</v>
      </c>
      <c r="BR7" s="6" t="s">
        <v>394</v>
      </c>
      <c r="BS7" s="6" t="s">
        <v>415</v>
      </c>
      <c r="BT7" s="6" t="s">
        <v>417</v>
      </c>
      <c r="BU7" s="6" t="s">
        <v>418</v>
      </c>
      <c r="BV7" s="6" t="s">
        <v>419</v>
      </c>
      <c r="BW7" s="6" t="s">
        <v>420</v>
      </c>
      <c r="BX7" s="6" t="s">
        <v>493</v>
      </c>
      <c r="BY7" s="6" t="s">
        <v>425</v>
      </c>
      <c r="BZ7" s="6" t="s">
        <v>426</v>
      </c>
      <c r="CA7" s="6" t="s">
        <v>427</v>
      </c>
      <c r="CB7" s="1" t="s">
        <v>328</v>
      </c>
    </row>
    <row r="8" spans="1:98" ht="15.95" customHeight="1">
      <c r="D8" s="34"/>
      <c r="E8" s="34" t="s">
        <v>322</v>
      </c>
      <c r="F8" s="49" t="s">
        <v>338</v>
      </c>
      <c r="G8" s="34" t="s">
        <v>323</v>
      </c>
      <c r="H8" s="34" t="s">
        <v>324</v>
      </c>
      <c r="I8" s="34" t="s">
        <v>326</v>
      </c>
      <c r="J8" s="34" t="s">
        <v>369</v>
      </c>
      <c r="K8" s="34" t="s">
        <v>364</v>
      </c>
      <c r="L8" s="34" t="s">
        <v>461</v>
      </c>
      <c r="M8" s="34" t="s">
        <v>365</v>
      </c>
      <c r="N8" s="34" t="s">
        <v>370</v>
      </c>
      <c r="O8" s="34" t="s">
        <v>447</v>
      </c>
      <c r="P8" s="34" t="s">
        <v>448</v>
      </c>
      <c r="Q8" s="34" t="s">
        <v>449</v>
      </c>
      <c r="R8" s="34" t="s">
        <v>450</v>
      </c>
      <c r="S8" s="34" t="s">
        <v>373</v>
      </c>
      <c r="T8" s="34" t="s">
        <v>374</v>
      </c>
      <c r="U8" s="34" t="s">
        <v>375</v>
      </c>
      <c r="V8" s="34" t="s">
        <v>398</v>
      </c>
      <c r="W8" s="34" t="s">
        <v>339</v>
      </c>
      <c r="X8" s="34" t="s">
        <v>340</v>
      </c>
      <c r="Y8" s="34" t="s">
        <v>346</v>
      </c>
      <c r="Z8" s="34" t="s">
        <v>399</v>
      </c>
      <c r="AA8" s="34" t="s">
        <v>395</v>
      </c>
      <c r="AB8" s="34" t="s">
        <v>396</v>
      </c>
      <c r="AC8" s="34" t="s">
        <v>397</v>
      </c>
      <c r="AD8" s="34" t="s">
        <v>400</v>
      </c>
      <c r="AE8" s="34" t="s">
        <v>376</v>
      </c>
      <c r="AF8" s="34" t="s">
        <v>377</v>
      </c>
      <c r="AG8" s="34" t="s">
        <v>378</v>
      </c>
      <c r="AH8" s="34" t="s">
        <v>401</v>
      </c>
      <c r="AI8" s="34" t="s">
        <v>379</v>
      </c>
      <c r="AJ8" s="34" t="s">
        <v>380</v>
      </c>
      <c r="AK8" s="34" t="s">
        <v>381</v>
      </c>
      <c r="AL8" s="34" t="s">
        <v>402</v>
      </c>
      <c r="AM8" s="34" t="s">
        <v>367</v>
      </c>
      <c r="AN8" s="34" t="s">
        <v>363</v>
      </c>
      <c r="AO8" s="34" t="s">
        <v>403</v>
      </c>
      <c r="AP8" s="34" t="s">
        <v>404</v>
      </c>
      <c r="AQ8" s="34" t="s">
        <v>406</v>
      </c>
      <c r="AR8" s="34" t="s">
        <v>407</v>
      </c>
      <c r="AS8" s="34" t="s">
        <v>408</v>
      </c>
      <c r="AT8" s="34" t="s">
        <v>458</v>
      </c>
      <c r="AU8" s="109" t="s">
        <v>341</v>
      </c>
      <c r="AV8" s="109" t="s">
        <v>342</v>
      </c>
      <c r="AW8" s="109" t="s">
        <v>345</v>
      </c>
      <c r="AX8" s="109" t="s">
        <v>410</v>
      </c>
      <c r="AY8" s="109" t="s">
        <v>343</v>
      </c>
      <c r="AZ8" s="109" t="s">
        <v>344</v>
      </c>
      <c r="BA8" s="109" t="s">
        <v>347</v>
      </c>
      <c r="BB8" s="109" t="s">
        <v>412</v>
      </c>
      <c r="BC8" s="109" t="s">
        <v>348</v>
      </c>
      <c r="BD8" s="109" t="s">
        <v>349</v>
      </c>
      <c r="BE8" s="109" t="s">
        <v>350</v>
      </c>
      <c r="BF8" s="109" t="s">
        <v>351</v>
      </c>
      <c r="BG8" s="109" t="s">
        <v>352</v>
      </c>
      <c r="BH8" s="109" t="s">
        <v>353</v>
      </c>
      <c r="BI8" s="109" t="s">
        <v>354</v>
      </c>
      <c r="BJ8" s="109" t="s">
        <v>355</v>
      </c>
      <c r="BK8" s="109" t="s">
        <v>356</v>
      </c>
      <c r="BL8" s="109" t="s">
        <v>387</v>
      </c>
      <c r="BM8" s="109" t="s">
        <v>388</v>
      </c>
      <c r="BN8" s="109" t="s">
        <v>389</v>
      </c>
      <c r="BO8" s="109" t="s">
        <v>414</v>
      </c>
      <c r="BP8" s="109" t="s">
        <v>390</v>
      </c>
      <c r="BQ8" s="109" t="s">
        <v>391</v>
      </c>
      <c r="BR8" s="109" t="s">
        <v>392</v>
      </c>
      <c r="BS8" s="109" t="s">
        <v>416</v>
      </c>
      <c r="BT8" s="109" t="s">
        <v>421</v>
      </c>
      <c r="BU8" s="109" t="s">
        <v>422</v>
      </c>
      <c r="BV8" s="109" t="s">
        <v>423</v>
      </c>
      <c r="BW8" s="109" t="s">
        <v>424</v>
      </c>
      <c r="BX8" s="109" t="s">
        <v>428</v>
      </c>
      <c r="BY8" s="109" t="s">
        <v>429</v>
      </c>
      <c r="BZ8" s="109" t="s">
        <v>430</v>
      </c>
      <c r="CA8" s="108" t="s">
        <v>431</v>
      </c>
      <c r="CD8" s="56"/>
    </row>
    <row r="9" spans="1:98">
      <c r="C9" s="104" t="s">
        <v>494</v>
      </c>
      <c r="D9" s="57" t="str">
        <f>Valuation!$E$6</f>
        <v>2330.TW</v>
      </c>
      <c r="E9" s="30" t="str">
        <f>_xll.TR($D$9,"TR.CommonName","Null=BLANK")</f>
        <v>Taiwan Semiconductor Manufacturing Co Ltd</v>
      </c>
      <c r="F9" s="58">
        <f>_xll.TR($D$9,F$7,"Null=BLANK")</f>
        <v>44926</v>
      </c>
      <c r="G9" s="59" t="str">
        <f>_xll.TR($D$9,G$7,"Null=BLANK")</f>
        <v>Semiconductors</v>
      </c>
      <c r="H9" s="60">
        <f>_xll.TR($D$9,H$7,"Curn=#1 Null=BLANK",,$H$6)</f>
        <v>544</v>
      </c>
      <c r="I9" s="61">
        <f>_xll.TR($D$9,I$7,"Curn=#1 Scale=6 Null=BLANK",,$H$6)</f>
        <v>14097372.2111183</v>
      </c>
      <c r="J9" s="61">
        <f>_xll.TR($D$9,J$7,"Curn=#1 Scale=6 Null=BLANK",,$H$6)</f>
        <v>947819.82900000003</v>
      </c>
      <c r="K9" s="61">
        <f>_xll.TR($D$9,K$7,"Curn=#1 Scale=6 Null=BLANK",,$H$6)</f>
        <v>1514776.7919999999</v>
      </c>
      <c r="L9" s="61">
        <f>_xll.TR($D$9,L$7,"Curn=#1 Scale=6 Null=BLANK",,$H$6)</f>
        <v>26845.396000000001</v>
      </c>
      <c r="M9" s="61">
        <f>_xll.TR($D$9,M$7,"Curn=#1 Scale=6 Null=BLANK",,$H$6)</f>
        <v>16717.743999999999</v>
      </c>
      <c r="N9" s="61" t="str">
        <f>_xll.TR($D$9,N$7,"Curn=#1 Scale=6 Null=BLANK",,$H$6)</f>
        <v/>
      </c>
      <c r="O9" s="61">
        <f>_xll.TR($D$9,O$7,"Curn=#1 Scale=6 Null=BLANK",,$H$6)</f>
        <v>8604.6419999999998</v>
      </c>
      <c r="P9" s="61"/>
      <c r="Q9" s="61">
        <f>IF(D9="","",SUM(I9,J9,M9:P9)-SUM(K9:L9))</f>
        <v>13528892.238118302</v>
      </c>
      <c r="R9" s="61">
        <f>IF(D9="","",_xll.TR($D9,R$7,"Curn=#2 scale=6",,$F9,$H$6))</f>
        <v>10930568.539000001</v>
      </c>
      <c r="S9" s="62">
        <f>_xll.TR($D9,S$7,"Curn=#2 Scale=6 Null=BLANK",,$R9,$H$6)</f>
        <v>4.8282214687718303</v>
      </c>
      <c r="T9" s="62">
        <f>_xll.TR(D9,T$7,"Curn=#2 Scale=6 Transpose=Y Null=BLANK",,$Q9,$H$6)</f>
        <v>6.4136360950729099</v>
      </c>
      <c r="U9" s="62">
        <v>5.2817707960409201</v>
      </c>
      <c r="V9" s="62">
        <v>4.4369693748674202</v>
      </c>
      <c r="W9" s="62">
        <f>_xll.TR($D9,W$7,"Curn=#2 Scale=6 Null=BLANK",,$R9,$H$6)</f>
        <v>7.00981290118958</v>
      </c>
      <c r="X9" s="62">
        <f>_xll.TR($D9,X$7,"Curn=#2 Scale=6 Transpose=Y Null=BLANK",,$Q9,$H$6)</f>
        <v>9.3040480916824109</v>
      </c>
      <c r="Y9" s="62">
        <v>7.5535647161307402</v>
      </c>
      <c r="Z9" s="62">
        <v>6.32485209786888</v>
      </c>
      <c r="AA9" s="62">
        <f>_xll.TR($D9,AA$7,"Curn=#2 Scale=6 Null=BLANK",,$R9,$H$6)</f>
        <v>23.271511302442601</v>
      </c>
      <c r="AB9" s="62">
        <f>_xll.TR($D9,AB$7,"Curn=#2 Scale=6 Period=FY1:FY3 Transpose=Y Null=BLANK",,$Q9,$H$6)</f>
        <v>27.875671034291098</v>
      </c>
      <c r="AC9" s="62">
        <v>16.574228260595699</v>
      </c>
      <c r="AD9" s="62">
        <v>11.456073194323199</v>
      </c>
      <c r="AE9" s="62">
        <f>_xll.TR($D9,AE$7,"Curn=#2 Scale=6 Null=BLANK",,$R9,$H$6)</f>
        <v>9.7414354926583098</v>
      </c>
      <c r="AF9" s="63" t="str">
        <f>IFERROR($Q9/_xll.TR($D$9,AF$7,"Curn=#1 Scale=6 Null=BLANK",,$H$6),"-")</f>
        <v>-</v>
      </c>
      <c r="AG9" s="62">
        <f>IFERROR($Q9/_xll.TR($D$9,AG$7,"Curn=#1 Scale=6 Null=BLANK",,$H$6),"-")</f>
        <v>12.381711425139519</v>
      </c>
      <c r="AH9" s="62">
        <f>IFERROR($Q9/_xll.TR($D$9,AH$7,"Curn=#1 Scale=6 Null=BLANK",,$H$6),"-")</f>
        <v>10.141456044215492</v>
      </c>
      <c r="AI9" s="63">
        <f>_xll.TR($D$9,AI$7,"Curn=#1 Null=BLANK",,$H$6)</f>
        <v>11.4402175299</v>
      </c>
      <c r="AJ9" s="63">
        <f>_xll.TR($D$9,AJ$7,"Null=BLANK")</f>
        <v>18.239860130119801</v>
      </c>
      <c r="AK9" s="63">
        <f>_xll.TR($D$9,AK$7,"Curn=#1 Null=BLANK",,$H$6)</f>
        <v>14.776914764908501</v>
      </c>
      <c r="AL9" s="63">
        <f>_xll.TR($D$9,AL$7,"Curn=#1 Null=BLANK",,$H$6)</f>
        <v>12.0693874408705</v>
      </c>
      <c r="AM9" s="63" t="str">
        <f>_xll.TR($D$9,AM$7,"Null=BLANK")</f>
        <v/>
      </c>
      <c r="AN9" s="64">
        <f>_xll.TR($D$9,AN$7,"Null=BLANK")</f>
        <v>2.11390467647059</v>
      </c>
      <c r="AO9" s="64" t="str">
        <f>_xll.TR($D$9,AO$7,"Null=BLANK")</f>
        <v/>
      </c>
      <c r="AP9" s="64" t="str">
        <f>_xll.TR($D$9,AP$7,"Null=BLANK")</f>
        <v/>
      </c>
      <c r="AQ9" s="64" t="str">
        <f>_xll.TR($D$9,AQ$7,"Null=BLANK")</f>
        <v/>
      </c>
      <c r="AR9" s="64" t="str">
        <f>_xll.TR($D$9,AR$7,"Curn=#1",,$H$6)</f>
        <v>NaN</v>
      </c>
      <c r="AS9" s="64" t="str">
        <f>_xll.TR($D$9,AS$7,"Curn=#1",,$H$6)</f>
        <v>NaN</v>
      </c>
      <c r="AT9" s="65">
        <f>IF($D9="","",IFERROR((AX9/AU9)^(1/3)-1,"-"))</f>
        <v>0.10435002617398803</v>
      </c>
      <c r="AU9" s="107">
        <f>_xll.TR($D$9,AU$7,"Curn=#1",,$H$6)</f>
        <v>2263891.2919999999</v>
      </c>
      <c r="AV9" s="107">
        <f>_xll.TR($D$9,AV$7,"Curn=#1",,$H$6)</f>
        <v>2109395.0510399998</v>
      </c>
      <c r="AW9" s="107">
        <f>_xll.TR($D$9,AW$7,"Curn=#1",,$H$6)</f>
        <v>2561431.1488600001</v>
      </c>
      <c r="AX9" s="107">
        <f>_xll.TR($D$9,AX$7,"Curn=#1",,$H$6)</f>
        <v>3049129.0552400001</v>
      </c>
      <c r="AY9" s="107">
        <f>_xll.TR($D$9,AY$7,"Curn=#1",,$H$6)</f>
        <v>1559323.8640000001</v>
      </c>
      <c r="AZ9" s="107">
        <f>_xll.TR($D$9,AZ$7,"Curn=#1",,$H$6)</f>
        <v>1454086.66258</v>
      </c>
      <c r="BA9" s="107">
        <f>_xll.TR($D$9,BA$7,"Curn=#1",,$H$6)</f>
        <v>1791060.6113199999</v>
      </c>
      <c r="BB9" s="107">
        <f>_xll.TR($D$9,BB$7,"Curn=#1",,$H$6)</f>
        <v>2139005.3125</v>
      </c>
      <c r="BC9" s="110">
        <f>_xll.TR($D$9,BC$7,"Null=BLANK")</f>
        <v>68.878036216200002</v>
      </c>
      <c r="BD9" s="110">
        <f>_xll.TR($D$9,BD$7,"Null=BLANK")</f>
        <v>68.933823555862105</v>
      </c>
      <c r="BE9" s="110">
        <f>_xll.TR($D$9,BE$7,"Null=BLANK")</f>
        <v>69.924214520352706</v>
      </c>
      <c r="BF9" s="107">
        <f>_xll.TR($D$9,BF$7,"Curn=#1 Null=BLANK",,$H$6,"CY"&amp;YEAR(Valuation!$E$10))</f>
        <v>1523076.22755</v>
      </c>
      <c r="BG9" s="107">
        <f>_xll.TR($D$9,BG$7,"Curn=#1 Null=BLANK",,$H$6,"CY"&amp;YEAR(Valuation!$E$10)+1)</f>
        <v>1438034.2133800001</v>
      </c>
      <c r="BH9" s="107">
        <f>_xll.TR($D$9,BH$7,"Curn=#1 Null=BLANK",,$H$6,"CY"&amp;YEAR(Valuation!$E$10)+2)</f>
        <v>1795394.4033299999</v>
      </c>
      <c r="BI9" s="110">
        <f>_xll.TR($D$9,BI$7,"Null=BLANK",,"CY"&amp;YEAR(Valuation!$E$10))</f>
        <v>68.037582674171105</v>
      </c>
      <c r="BJ9" s="110">
        <f>_xll.TR($D$9,BJ$7,"Null=BLANK",,"CY"&amp;YEAR(Valuation!$E$10)+1)</f>
        <v>67.751232999317196</v>
      </c>
      <c r="BK9" s="110">
        <f>_xll.TR($D$9,BK$7,"Null=BLANK",,"CY"&amp;YEAR(Valuation!$E$10)+2)</f>
        <v>70.028599574741506</v>
      </c>
      <c r="BL9" s="107">
        <f>_xll.TR($D$9,BL$7,"Curn=#1 Null=BLANK",,$H$6)</f>
        <v>1122069.591</v>
      </c>
      <c r="BM9" s="107">
        <f>_xll.TR($D$9,BM$7,"Curn=#1 Null=BLANK",,$H$6)</f>
        <v>886886.19955999998</v>
      </c>
      <c r="BN9" s="107">
        <f>_xll.TR($D$9,BN$7,"Curn=#1 Null=BLANK",,$H$6)</f>
        <v>1092651.2316099999</v>
      </c>
      <c r="BO9" s="107">
        <f>_xll.TR($D$9,BO$7,"Curn=#1 Null=BLANK",,$H$6)</f>
        <v>1334018.72267</v>
      </c>
      <c r="BP9" s="111">
        <f>_xll.TR($D$9,BP$7,"Curn=#1 Null=BLANK",,$H$6)</f>
        <v>39.203800000000001</v>
      </c>
      <c r="BQ9" s="111">
        <f>_xll.TR($D$9,BQ$7,"Curn=#1 Null=BLANK",,$H$6)</f>
        <v>30.153739999999999</v>
      </c>
      <c r="BR9" s="111">
        <f>_xll.TR($D$9,BR$7,"Curn=#1 Null=BLANK",,$H$6)</f>
        <v>36.81418</v>
      </c>
      <c r="BS9" s="111">
        <f>_xll.TR($D$9,BS$7,"Curn=#1 Null=BLANK",,$H$6)</f>
        <v>45.072710000000001</v>
      </c>
      <c r="BT9" s="107">
        <f>_xll.TR($D$9,BT$7,"Curn=#1 Null=BLANK",,$H$6)</f>
        <v>1089626.456</v>
      </c>
      <c r="BU9" s="107">
        <f>_xll.TR($D$9,BU$7,"Curn=#1 Null=BLANK",,$H$6)</f>
        <v>968756.92032999999</v>
      </c>
      <c r="BV9" s="107">
        <f>_xll.TR($D$9,BV$7,"Curn=#1 Null=BLANK",,$H$6)</f>
        <v>974799.84638999996</v>
      </c>
      <c r="BW9" s="107">
        <f>_xll.TR($D$9,BW$7,"Curn=#1 Null=BLANK",,$H$6)</f>
        <v>958069.05200000003</v>
      </c>
      <c r="BX9" s="107">
        <f>_xll.TR($D$9,BX$7,"Curn=#1 Null=BLANK",,$H$6)</f>
        <v>-695722.14899999998</v>
      </c>
      <c r="BY9" s="107">
        <f>_xll.TR($D$9,BY$7,"Curn=#1",,$H$6)</f>
        <v>-613523.43850000005</v>
      </c>
      <c r="BZ9" s="107">
        <f>_xll.TR($D$9,BZ$7,"Curn=#1",,$H$6)</f>
        <v>-978380.85109000001</v>
      </c>
      <c r="CA9" s="107">
        <f>_xll.TR($D$9,CA$7,"Curn=#1",,$H$6)</f>
        <v>-1531847.1228</v>
      </c>
      <c r="CD9" s="93"/>
      <c r="CM9" s="23"/>
      <c r="CN9" s="23"/>
      <c r="CO9" s="23"/>
      <c r="CP9" s="23"/>
      <c r="CQ9" s="23"/>
      <c r="CR9" s="23"/>
      <c r="CS9" s="23"/>
      <c r="CT9" s="23"/>
    </row>
    <row r="10" spans="1:98">
      <c r="C10" s="94" t="s">
        <v>368</v>
      </c>
      <c r="D10" s="83" t="s">
        <v>368</v>
      </c>
      <c r="E10" s="83"/>
      <c r="F10" s="84"/>
      <c r="G10" s="83"/>
      <c r="H10" s="85"/>
      <c r="I10" s="42">
        <f t="array" ref="I10">IFERROR(MEDIAN(IF(ISNUMBER(I11:I60),I11:I60,"")),"-")</f>
        <v>5280702.8720926652</v>
      </c>
      <c r="J10" s="42">
        <f t="array" ref="J10">IFERROR(MEDIAN(IF(ISNUMBER(J11:J60),J11:J60,"")),"-")</f>
        <v>277337.52402468049</v>
      </c>
      <c r="K10" s="42">
        <f t="array" ref="K10">IFERROR(MEDIAN(IF(ISNUMBER(K11:K60),K11:K60,"")),"-")</f>
        <v>286488.69750000001</v>
      </c>
      <c r="L10" s="42">
        <f t="array" ref="L10">IFERROR(MEDIAN(IF(ISNUMBER(L11:L60),L11:L60,"")),"-")</f>
        <v>35333.804209079302</v>
      </c>
      <c r="M10" s="42">
        <f t="array" ref="M10">IFERROR(MEDIAN(IF(ISNUMBER(M11:M60),M11:M60,"")),"-")</f>
        <v>169715.58415074699</v>
      </c>
      <c r="N10" s="86">
        <f t="array" ref="N10">IFERROR(MEDIAN(IF(ISNUMBER(N11:N60),N11:N60,"")),"-")</f>
        <v>0</v>
      </c>
      <c r="O10" s="42">
        <f t="array" ref="O10">IFERROR(MEDIAN(IF(ISNUMBER(O11:O60),O11:O60,"")),"-")</f>
        <v>5071.3252603178653</v>
      </c>
      <c r="P10" s="42"/>
      <c r="Q10" s="42">
        <f t="array" ref="Q10">IFERROR(MEDIAN(IF(ISNUMBER(Q11:Q60),Q11:Q60,"")),"-")</f>
        <v>5567743.3810926648</v>
      </c>
      <c r="R10" s="42">
        <f t="array" ref="R10">IFERROR(MEDIAN(IF(ISNUMBER(R11:R60),R11:R60,"")),"-")</f>
        <v>3638813.13307</v>
      </c>
      <c r="S10" s="87">
        <f t="array" ref="S10">IFERROR(MEDIAN(IF(ISNUMBER(S11:S60),S11:S60,"")),"-")</f>
        <v>4.4559760062276705</v>
      </c>
      <c r="T10" s="87">
        <f t="array" ref="T10">IFERROR(MEDIAN(IF(ISNUMBER(T11:T60),T11:T60,"")),"-")</f>
        <v>4.4694898799724996</v>
      </c>
      <c r="U10" s="87">
        <f t="array" ref="U10">IFERROR(MEDIAN(IF(ISNUMBER(U11:U60),U11:U60,"")),"-")</f>
        <v>4.5022826392469701</v>
      </c>
      <c r="V10" s="87">
        <f t="array" ref="V10">IFERROR(MEDIAN(IF(ISNUMBER(V11:V60),V11:V60,"")),"-")</f>
        <v>4.1326383936695903</v>
      </c>
      <c r="W10" s="87">
        <f t="array" ref="W10">IFERROR(MEDIAN(IF(ISNUMBER(W11:W60),W11:W60,"")),"-")</f>
        <v>12.99647874253375</v>
      </c>
      <c r="X10" s="87">
        <f t="array" ref="X10">IFERROR(MEDIAN(IF(ISNUMBER(X11:X60),X11:X60,"")),"-")</f>
        <v>16.059579456546899</v>
      </c>
      <c r="Y10" s="87">
        <f t="array" ref="Y10">IFERROR(MEDIAN(IF(ISNUMBER(Y11:Y60),Y11:Y60,"")),"-")</f>
        <v>14.5049286165697</v>
      </c>
      <c r="Z10" s="87">
        <f t="array" ref="Z10">IFERROR(MEDIAN(IF(ISNUMBER(Z11:Z60),Z11:Z60,"")),"-")</f>
        <v>12.2208761321504</v>
      </c>
      <c r="AA10" s="87">
        <f t="array" ref="AA10">IFERROR(MEDIAN(IF(ISNUMBER(AA11:AA60),AA11:AA60,"")),"-")</f>
        <v>11.200385462391299</v>
      </c>
      <c r="AB10" s="87">
        <f t="array" ref="AB10">IFERROR(MEDIAN(IF(ISNUMBER(AB11:AB60),AB11:AB60,"")),"-")</f>
        <v>16.541068654658101</v>
      </c>
      <c r="AC10" s="87">
        <f t="array" ref="AC10">IFERROR(MEDIAN(IF(ISNUMBER(AC11:AC60),AC11:AC60,"")),"-")</f>
        <v>16.928668783211201</v>
      </c>
      <c r="AD10" s="87">
        <f t="array" ref="AD10">IFERROR(MEDIAN(IF(ISNUMBER(AD11:AD60),AD11:AD60,"")),"-")</f>
        <v>15.3134357503847</v>
      </c>
      <c r="AE10" s="87">
        <f t="array" ref="AE10">IFERROR(MEDIAN(IF(ISNUMBER(AE11:AE60),AE11:AE60,"")),"-")</f>
        <v>15.49423877286295</v>
      </c>
      <c r="AF10" s="87">
        <f t="array" ref="AF10">IFERROR(MEDIAN(IF(ISNUMBER(AF11:AF60),AF11:AF60,"")),"-")</f>
        <v>25.761318188938599</v>
      </c>
      <c r="AG10" s="87">
        <f t="array" ref="AG10">IFERROR(MEDIAN(IF(ISNUMBER(AG11:AG60),AG11:AG60,"")),"-")</f>
        <v>16.051728468806601</v>
      </c>
      <c r="AH10" s="87">
        <f t="array" ref="AH10">IFERROR(MEDIAN(IF(ISNUMBER(AH11:AH60),AH11:AH60,"")),"-")</f>
        <v>14.1305506270498</v>
      </c>
      <c r="AI10" s="88">
        <f t="array" ref="AI10">IFERROR(MEDIAN(IF(ISNUMBER(AI11:AI60),AI11:AI60,"")),"-")</f>
        <v>17.823820448700001</v>
      </c>
      <c r="AJ10" s="88">
        <f t="array" ref="AJ10">IFERROR(MEDIAN(IF(ISNUMBER(AJ11:AJ60),AJ11:AJ60,"")),"-")</f>
        <v>29.2831287662462</v>
      </c>
      <c r="AK10" s="88">
        <f t="array" ref="AK10">IFERROR(MEDIAN(IF(ISNUMBER(AK11:AK60),AK11:AK60,"")),"-")</f>
        <v>18.672159739553202</v>
      </c>
      <c r="AL10" s="88">
        <f t="array" ref="AL10">IFERROR(MEDIAN(IF(ISNUMBER(AL11:AL60),AL11:AL60,"")),"-")</f>
        <v>15.462539638312</v>
      </c>
      <c r="AM10" s="88">
        <f t="array" ref="AM10">IFERROR(MEDIAN(IF(ISNUMBER(AM11:AM60),AM11:AM60,"")),"-")</f>
        <v>1.714466514938205</v>
      </c>
      <c r="AN10" s="89">
        <f t="array" ref="AN10">IFERROR(MEDIAN(IF(ISNUMBER(AN11:AN60),AN11:AN60,"")),"-")</f>
        <v>1.2610738043444001</v>
      </c>
      <c r="AO10" s="89">
        <f t="array" ref="AO10">IFERROR(MEDIAN(IF(ISNUMBER(AO11:AO60),AO11:AO60,"")),"-")</f>
        <v>0.81156418299106403</v>
      </c>
      <c r="AP10" s="89">
        <f t="array" ref="AP10">IFERROR(MEDIAN(IF(ISNUMBER(AP11:AP60),AP11:AP60,"")),"-")</f>
        <v>1.4768610239312649</v>
      </c>
      <c r="AQ10" s="89">
        <f t="array" ref="AQ10">IFERROR(MEDIAN(IF(ISNUMBER(AQ11:AQ60),AQ11:AQ60,"")),"-")</f>
        <v>1.1658719471756949</v>
      </c>
      <c r="AR10" s="89">
        <f t="array" ref="AR10">IFERROR(MEDIAN(IF(ISNUMBER(AR11:AR60),AR11:AR60,"")),"-")</f>
        <v>0.57523108162374448</v>
      </c>
      <c r="AS10" s="89">
        <f t="array" ref="AS10">IFERROR(MEDIAN(IF(ISNUMBER(AS11:AS60),AS11:AS60,"")),"-")</f>
        <v>1.3792528218181719</v>
      </c>
      <c r="AT10" s="90">
        <f t="array" ref="AT10">IFERROR(MEDIAN(IF(ISNUMBER(AT11:AT60),AT11:AT60,"")),"-")</f>
        <v>6.9026871477056773E-2</v>
      </c>
      <c r="AU10" s="42">
        <f t="array" ref="AU10">IFERROR(MEDIAN(IF(ISNUMBER(AU11:AU60),AU11:AU60,"")),"-")</f>
        <v>821385.929</v>
      </c>
      <c r="AV10" s="42">
        <f t="array" ref="AV10">IFERROR(MEDIAN(IF(ISNUMBER(AV11:AV60),AV11:AV60,"")),"-")</f>
        <v>1037375.448298879</v>
      </c>
      <c r="AW10" s="42">
        <f t="array" ref="AW10">IFERROR(MEDIAN(IF(ISNUMBER(AW11:AW60),AW11:AW60,"")),"-")</f>
        <v>1097452.3093520501</v>
      </c>
      <c r="AX10" s="42">
        <f t="array" ref="AX10">IFERROR(MEDIAN(IF(ISNUMBER(AX11:AX60),AX11:AX60,"")),"-")</f>
        <v>1235169.371635465</v>
      </c>
      <c r="AY10" s="42">
        <f t="array" ref="AY10">IFERROR(MEDIAN(IF(ISNUMBER(AY11:AY60),AY11:AY60,"")),"-")</f>
        <v>268723.41782962345</v>
      </c>
      <c r="AZ10" s="42">
        <f t="array" ref="AZ10">IFERROR(MEDIAN(IF(ISNUMBER(AZ11:AZ60),AZ11:AZ60,"")),"-")</f>
        <v>338072.16297945351</v>
      </c>
      <c r="BA10" s="42">
        <f t="array" ref="BA10">IFERROR(MEDIAN(IF(ISNUMBER(BA11:BA60),BA11:BA60,"")),"-")</f>
        <v>423606.28499479999</v>
      </c>
      <c r="BB10" s="42">
        <f t="array" ref="BB10">IFERROR(MEDIAN(IF(ISNUMBER(BB11:BB60),BB11:BB60,"")),"-")</f>
        <v>501445.10700172652</v>
      </c>
      <c r="BC10" s="91">
        <f t="array" ref="BC10">IFERROR(MEDIAN(IF(ISNUMBER(BC11:BC60),BC11:BC60,"")),"-")</f>
        <v>30.688396940799997</v>
      </c>
      <c r="BD10" s="91">
        <f t="array" ref="BD10">IFERROR(MEDIAN(IF(ISNUMBER(BD11:BD60),BD11:BD60,"")),"-")</f>
        <v>31.026810000702149</v>
      </c>
      <c r="BE10" s="91">
        <f t="array" ref="BE10">IFERROR(MEDIAN(IF(ISNUMBER(BE11:BE60),BE11:BE60,"")),"-")</f>
        <v>34.428713489127148</v>
      </c>
      <c r="BF10" s="42">
        <f t="array" ref="BF10">IFERROR(MEDIAN(IF(ISNUMBER(BF11:BF60),BF11:BF60,"")),"-")</f>
        <v>388766.96696608502</v>
      </c>
      <c r="BG10" s="42">
        <f t="array" ref="BG10">IFERROR(MEDIAN(IF(ISNUMBER(BG11:BG60),BG11:BG60,"")),"-")</f>
        <v>319669.498673469</v>
      </c>
      <c r="BH10" s="42">
        <f t="array" ref="BH10">IFERROR(MEDIAN(IF(ISNUMBER(BH11:BH60),BH11:BH60,"")),"-")</f>
        <v>410527.22140689148</v>
      </c>
      <c r="BI10" s="91">
        <f t="array" ref="BI10">IFERROR(MEDIAN(IF(ISNUMBER(BI11:BI60),BI11:BI60,"")),"-")</f>
        <v>32.085118774965053</v>
      </c>
      <c r="BJ10" s="91">
        <f t="array" ref="BJ10">IFERROR(MEDIAN(IF(ISNUMBER(BJ11:BJ60),BJ11:BJ60,"")),"-")</f>
        <v>29.796071436217701</v>
      </c>
      <c r="BK10" s="91">
        <f t="array" ref="BK10">IFERROR(MEDIAN(IF(ISNUMBER(BK11:BK60),BK11:BK60,"")),"-")</f>
        <v>34.361181429762595</v>
      </c>
      <c r="BL10" s="42">
        <f t="array" ref="BL10">IFERROR(MEDIAN(IF(ISNUMBER(BL11:BL60),BL11:BL60,"")),"-")</f>
        <v>215833.362400685</v>
      </c>
      <c r="BM10" s="42">
        <f t="array" ref="BM10">IFERROR(MEDIAN(IF(ISNUMBER(BM11:BM60),BM11:BM60,"")),"-")</f>
        <v>211986.53115190798</v>
      </c>
      <c r="BN10" s="42">
        <f t="array" ref="BN10">IFERROR(MEDIAN(IF(ISNUMBER(BN11:BN60),BN11:BN60,"")),"-")</f>
        <v>295728.33332519699</v>
      </c>
      <c r="BO10" s="42">
        <f t="array" ref="BO10">IFERROR(MEDIAN(IF(ISNUMBER(BO11:BO60),BO11:BO60,"")),"-")</f>
        <v>404142.66472854</v>
      </c>
      <c r="BP10" s="92"/>
      <c r="BQ10" s="92"/>
      <c r="BR10" s="92"/>
      <c r="BS10" s="92"/>
      <c r="BT10" s="42">
        <f t="array" ref="BT10">IFERROR(MEDIAN(IF(ISNUMBER(BT11:BT60),BT11:BT60,"")),"-")</f>
        <v>63663.073499999999</v>
      </c>
      <c r="BU10" s="42">
        <f t="array" ref="BU10">IFERROR(MEDIAN(IF(ISNUMBER(BU11:BU60),BU11:BU60,"")),"-")</f>
        <v>48166.87692558</v>
      </c>
      <c r="BV10" s="42">
        <f t="array" ref="BV10">IFERROR(MEDIAN(IF(ISNUMBER(BV11:BV60),BV11:BV60,"")),"-")</f>
        <v>54400.140912359901</v>
      </c>
      <c r="BW10" s="42">
        <f t="array" ref="BW10">IFERROR(MEDIAN(IF(ISNUMBER(BW11:BW60),BW11:BW60,"")),"-")</f>
        <v>58167.818702683304</v>
      </c>
      <c r="BX10" s="42">
        <f t="array" ref="BX10">IFERROR(MEDIAN(IF(ISNUMBER(BX11:BX60),BX11:BX60,"")),"-")</f>
        <v>40532.879357999998</v>
      </c>
      <c r="BY10" s="42">
        <f t="array" ref="BY10">IFERROR(MEDIAN(IF(ISNUMBER(BY11:BY60),BY11:BY60,"")),"-")</f>
        <v>-17009.593930800002</v>
      </c>
      <c r="BZ10" s="42">
        <f t="array" ref="BZ10">IFERROR(MEDIAN(IF(ISNUMBER(BZ11:BZ60),BZ11:BZ60,"")),"-")</f>
        <v>-43216.2477248</v>
      </c>
      <c r="CA10" s="42">
        <f t="array" ref="CA10">IFERROR(MEDIAN(IF(ISNUMBER(CA11:CA60),CA11:CA60,"")),"-")</f>
        <v>-108369.75221278</v>
      </c>
      <c r="CD10" s="56" t="s">
        <v>462</v>
      </c>
      <c r="CK10" s="22"/>
      <c r="CM10" s="23"/>
      <c r="CN10" s="23"/>
      <c r="CO10" s="23"/>
      <c r="CP10" s="23"/>
      <c r="CQ10" s="23"/>
      <c r="CR10" s="23"/>
      <c r="CS10" s="23"/>
      <c r="CT10" s="23"/>
    </row>
    <row r="11" spans="1:98">
      <c r="B11" s="23"/>
      <c r="C11" s="112"/>
      <c r="D11" s="37" t="str">
        <f>IF($C$9="User Input",C11,IF(CD11="","",CD11))</f>
        <v>NVDA.OQ</v>
      </c>
      <c r="E11" s="31" t="str">
        <f>_xll.TR($D$11:$D$60,"TR.CommonName","Null=BLANK")</f>
        <v>NVIDIA Corp</v>
      </c>
      <c r="F11" s="73">
        <f>_xll.TR($D$11:$D$60,F$7,"Null=BLANK")</f>
        <v>44955</v>
      </c>
      <c r="G11" s="81" t="str">
        <f>_xll.TR($D$11:$D$60,G$7,"Null=BLANK")</f>
        <v>Semiconductors</v>
      </c>
      <c r="H11" s="82">
        <f>_xll.TR($D$11:$D$60,H$7,"Curn=#1 Null=BLANK",,$H$6)</f>
        <v>15005.06748</v>
      </c>
      <c r="I11" s="74">
        <f>_xll.TR($D$11:$D$60,I$7,"Curn=#1 Scale=6 Null=BLANK",,$H$6)</f>
        <v>37062516.6756</v>
      </c>
      <c r="J11" s="74">
        <f>_xll.TR($D$11:$D$60,J$7,"Curn=#1 Scale=6 Null=BLANK",,$H$6)</f>
        <v>304096.46999999997</v>
      </c>
      <c r="K11" s="74">
        <f>_xll.TR($D$11:$D$60,K$7,"Curn=#1 Scale=6 Null=BLANK",,$H$6)</f>
        <v>502064.68199999997</v>
      </c>
      <c r="L11" s="74">
        <f>_xll.TR($D$11:$D$60,L$7,"Curn=#1 Scale=6 Null=BLANK",,$H$6)</f>
        <v>25067.200000000001</v>
      </c>
      <c r="M11" s="74" t="str">
        <f>_xll.TR($D$11:$D$60,M$7,"Curn=#1 Scale=6 Null=BLANK",,$H$6)</f>
        <v/>
      </c>
      <c r="N11" s="74">
        <f>_xll.TR($D$11:$D$60,N$7,"Curn=#1 Scale=6 Null=BLANK",,$H$6)</f>
        <v>0</v>
      </c>
      <c r="O11" s="74" t="str">
        <f>_xll.TR($D$11:$D$60,O$7,"Curn=#1 Scale=6 Null=BLANK",,$H$6)</f>
        <v/>
      </c>
      <c r="P11" s="74"/>
      <c r="Q11" s="74">
        <f t="shared" ref="Q11:Q60" si="0">IF(D11="","",SUM(I11,J11,M11:P11)-SUM(K11:L11))</f>
        <v>36839481.263599999</v>
      </c>
      <c r="R11" s="74">
        <f>IF(D11="","",_xll.TR($D11,R$7,"Curn=#2 scale=6",,$F11,$H$6))</f>
        <v>15095171.281300001</v>
      </c>
      <c r="S11" s="75">
        <f>_xll.TR($D11:$D60,S$7,"Curn=#2 Scale=6 Null=BLANK",,$R11,$H$6)</f>
        <v>18.520015570549401</v>
      </c>
      <c r="T11" s="75">
        <f>_xll.TR(D11,T$7,"Curn=#2 Scale=6 Transpose=Y Null=BLANK",,$Q11,$H$6)</f>
        <v>20.967745651997799</v>
      </c>
      <c r="U11" s="75">
        <v>13.9527657328701</v>
      </c>
      <c r="V11" s="75">
        <v>11.8293496385736</v>
      </c>
      <c r="W11" s="75">
        <f>_xll.TR($D11:$D60,W$7,"Curn=#2 Scale=6 Null=BLANK",,$R11,$H$6)</f>
        <v>63.460226117886201</v>
      </c>
      <c r="X11" s="75">
        <f>_xll.TR($D11,X$7,"Curn=#2 Scale=6 Transpose=Y Null=BLANK",,$Q11,$H$6)</f>
        <v>35.490222008662101</v>
      </c>
      <c r="Y11" s="75">
        <v>23.301837805782601</v>
      </c>
      <c r="Z11" s="75">
        <v>21.2709849931082</v>
      </c>
      <c r="AA11" s="75">
        <f>_xll.TR($D11:$D60,AA$7,"Curn=#2 Scale=6 Null=BLANK",,$R11,$H$6)</f>
        <v>82.722122868024499</v>
      </c>
      <c r="AB11" s="75">
        <f>_xll.TR($D11,AB$7,"Curn=#2 Scale=6 Period=FY1:FY3 Transpose=Y Null=BLANK",,$Q11,$H$6)</f>
        <v>37.174882434451298</v>
      </c>
      <c r="AC11" s="75">
        <v>24.410678901754402</v>
      </c>
      <c r="AD11" s="75">
        <v>22.529600902289801</v>
      </c>
      <c r="AE11" s="75">
        <f>_xll.TR($D11:$D60,AE$7,"Curn=#2 Scale=6 Null=BLANK",,$R11,$H$6)</f>
        <v>78.944200379266803</v>
      </c>
      <c r="AF11" s="75">
        <f>_xll.TR($D11,AF$7,"Curn=#2 Scale=6 Transpose=Y Null=BLANK",,$Q11,$H$6)</f>
        <v>36.805545202478598</v>
      </c>
      <c r="AG11" s="75">
        <v>23.2194076277903</v>
      </c>
      <c r="AH11" s="75">
        <v>20.289594118205201</v>
      </c>
      <c r="AI11" s="76">
        <f>_xll.TR($D$11:$D$60,AI$7,"Curn=#1 Null=BLANK",,$H$6)</f>
        <v>116.8843840397</v>
      </c>
      <c r="AJ11" s="76">
        <f>_xll.TR($D$11:$D$60,AJ$7,"Null=BLANK")</f>
        <v>43.3810649242319</v>
      </c>
      <c r="AK11" s="76">
        <f>_xll.TR($D$11:$D$60,AK$7,"Null=BLANK")</f>
        <v>27.440515065139401</v>
      </c>
      <c r="AL11" s="76">
        <f>_xll.TR($D$11:$D$60,AL$7,"Null=BLANK")</f>
        <v>23.4177531845062</v>
      </c>
      <c r="AM11" s="76">
        <f>_xll.TR($D$11:$D$60,AM$7,"Null=BLANK")</f>
        <v>0.36167945182590699</v>
      </c>
      <c r="AN11" s="77">
        <f>_xll.TR($D$11:$D$60,AN$7,"Null=BLANK")</f>
        <v>3.4936023407136002E-2</v>
      </c>
      <c r="AO11" s="77" t="str">
        <f>_xll.TR($D$11:$D$60,AO$7,"Null=BLANK")</f>
        <v/>
      </c>
      <c r="AP11" s="77" t="str">
        <f>_xll.TR($D$11:$D$60,AP$7,"Curn=#1",,$H$6)</f>
        <v>NULL</v>
      </c>
      <c r="AQ11" s="77" t="str">
        <f>_xll.TR($D$11:$D$60,AQ$7,"Null=BLANK")</f>
        <v/>
      </c>
      <c r="AR11" s="77" t="str">
        <f>_xll.TR($D$11:$D$60,AR$7,"Null=BLANK")</f>
        <v/>
      </c>
      <c r="AS11" s="77" t="str">
        <f>_xll.TR($D$11:$D$60,AS$7,"Null=BLANK")</f>
        <v/>
      </c>
      <c r="AT11" s="78">
        <f t="shared" ref="AT11:AT60" si="1">IF($D11="","",IFERROR((AX11/AU11)^(1/3)-1,"-"))</f>
        <v>0.56333474462199851</v>
      </c>
      <c r="AU11" s="74">
        <f>_xll.TR($D$11:$D$60,AU$7,"Curn=#1 Null=BLANK",,$H$6)</f>
        <v>815073.35800000001</v>
      </c>
      <c r="AV11" s="74">
        <f>_xll.TR($D$11:$D$60,AV$7,"Curn=#1 Null=BLANK",,$H$6)</f>
        <v>1756959.56422907</v>
      </c>
      <c r="AW11" s="74">
        <f>_xll.TR($D$11:$D$60,AW$7,"Curn=#1 Null=BLANK",,$H$6)</f>
        <v>2640299.5627464</v>
      </c>
      <c r="AX11" s="74">
        <f>_xll.TR($D$11:$D$60,AX$7,"Curn=#1 Null=BLANK",,$H$6)</f>
        <v>3114244.0108010899</v>
      </c>
      <c r="AY11" s="74">
        <f>_xll.TR($D$11:$D$60,AY$7,"Curn=#1 Null=BLANK",,$H$6)</f>
        <v>237868.22399999999</v>
      </c>
      <c r="AZ11" s="74">
        <f>_xll.TR($D$11:$D$60,AZ$7,"Curn=#1 Null=BLANK",,$H$6)</f>
        <v>1038017.774434</v>
      </c>
      <c r="BA11" s="74">
        <f>_xll.TR($D$11:$D$60,BA$7,"Curn=#1 Null=BLANK",,$H$6)</f>
        <v>1580968.9162997201</v>
      </c>
      <c r="BB11" s="74">
        <f>_xll.TR($D$11:$D$60,BB$7,"Curn=#1 Null=BLANK",,$H$6)</f>
        <v>1731912.3338921999</v>
      </c>
      <c r="BC11" s="77">
        <f>_xll.TR($D$11:$D$60,BC$7,"Null=BLANK")</f>
        <v>29.183658337699999</v>
      </c>
      <c r="BD11" s="77">
        <f>_xll.TR($D$11:$D$60,BD$7,"Null=BLANK")</f>
        <v>59.019695244494699</v>
      </c>
      <c r="BE11" s="77">
        <f>_xll.TR($D$11:$D$60,BE$7,"Null=BLANK")</f>
        <v>59.755453501059399</v>
      </c>
      <c r="BF11" s="74">
        <f>_xll.TR($D$11:$D$60,BF$7,"Curn=#1 Null=BLANK",,$H$6,"CY"&amp;YEAR(Valuation!$E$10))</f>
        <v>394000.71035350999</v>
      </c>
      <c r="BG11" s="74">
        <f>_xll.TR($D$11:$D$60,BG$7,"Curn=#1 Null=BLANK",,$H$6,"CY"&amp;YEAR(Valuation!$E$10)+1)</f>
        <v>869995.56225177296</v>
      </c>
      <c r="BH11" s="74">
        <f>_xll.TR($D$11:$D$60,BH$7,"Curn=#1 Null=BLANK",,$H$6,"CY"&amp;YEAR(Valuation!$E$10)+2)</f>
        <v>1622886.24287179</v>
      </c>
      <c r="BI11" s="77">
        <f>_xll.TR($D$11:$D$60,BI$7,"Null=BLANK",,"CY"&amp;YEAR(Valuation!$E$10))</f>
        <v>47.162560516103497</v>
      </c>
      <c r="BJ11" s="77">
        <f>_xll.TR($D$11:$D$60,BJ$7,"Null=BLANK",,"CY"&amp;YEAR(Valuation!$E$10)+1)</f>
        <v>57.731074565400903</v>
      </c>
      <c r="BK11" s="77">
        <f>_xll.TR($D$11:$D$60,BK$7,"Null=BLANK",,"CY"&amp;YEAR(Valuation!$E$10)+2)</f>
        <v>63.089765720391298</v>
      </c>
      <c r="BL11" s="74">
        <f>_xll.TR($D$11:$D$60,BL$7,"Curn=#1 Null=BLANK",,$H$6)</f>
        <v>191213.17600000001</v>
      </c>
      <c r="BM11" s="74">
        <f>_xll.TR($D$11:$D$60,BM$7,"Curn=#1 Null=BLANK",,$H$6)</f>
        <v>1000922.036637</v>
      </c>
      <c r="BN11" s="74">
        <f>_xll.TR($D$11:$D$60,BN$7,"Curn=#1 Null=BLANK",,$H$6)</f>
        <v>1586581.44316776</v>
      </c>
      <c r="BO11" s="74">
        <f>_xll.TR($D$11:$D$60,BO$7,"Curn=#1 Null=BLANK",,$H$6)</f>
        <v>1815683.5000728299</v>
      </c>
      <c r="BP11" s="82">
        <f>_xll.TR($D$11:$D$60,BP$7,"Curn=#1 Null=BLANK",,$H$6)</f>
        <v>52.647683440000002</v>
      </c>
      <c r="BQ11" s="82">
        <f>_xll.TR($D$11:$D$60,BQ$7,"Curn=#1 Null=BLANK",,$H$6)</f>
        <v>346.48321349999998</v>
      </c>
      <c r="BR11" s="82">
        <f>_xll.TR($D$11:$D$60,BR$7,"Curn=#1 Null=BLANK",,$H$6)</f>
        <v>547.19690079999998</v>
      </c>
      <c r="BS11" s="82">
        <f>_xll.TR($D$11:$D$60,BS$7,"Curn=#1 Null=BLANK",,$H$6)</f>
        <v>641.85537620000002</v>
      </c>
      <c r="BT11" s="74">
        <f>_xll.TR($D$11:$D$60,BT$7,"Curn=#1 Null=BLANK",,$H$6)</f>
        <v>55387.760999999999</v>
      </c>
      <c r="BU11" s="74">
        <f>_xll.TR($D$11:$D$60,BU$7,"Curn=#1 Null=BLANK",,$H$6)</f>
        <v>47040.026795999998</v>
      </c>
      <c r="BV11" s="74">
        <f>_xll.TR($D$11:$D$60,BV$7,"Curn=#1 Null=BLANK",,$H$6)</f>
        <v>71814.606750699997</v>
      </c>
      <c r="BW11" s="74">
        <f>_xll.TR($D$11:$D$60,BW$7,"Curn=#1 Null=BLANK",,$H$6)</f>
        <v>96753.263681779994</v>
      </c>
      <c r="BX11" s="74">
        <f>_xll.TR($D$11:$D$60,BX$7,"Curn=#1 Null=BLANK",,$H$6)</f>
        <v>-70798.430999999997</v>
      </c>
      <c r="BY11" s="74">
        <f>_xll.TR($D$11:$D$60,BY$7,"Curn=#1 Null=BLANK",,$H$6)</f>
        <v>-497216.80231517</v>
      </c>
      <c r="BZ11" s="74">
        <f>_xll.TR($D$11:$D$60,BZ$7,"Curn=#1 Null=BLANK",,$H$6)</f>
        <v>-1369584.6869334099</v>
      </c>
      <c r="CA11" s="74">
        <f>_xll.TR($D$11:$D$60,CA$7,"Curn=#1 Null=BLANK",,$H$6)</f>
        <v>-2154999.8158752001</v>
      </c>
      <c r="CD11" s="93" t="str">
        <f>_xll.TR($J$2,"TR.CompanyMarketCap(Scale=6)","CURN=USD RH=In SORTD=TR.CompanyMarketCap",CD11:CD60)</f>
        <v>NVDA.OQ</v>
      </c>
      <c r="CM11" s="23"/>
      <c r="CN11" s="25"/>
      <c r="CO11" s="25"/>
      <c r="CP11" s="25"/>
      <c r="CQ11" s="23"/>
      <c r="CR11" s="23"/>
      <c r="CS11" s="23"/>
      <c r="CT11" s="23"/>
    </row>
    <row r="12" spans="1:98">
      <c r="B12" s="23"/>
      <c r="C12" s="112"/>
      <c r="D12" s="41" t="str">
        <f t="shared" ref="D12:D60" si="2">IF($C$9="User Input",C12,IF(CD12="","",CD12))</f>
        <v>AVGO.OQ</v>
      </c>
      <c r="E12" s="32" t="s">
        <v>510</v>
      </c>
      <c r="F12" s="66">
        <v>44864</v>
      </c>
      <c r="G12" s="32" t="s">
        <v>517</v>
      </c>
      <c r="H12" s="72">
        <v>28036.644479999999</v>
      </c>
      <c r="I12" s="67">
        <v>11571718.589921599</v>
      </c>
      <c r="J12" s="67">
        <v>1232710.8940000001</v>
      </c>
      <c r="K12" s="67">
        <v>377731.37</v>
      </c>
      <c r="L12" s="67"/>
      <c r="M12" s="67"/>
      <c r="N12" s="67">
        <v>0</v>
      </c>
      <c r="O12" s="67"/>
      <c r="P12" s="67"/>
      <c r="Q12" s="67">
        <f t="shared" si="0"/>
        <v>12426698.113921599</v>
      </c>
      <c r="R12" s="67"/>
      <c r="S12" s="68">
        <v>6.7696051561605897</v>
      </c>
      <c r="T12" s="68"/>
      <c r="U12" s="68"/>
      <c r="V12" s="68"/>
      <c r="W12" s="68">
        <v>11.663701935550799</v>
      </c>
      <c r="X12" s="68"/>
      <c r="Y12" s="68"/>
      <c r="Z12" s="68"/>
      <c r="AA12" s="68">
        <v>11.926099644505801</v>
      </c>
      <c r="AB12" s="68"/>
      <c r="AC12" s="68"/>
      <c r="AD12" s="68"/>
      <c r="AE12" s="68">
        <v>15.7325680688738</v>
      </c>
      <c r="AF12" s="68"/>
      <c r="AG12" s="68"/>
      <c r="AH12" s="68"/>
      <c r="AI12" s="69">
        <v>17.823820448700001</v>
      </c>
      <c r="AJ12" s="69">
        <v>20.803806799773302</v>
      </c>
      <c r="AK12" s="69">
        <v>19.076628033237501</v>
      </c>
      <c r="AL12" s="69">
        <v>17.1067597873</v>
      </c>
      <c r="AM12" s="69">
        <v>1.9788335315972501</v>
      </c>
      <c r="AN12" s="70">
        <v>2.1434978623268601</v>
      </c>
      <c r="AO12" s="70">
        <v>1.4062062165948801</v>
      </c>
      <c r="AP12" s="70">
        <v>1.34268280681035</v>
      </c>
      <c r="AQ12" s="70">
        <v>1.1198684718288801</v>
      </c>
      <c r="AR12" s="70">
        <v>0.89619430594933902</v>
      </c>
      <c r="AS12" s="70">
        <v>0.77978635522777395</v>
      </c>
      <c r="AT12" s="71">
        <f t="shared" si="1"/>
        <v>8.3074937731442811E-2</v>
      </c>
      <c r="AU12" s="67">
        <v>1065816.3</v>
      </c>
      <c r="AV12" s="67">
        <v>1150183.1505515999</v>
      </c>
      <c r="AW12" s="67">
        <v>1243283.8079200001</v>
      </c>
      <c r="AX12" s="67">
        <v>1354122.2589487999</v>
      </c>
      <c r="AY12" s="67">
        <v>618599.1</v>
      </c>
      <c r="AZ12" s="67">
        <v>717337.40739444003</v>
      </c>
      <c r="BA12" s="67">
        <v>772610.51853378001</v>
      </c>
      <c r="BB12" s="67">
        <v>804499.19317908003</v>
      </c>
      <c r="BC12" s="70">
        <v>58.039936150300001</v>
      </c>
      <c r="BD12" s="70">
        <v>62.769804143710701</v>
      </c>
      <c r="BE12" s="70">
        <v>62.543853348601999</v>
      </c>
      <c r="BF12" s="67">
        <v>628686.30632600002</v>
      </c>
      <c r="BG12" s="67">
        <v>722907.79454363999</v>
      </c>
      <c r="BH12" s="67">
        <v>773966.28782970295</v>
      </c>
      <c r="BI12" s="70">
        <v>62.373438914512299</v>
      </c>
      <c r="BJ12" s="70">
        <v>63.9637919167033</v>
      </c>
      <c r="BK12" s="70">
        <v>61.462480221687599</v>
      </c>
      <c r="BL12" s="67">
        <v>458612.7</v>
      </c>
      <c r="BM12" s="67">
        <v>695913.76143960003</v>
      </c>
      <c r="BN12" s="67">
        <v>762265.86343160004</v>
      </c>
      <c r="BO12" s="67">
        <v>845231.30983279995</v>
      </c>
      <c r="BP12" s="72">
        <v>851.67431099999999</v>
      </c>
      <c r="BQ12" s="72">
        <v>1350.2753352</v>
      </c>
      <c r="BR12" s="72">
        <v>1472.5279095999999</v>
      </c>
      <c r="BS12" s="72">
        <v>1642.0916380000001</v>
      </c>
      <c r="BT12" s="67">
        <v>13610.4</v>
      </c>
      <c r="BU12" s="67">
        <v>15724.26540484</v>
      </c>
      <c r="BV12" s="67">
        <v>18992.070547560001</v>
      </c>
      <c r="BW12" s="67">
        <v>20664.011354999999</v>
      </c>
      <c r="BX12" s="67">
        <v>869877.9</v>
      </c>
      <c r="BY12" s="67">
        <v>803323.54620450002</v>
      </c>
      <c r="BZ12" s="67">
        <v>692409.14742654003</v>
      </c>
      <c r="CA12" s="67">
        <v>631897.94667920005</v>
      </c>
      <c r="CD12" s="93" t="s">
        <v>504</v>
      </c>
      <c r="CM12" s="23"/>
      <c r="CN12" s="25"/>
      <c r="CO12" s="25"/>
      <c r="CP12" s="25"/>
      <c r="CQ12" s="23"/>
      <c r="CR12" s="23"/>
      <c r="CS12" s="23"/>
      <c r="CT12" s="23"/>
    </row>
    <row r="13" spans="1:98">
      <c r="B13" s="23"/>
      <c r="C13" s="112"/>
      <c r="D13" s="41" t="str">
        <f t="shared" si="2"/>
        <v>005930.KS</v>
      </c>
      <c r="E13" s="32" t="s">
        <v>520</v>
      </c>
      <c r="F13" s="66">
        <v>44926</v>
      </c>
      <c r="G13" s="32" t="s">
        <v>519</v>
      </c>
      <c r="H13" s="72">
        <v>1633.5347648720101</v>
      </c>
      <c r="I13" s="67">
        <v>10810415.8554307</v>
      </c>
      <c r="J13" s="67">
        <v>250578.57804936101</v>
      </c>
      <c r="K13" s="67">
        <v>2794233.35661422</v>
      </c>
      <c r="L13" s="67">
        <v>264173.64496796002</v>
      </c>
      <c r="M13" s="67">
        <v>231911.60230149399</v>
      </c>
      <c r="N13" s="67"/>
      <c r="O13" s="67">
        <v>6507.90652063573</v>
      </c>
      <c r="P13" s="67"/>
      <c r="Q13" s="67">
        <f t="shared" si="0"/>
        <v>8241006.9407200096</v>
      </c>
      <c r="R13" s="67">
        <f>IF(D13="","",_xll.TR($D13,R$7,"Curn=#2 scale=6",,$F13,$H$6))</f>
        <v>6539638.01566232</v>
      </c>
      <c r="S13" s="68">
        <v>0.89229168185922303</v>
      </c>
      <c r="T13" s="68">
        <f>_xll.TR(D13,T$7,"Curn=#2 Scale=6 Transpose=Y Null=BLANK",,$Q13,$H$6)</f>
        <v>1.3134509089169399</v>
      </c>
      <c r="U13" s="68">
        <v>1.14925862600972</v>
      </c>
      <c r="V13" s="68">
        <v>1.04265368468645</v>
      </c>
      <c r="W13" s="68">
        <v>3.2681594282624</v>
      </c>
      <c r="X13" s="68">
        <f>_xll.TR($D13,X$7,"Curn=#2 Scale=6 Transpose=Y Null=BLANK",,$Q13,$H$6)</f>
        <v>7.3883233591012401</v>
      </c>
      <c r="Y13" s="68">
        <v>4.5662258893713004</v>
      </c>
      <c r="Z13" s="68">
        <v>3.71497718080954</v>
      </c>
      <c r="AA13" s="68">
        <v>9.1757939182269297</v>
      </c>
      <c r="AB13" s="68">
        <f>_xll.TR($D13,AB$7,"Curn=#2 Scale=6 Period=FY1:FY3 Transpose=Y Null=BLANK",,$Q13,$H$6)</f>
        <v>-59.545782200867201</v>
      </c>
      <c r="AC13" s="68">
        <v>13.919241301115299</v>
      </c>
      <c r="AD13" s="68">
        <v>8.3452127564396203</v>
      </c>
      <c r="AE13" s="68">
        <v>6.2124618851704296</v>
      </c>
      <c r="AF13" s="68">
        <f>_xll.TR($D13,AF$7,"Curn=#2 Scale=6 Transpose=Y Null=BLANK",,$Q13,$H$6)</f>
        <v>46.082072899192802</v>
      </c>
      <c r="AG13" s="68">
        <v>9.9951218159304993</v>
      </c>
      <c r="AH13" s="68">
        <v>6.6367920752184997</v>
      </c>
      <c r="AI13" s="69">
        <v>6.8634117892999997</v>
      </c>
      <c r="AJ13" s="69">
        <v>52.8367325054964</v>
      </c>
      <c r="AK13" s="69">
        <v>16.5932632120197</v>
      </c>
      <c r="AL13" s="69">
        <v>11.7897658564083</v>
      </c>
      <c r="AM13" s="69">
        <v>1.2472769526854901</v>
      </c>
      <c r="AN13" s="70">
        <v>2.1173020527859201</v>
      </c>
      <c r="AO13" s="70"/>
      <c r="AP13" s="70" t="s">
        <v>516</v>
      </c>
      <c r="AQ13" s="70"/>
      <c r="AR13" s="70"/>
      <c r="AS13" s="70"/>
      <c r="AT13" s="71">
        <f t="shared" si="1"/>
        <v>2.5489246770947993E-2</v>
      </c>
      <c r="AU13" s="67">
        <v>7329036.1757447002</v>
      </c>
      <c r="AV13" s="67">
        <v>6274316.6758439997</v>
      </c>
      <c r="AW13" s="67">
        <v>7170715.7590220999</v>
      </c>
      <c r="AX13" s="67">
        <v>7903877.4444059702</v>
      </c>
      <c r="AY13" s="67">
        <v>2001015.6050249001</v>
      </c>
      <c r="AZ13" s="67">
        <v>1115409.6186881701</v>
      </c>
      <c r="BA13" s="67">
        <v>1804774.2578619299</v>
      </c>
      <c r="BB13" s="67">
        <v>2218319.6664815499</v>
      </c>
      <c r="BC13" s="70">
        <v>27.302575086800001</v>
      </c>
      <c r="BD13" s="70">
        <v>17.777387982064699</v>
      </c>
      <c r="BE13" s="70">
        <v>25.168676580035701</v>
      </c>
      <c r="BF13" s="67">
        <v>1849885.25726547</v>
      </c>
      <c r="BG13" s="67">
        <v>1142956.2940941299</v>
      </c>
      <c r="BH13" s="67">
        <v>1807142.4403236699</v>
      </c>
      <c r="BI13" s="70">
        <v>26.487540870701199</v>
      </c>
      <c r="BJ13" s="70">
        <v>18.299948756815301</v>
      </c>
      <c r="BK13" s="70">
        <v>25.193055116460702</v>
      </c>
      <c r="BL13" s="67">
        <v>1052664.48898027</v>
      </c>
      <c r="BM13" s="67">
        <v>178833.25168005601</v>
      </c>
      <c r="BN13" s="67">
        <v>824502.90176406503</v>
      </c>
      <c r="BO13" s="67">
        <v>1241715.40215816</v>
      </c>
      <c r="BP13" s="72">
        <v>195.385537912627</v>
      </c>
      <c r="BQ13" s="72">
        <v>30.9166499783476</v>
      </c>
      <c r="BR13" s="72">
        <v>98.445660989016901</v>
      </c>
      <c r="BS13" s="72">
        <v>138.55531863545099</v>
      </c>
      <c r="BT13" s="67">
        <v>1288310.18967421</v>
      </c>
      <c r="BU13" s="67">
        <v>1253807.4469830501</v>
      </c>
      <c r="BV13" s="67">
        <v>1212715.6274781199</v>
      </c>
      <c r="BW13" s="67">
        <v>1230806.56391136</v>
      </c>
      <c r="BX13" s="67">
        <v>-2543654.7785648601</v>
      </c>
      <c r="BY13" s="67">
        <v>-2849767.8515254399</v>
      </c>
      <c r="BZ13" s="67">
        <v>-2206636.0239263498</v>
      </c>
      <c r="CA13" s="67">
        <v>-2955539.9406055901</v>
      </c>
      <c r="CD13" s="93" t="s">
        <v>502</v>
      </c>
      <c r="CM13" s="23"/>
      <c r="CN13" s="25"/>
      <c r="CO13" s="25"/>
      <c r="CP13" s="25"/>
      <c r="CQ13" s="23"/>
      <c r="CR13" s="23"/>
      <c r="CS13" s="23"/>
      <c r="CT13" s="23"/>
    </row>
    <row r="14" spans="1:98">
      <c r="B14" s="23"/>
      <c r="C14" s="112"/>
      <c r="D14" s="41" t="str">
        <f t="shared" si="2"/>
        <v>ASML.AS</v>
      </c>
      <c r="E14" s="32" t="s">
        <v>511</v>
      </c>
      <c r="F14" s="66">
        <v>44926</v>
      </c>
      <c r="G14" s="32" t="s">
        <v>518</v>
      </c>
      <c r="H14" s="72">
        <v>19301.714425251401</v>
      </c>
      <c r="I14" s="67">
        <v>7771028.3769250596</v>
      </c>
      <c r="J14" s="67">
        <v>178832.384490339</v>
      </c>
      <c r="K14" s="67">
        <v>215534.847205403</v>
      </c>
      <c r="L14" s="67">
        <v>35333.804209079302</v>
      </c>
      <c r="M14" s="67"/>
      <c r="N14" s="67"/>
      <c r="O14" s="67"/>
      <c r="P14" s="67"/>
      <c r="Q14" s="67">
        <f t="shared" si="0"/>
        <v>7698992.1100009168</v>
      </c>
      <c r="R14" s="67">
        <f>IF(D14="","",_xll.TR($D14,R$7,"Curn=#2 scale=6",,$F14,$H$6))</f>
        <v>6379612.4000057401</v>
      </c>
      <c r="S14" s="68">
        <v>9.2074983119385703</v>
      </c>
      <c r="T14" s="68">
        <f>_xll.TR(D14,T$7,"Curn=#2 Scale=6 Transpose=Y Null=BLANK",,$Q14,$H$6)</f>
        <v>8.3271259925787504</v>
      </c>
      <c r="U14" s="68">
        <v>7.8569390085290403</v>
      </c>
      <c r="V14" s="68">
        <v>6.6425786788059398</v>
      </c>
      <c r="W14" s="68">
        <v>23.5423312109649</v>
      </c>
      <c r="X14" s="68">
        <f>_xll.TR($D14,X$7,"Curn=#2 Scale=6 Transpose=Y Null=BLANK",,$Q14,$H$6)</f>
        <v>23.725441415594801</v>
      </c>
      <c r="Y14" s="68">
        <v>21.380675246026499</v>
      </c>
      <c r="Z14" s="68">
        <v>16.662275723227701</v>
      </c>
      <c r="AA14" s="68">
        <v>32.125044451438598</v>
      </c>
      <c r="AB14" s="68">
        <f>_xll.TR($D14,AB$7,"Curn=#2 Scale=6 Period=FY1:FY3 Transpose=Y Null=BLANK",,$Q14,$H$6)</f>
        <v>29.818221403183902</v>
      </c>
      <c r="AC14" s="68">
        <v>25.146940770080601</v>
      </c>
      <c r="AD14" s="68">
        <v>18.974205552414102</v>
      </c>
      <c r="AE14" s="68">
        <v>26.531579308383201</v>
      </c>
      <c r="AF14" s="68">
        <f>_xll.TR($D14,AF$7,"Curn=#2 Scale=6 Transpose=Y Null=BLANK",,$Q14,$H$6)</f>
        <v>25.761318188938599</v>
      </c>
      <c r="AG14" s="68">
        <v>23.375903304819602</v>
      </c>
      <c r="AH14" s="68">
        <v>18.008186879739998</v>
      </c>
      <c r="AI14" s="69">
        <v>31.350634884600002</v>
      </c>
      <c r="AJ14" s="69">
        <v>29.2831287662462</v>
      </c>
      <c r="AK14" s="69">
        <v>26.482279147785199</v>
      </c>
      <c r="AL14" s="69">
        <v>20.1547555414027</v>
      </c>
      <c r="AM14" s="69">
        <v>1.3177383359585</v>
      </c>
      <c r="AN14" s="70">
        <v>1.03685417034033</v>
      </c>
      <c r="AO14" s="70"/>
      <c r="AP14" s="70" t="s">
        <v>516</v>
      </c>
      <c r="AQ14" s="70"/>
      <c r="AR14" s="70"/>
      <c r="AS14" s="70"/>
      <c r="AT14" s="71">
        <f t="shared" si="1"/>
        <v>0.1870841526198479</v>
      </c>
      <c r="AU14" s="67">
        <v>692871.41673801397</v>
      </c>
      <c r="AV14" s="67">
        <v>924567.74604615802</v>
      </c>
      <c r="AW14" s="67">
        <v>979897.14590419305</v>
      </c>
      <c r="AX14" s="67">
        <v>1159036.6455975301</v>
      </c>
      <c r="AY14" s="67">
        <v>270984.73565924697</v>
      </c>
      <c r="AZ14" s="67">
        <v>324503.64042290702</v>
      </c>
      <c r="BA14" s="67">
        <v>360091.158085934</v>
      </c>
      <c r="BB14" s="67">
        <v>462061.25969145301</v>
      </c>
      <c r="BC14" s="70">
        <v>39.1103932292</v>
      </c>
      <c r="BD14" s="70">
        <v>35.0978759329018</v>
      </c>
      <c r="BE14" s="70">
        <v>36.747852526263102</v>
      </c>
      <c r="BF14" s="67">
        <v>205709.65942210701</v>
      </c>
      <c r="BG14" s="67">
        <v>300647.67195293802</v>
      </c>
      <c r="BH14" s="67">
        <v>368865.62370378303</v>
      </c>
      <c r="BI14" s="70">
        <v>32.159045681144697</v>
      </c>
      <c r="BJ14" s="70">
        <v>33.644039256959701</v>
      </c>
      <c r="BK14" s="70">
        <v>37.082313227779998</v>
      </c>
      <c r="BL14" s="67">
        <v>240453.54880136999</v>
      </c>
      <c r="BM14" s="67">
        <v>298858.624140853</v>
      </c>
      <c r="BN14" s="67">
        <v>329355.91876843403</v>
      </c>
      <c r="BO14" s="67">
        <v>427527.33306331001</v>
      </c>
      <c r="BP14" s="72">
        <v>525.86451567850997</v>
      </c>
      <c r="BQ14" s="72">
        <v>657.04218537378995</v>
      </c>
      <c r="BR14" s="72">
        <v>728.85397505016499</v>
      </c>
      <c r="BS14" s="72">
        <v>957.07266485002106</v>
      </c>
      <c r="BT14" s="67">
        <v>72397.854023972599</v>
      </c>
      <c r="BU14" s="67">
        <v>66306.077063918405</v>
      </c>
      <c r="BV14" s="67">
        <v>53930.970236719797</v>
      </c>
      <c r="BW14" s="67">
        <v>56300.286525366602</v>
      </c>
      <c r="BX14" s="67">
        <v>-95438.592144691793</v>
      </c>
      <c r="BY14" s="67">
        <v>-101344.915998848</v>
      </c>
      <c r="BZ14" s="67">
        <v>-143602.209784773</v>
      </c>
      <c r="CA14" s="67">
        <v>-212449.209680108</v>
      </c>
      <c r="CD14" s="93" t="s">
        <v>505</v>
      </c>
      <c r="CM14" s="23"/>
      <c r="CN14" s="25"/>
      <c r="CO14" s="25"/>
      <c r="CP14" s="25"/>
      <c r="CQ14" s="23"/>
      <c r="CR14" s="23"/>
      <c r="CS14" s="23"/>
      <c r="CT14" s="23"/>
    </row>
    <row r="15" spans="1:98">
      <c r="B15" s="23"/>
      <c r="C15" s="112"/>
      <c r="D15" s="41" t="str">
        <f t="shared" si="2"/>
        <v>AMD.OQ</v>
      </c>
      <c r="E15" s="32" t="s">
        <v>512</v>
      </c>
      <c r="F15" s="66">
        <v>44926</v>
      </c>
      <c r="G15" s="32" t="s">
        <v>517</v>
      </c>
      <c r="H15" s="72">
        <v>3472.2019799999998</v>
      </c>
      <c r="I15" s="67">
        <v>5609937.3646653304</v>
      </c>
      <c r="J15" s="67">
        <v>76795.243000000002</v>
      </c>
      <c r="K15" s="67">
        <v>195645.76500000001</v>
      </c>
      <c r="L15" s="67">
        <v>2801.61</v>
      </c>
      <c r="M15" s="67"/>
      <c r="N15" s="67"/>
      <c r="O15" s="67"/>
      <c r="P15" s="67"/>
      <c r="Q15" s="67">
        <f t="shared" si="0"/>
        <v>5488285.2326653302</v>
      </c>
      <c r="R15" s="67">
        <f>IF(D15="","",_xll.TR($D15,R$7,"Curn=#2 scale=6",,$F15,$H$6))</f>
        <v>3086388.5644800002</v>
      </c>
      <c r="S15" s="68">
        <v>4.2768628447947101</v>
      </c>
      <c r="T15" s="68">
        <f>_xll.TR(D15,T$7,"Curn=#2 Scale=6 Transpose=Y Null=BLANK",,$Q15,$H$6)</f>
        <v>7.4971251970936796</v>
      </c>
      <c r="U15" s="68">
        <v>6.2103903295783596</v>
      </c>
      <c r="V15" s="68">
        <v>5.3265560813126998</v>
      </c>
      <c r="W15" s="68">
        <v>17.439225984796099</v>
      </c>
      <c r="X15" s="68">
        <f>_xll.TR($D15,X$7,"Curn=#2 Scale=6 Transpose=Y Null=BLANK",,$Q15,$H$6)</f>
        <v>27.151118666377499</v>
      </c>
      <c r="Y15" s="68">
        <v>20.9771838928928</v>
      </c>
      <c r="Z15" s="68">
        <v>17.863069752721799</v>
      </c>
      <c r="AA15" s="68">
        <v>18.909374297489698</v>
      </c>
      <c r="AB15" s="68">
        <f>_xll.TR($D15,AB$7,"Curn=#2 Scale=6 Period=FY1:FY3 Transpose=Y Null=BLANK",,$Q15,$H$6)</f>
        <v>29.596956827295902</v>
      </c>
      <c r="AC15" s="68">
        <v>22.447529486008399</v>
      </c>
      <c r="AD15" s="68">
        <v>18.932904775153801</v>
      </c>
      <c r="AE15" s="68">
        <v>62.539182156133798</v>
      </c>
      <c r="AF15" s="68">
        <f>_xll.TR($D15,AF$7,"Curn=#2 Scale=6 Transpose=Y Null=BLANK",,$Q15,$H$6)</f>
        <v>33.774433876882597</v>
      </c>
      <c r="AG15" s="68">
        <v>22.3199421154163</v>
      </c>
      <c r="AH15" s="68">
        <v>18.355759489986799</v>
      </c>
      <c r="AI15" s="69">
        <v>77.086035966300003</v>
      </c>
      <c r="AJ15" s="69">
        <v>39.213911507116102</v>
      </c>
      <c r="AK15" s="69">
        <v>26.043883378419</v>
      </c>
      <c r="AL15" s="69">
        <v>20.196011889001198</v>
      </c>
      <c r="AM15" s="69">
        <v>3.0601006817982301</v>
      </c>
      <c r="AN15" s="70"/>
      <c r="AO15" s="70"/>
      <c r="AP15" s="70" t="s">
        <v>516</v>
      </c>
      <c r="AQ15" s="70"/>
      <c r="AR15" s="70"/>
      <c r="AS15" s="70"/>
      <c r="AT15" s="71">
        <f t="shared" si="1"/>
        <v>0.12604297110688689</v>
      </c>
      <c r="AU15" s="67">
        <v>721647.777</v>
      </c>
      <c r="AV15" s="67">
        <v>732051.96503760002</v>
      </c>
      <c r="AW15" s="67">
        <v>883726.29438863997</v>
      </c>
      <c r="AX15" s="67">
        <v>1030362.79894246</v>
      </c>
      <c r="AY15" s="67">
        <v>176979.67600000001</v>
      </c>
      <c r="AZ15" s="67">
        <v>202138.456986</v>
      </c>
      <c r="BA15" s="67">
        <v>261631.173216</v>
      </c>
      <c r="BB15" s="67">
        <v>307241.99751999998</v>
      </c>
      <c r="BC15" s="70">
        <v>24.524384560000001</v>
      </c>
      <c r="BD15" s="70">
        <v>27.7562093436309</v>
      </c>
      <c r="BE15" s="70">
        <v>29.635907541800801</v>
      </c>
      <c r="BF15" s="67">
        <v>198471.22926513999</v>
      </c>
      <c r="BG15" s="67">
        <v>171782.49767275999</v>
      </c>
      <c r="BH15" s="67">
        <v>244470.86799999999</v>
      </c>
      <c r="BI15" s="70">
        <v>28.483717083637799</v>
      </c>
      <c r="BJ15" s="70">
        <v>24.203985806007601</v>
      </c>
      <c r="BK15" s="70">
        <v>28.137563131395201</v>
      </c>
      <c r="BL15" s="67">
        <v>49351.277999999998</v>
      </c>
      <c r="BM15" s="67">
        <v>162498.21544520001</v>
      </c>
      <c r="BN15" s="67">
        <v>245891.553136</v>
      </c>
      <c r="BO15" s="67">
        <v>298995.26825132</v>
      </c>
      <c r="BP15" s="72">
        <v>25.691712710000001</v>
      </c>
      <c r="BQ15" s="72">
        <v>88.697069389999996</v>
      </c>
      <c r="BR15" s="72">
        <v>133.54993875</v>
      </c>
      <c r="BS15" s="72">
        <v>172.22009222</v>
      </c>
      <c r="BT15" s="67">
        <v>13759.65</v>
      </c>
      <c r="BU15" s="67">
        <v>16704.3508821</v>
      </c>
      <c r="BV15" s="67">
        <v>17137.219612500001</v>
      </c>
      <c r="BW15" s="67">
        <v>17361.216</v>
      </c>
      <c r="BX15" s="67">
        <v>-103594.876</v>
      </c>
      <c r="BY15" s="67">
        <v>-208407.08337444</v>
      </c>
      <c r="BZ15" s="67">
        <v>-316877.82557669998</v>
      </c>
      <c r="CA15" s="67">
        <v>-421144.39294595999</v>
      </c>
      <c r="CD15" s="93" t="s">
        <v>506</v>
      </c>
      <c r="CM15" s="23"/>
      <c r="CN15" s="25"/>
      <c r="CO15" s="25"/>
      <c r="CP15" s="25"/>
      <c r="CQ15" s="23"/>
      <c r="CR15" s="23"/>
      <c r="CS15" s="23"/>
      <c r="CT15" s="23"/>
    </row>
    <row r="16" spans="1:98">
      <c r="B16" s="23"/>
      <c r="C16" s="112"/>
      <c r="D16" s="41" t="str">
        <f t="shared" si="2"/>
        <v>INTC.OQ</v>
      </c>
      <c r="E16" s="32" t="s">
        <v>513</v>
      </c>
      <c r="F16" s="66">
        <v>44926</v>
      </c>
      <c r="G16" s="32" t="s">
        <v>517</v>
      </c>
      <c r="H16" s="72">
        <v>1182.2990400000001</v>
      </c>
      <c r="I16" s="67">
        <v>4951468.37952</v>
      </c>
      <c r="J16" s="67">
        <v>1526752.9339999999</v>
      </c>
      <c r="K16" s="67">
        <v>755096.15300000005</v>
      </c>
      <c r="L16" s="67">
        <v>183443.19699999999</v>
      </c>
      <c r="M16" s="67">
        <v>107519.56600000001</v>
      </c>
      <c r="N16" s="67">
        <v>0</v>
      </c>
      <c r="O16" s="67"/>
      <c r="P16" s="67"/>
      <c r="Q16" s="67">
        <f t="shared" si="0"/>
        <v>5647201.5295199994</v>
      </c>
      <c r="R16" s="67">
        <f>IF(D16="","",_xll.TR($D16,R$7,"Curn=#2 scale=6",,$F16,$H$6))</f>
        <v>3638813.13307</v>
      </c>
      <c r="S16" s="68">
        <v>1.88734909759888</v>
      </c>
      <c r="T16" s="68">
        <f>_xll.TR(D16,T$7,"Curn=#2 Scale=6 Transpose=Y Null=BLANK",,$Q16,$H$6)</f>
        <v>3.3502553587944699</v>
      </c>
      <c r="U16" s="68">
        <v>2.9976340799096302</v>
      </c>
      <c r="V16" s="68">
        <v>2.7427048373733798</v>
      </c>
      <c r="W16" s="68">
        <v>7.0429608806296997</v>
      </c>
      <c r="X16" s="68">
        <f>_xll.TR($D16,X$7,"Curn=#2 Scale=6 Transpose=Y Null=BLANK",,$Q16,$H$6)</f>
        <v>16.059579456546899</v>
      </c>
      <c r="Y16" s="68">
        <v>9.5568632811316707</v>
      </c>
      <c r="Z16" s="68">
        <v>7.7067139049241398</v>
      </c>
      <c r="AA16" s="68">
        <v>-14.596456519072699</v>
      </c>
      <c r="AB16" s="68">
        <f>_xll.TR($D16,AB$7,"Curn=#2 Scale=6 Period=FY1:FY3 Transpose=Y Null=BLANK",,$Q16,$H$6)</f>
        <v>-15.2704272251442</v>
      </c>
      <c r="AC16" s="68">
        <v>-44.513190310352101</v>
      </c>
      <c r="AD16" s="68">
        <v>163.012875883867</v>
      </c>
      <c r="AE16" s="68">
        <v>30.814321595028499</v>
      </c>
      <c r="AF16" s="68">
        <f>_xll.TR($D16,AF$7,"Curn=#2 Scale=6 Transpose=Y Null=BLANK",,$Q16,$H$6)</f>
        <v>69.207490820950198</v>
      </c>
      <c r="AG16" s="68">
        <v>21.545919174802499</v>
      </c>
      <c r="AH16" s="68">
        <v>14.589766900587501</v>
      </c>
      <c r="AI16" s="69">
        <v>13.5975675634</v>
      </c>
      <c r="AJ16" s="69">
        <v>59.323124437009398</v>
      </c>
      <c r="AK16" s="69">
        <v>21.102261283530201</v>
      </c>
      <c r="AL16" s="69">
        <v>14.9380685822606</v>
      </c>
      <c r="AM16" s="69">
        <v>1.45009949827916</v>
      </c>
      <c r="AN16" s="70">
        <v>1.3724951962668099</v>
      </c>
      <c r="AO16" s="70">
        <v>0.81156418299106403</v>
      </c>
      <c r="AP16" s="70">
        <v>2.6025196850393701</v>
      </c>
      <c r="AQ16" s="70">
        <v>2.91933535430804</v>
      </c>
      <c r="AR16" s="70">
        <v>2.2238327911206901</v>
      </c>
      <c r="AS16" s="70">
        <v>1.97871928840857</v>
      </c>
      <c r="AT16" s="71">
        <f t="shared" si="1"/>
        <v>2.2152196234775046E-2</v>
      </c>
      <c r="AU16" s="67">
        <v>1928002.1580000001</v>
      </c>
      <c r="AV16" s="67">
        <v>1685603.3122060399</v>
      </c>
      <c r="AW16" s="67">
        <v>1883886.2179236501</v>
      </c>
      <c r="AX16" s="67">
        <v>2058989.8893124</v>
      </c>
      <c r="AY16" s="67">
        <v>516659.56900000002</v>
      </c>
      <c r="AZ16" s="67">
        <v>351640.685536</v>
      </c>
      <c r="BA16" s="67">
        <v>590905.33822634001</v>
      </c>
      <c r="BB16" s="67">
        <v>732763.87305772002</v>
      </c>
      <c r="BC16" s="70">
        <v>26.797665493099998</v>
      </c>
      <c r="BD16" s="70">
        <v>20.7509164949508</v>
      </c>
      <c r="BE16" s="70">
        <v>31.334096991026101</v>
      </c>
      <c r="BF16" s="67">
        <v>626288.91056978004</v>
      </c>
      <c r="BG16" s="67">
        <v>338691.32539399998</v>
      </c>
      <c r="BH16" s="67">
        <v>599000.86112000002</v>
      </c>
      <c r="BI16" s="70">
        <v>31.513973291613901</v>
      </c>
      <c r="BJ16" s="70">
        <v>20.956314395991001</v>
      </c>
      <c r="BK16" s="70">
        <v>31.775897358214898</v>
      </c>
      <c r="BL16" s="67">
        <v>118088.374</v>
      </c>
      <c r="BM16" s="67">
        <v>81598.125615190002</v>
      </c>
      <c r="BN16" s="67">
        <v>262100.74788196001</v>
      </c>
      <c r="BO16" s="67">
        <v>387065.91873600002</v>
      </c>
      <c r="BP16" s="72">
        <v>59.433432209999999</v>
      </c>
      <c r="BQ16" s="72">
        <v>19.964009839999999</v>
      </c>
      <c r="BR16" s="72">
        <v>56.123247839999998</v>
      </c>
      <c r="BS16" s="72">
        <v>79.571357800000001</v>
      </c>
      <c r="BT16" s="67">
        <v>765953.85</v>
      </c>
      <c r="BU16" s="67">
        <v>721453.62175964005</v>
      </c>
      <c r="BV16" s="67">
        <v>717771.13890579995</v>
      </c>
      <c r="BW16" s="67">
        <v>698121.20143500005</v>
      </c>
      <c r="BX16" s="67">
        <v>419302.40100000001</v>
      </c>
      <c r="BY16" s="67">
        <v>1017908.10973148</v>
      </c>
      <c r="BZ16" s="67">
        <v>1308596.9719120001</v>
      </c>
      <c r="CA16" s="67">
        <v>1446341.0618546801</v>
      </c>
      <c r="CD16" s="93" t="s">
        <v>507</v>
      </c>
      <c r="CM16" s="23"/>
      <c r="CN16" s="25"/>
      <c r="CO16" s="25"/>
      <c r="CP16" s="25"/>
      <c r="CQ16" s="23"/>
      <c r="CR16" s="23"/>
      <c r="CS16" s="23"/>
      <c r="CT16" s="23"/>
    </row>
    <row r="17" spans="2:98">
      <c r="B17" s="23"/>
      <c r="C17" s="112"/>
      <c r="D17" s="41" t="str">
        <f t="shared" si="2"/>
        <v>QCOM.OQ</v>
      </c>
      <c r="E17" s="32" t="s">
        <v>514</v>
      </c>
      <c r="F17" s="66">
        <v>44829</v>
      </c>
      <c r="G17" s="32" t="s">
        <v>517</v>
      </c>
      <c r="H17" s="72">
        <v>3562.28496</v>
      </c>
      <c r="I17" s="67">
        <v>3975510.0153600001</v>
      </c>
      <c r="J17" s="67">
        <v>478594.11599999998</v>
      </c>
      <c r="K17" s="67">
        <v>267466.05900000001</v>
      </c>
      <c r="L17" s="67">
        <v>41153.082000000002</v>
      </c>
      <c r="M17" s="67"/>
      <c r="N17" s="67">
        <v>0</v>
      </c>
      <c r="O17" s="67"/>
      <c r="P17" s="67"/>
      <c r="Q17" s="67">
        <f t="shared" si="0"/>
        <v>4145484.9903600002</v>
      </c>
      <c r="R17" s="67">
        <f>IF(D17="","",_xll.TR($D17,R$7,"Curn=#2 scale=6",,$F17,$H$6))</f>
        <v>4568818.6619699998</v>
      </c>
      <c r="S17" s="68">
        <v>3.2502260180995499</v>
      </c>
      <c r="T17" s="68">
        <f>_xll.TR(D17,T$7,"Curn=#2 Scale=6 Transpose=Y Null=BLANK",,$Q17,$H$6)</f>
        <v>3.5920017068521402</v>
      </c>
      <c r="U17" s="68">
        <v>3.4138310273578099</v>
      </c>
      <c r="V17" s="68">
        <v>3.1613500792191198</v>
      </c>
      <c r="W17" s="68">
        <v>8.6630881022734094</v>
      </c>
      <c r="X17" s="68">
        <f>_xll.TR($D17,X$7,"Curn=#2 Scale=6 Transpose=Y Null=BLANK",,$Q17,$H$6)</f>
        <v>9.7762826327181696</v>
      </c>
      <c r="Y17" s="68">
        <v>9.6266189817147403</v>
      </c>
      <c r="Z17" s="68">
        <v>9.16088416039001</v>
      </c>
      <c r="AA17" s="68">
        <v>10.031421688429599</v>
      </c>
      <c r="AB17" s="68">
        <f>_xll.TR($D17,AB$7,"Curn=#2 Scale=6 Period=FY1:FY3 Transpose=Y Null=BLANK",,$Q17,$H$6)</f>
        <v>11.0622619900064</v>
      </c>
      <c r="AC17" s="68">
        <v>11.0323268187138</v>
      </c>
      <c r="AD17" s="68">
        <v>10.562153325061001</v>
      </c>
      <c r="AE17" s="68">
        <v>9.7061002634957099</v>
      </c>
      <c r="AF17" s="68">
        <f>_xll.TR($D17,AF$7,"Curn=#2 Scale=6 Transpose=Y Null=BLANK",,$Q17,$H$6)</f>
        <v>11.6212832227465</v>
      </c>
      <c r="AG17" s="68">
        <v>10.671342275941401</v>
      </c>
      <c r="AH17" s="68">
        <v>9.8416285784726796</v>
      </c>
      <c r="AI17" s="69">
        <v>10.6108947509</v>
      </c>
      <c r="AJ17" s="69">
        <v>13.378055269956899</v>
      </c>
      <c r="AK17" s="69">
        <v>12.1243333362429</v>
      </c>
      <c r="AL17" s="69">
        <v>11.0078328774804</v>
      </c>
      <c r="AM17" s="69"/>
      <c r="AN17" s="70">
        <v>2.84925652212626</v>
      </c>
      <c r="AO17" s="70">
        <v>0.54875474883917297</v>
      </c>
      <c r="AP17" s="70">
        <v>0.55908419497784301</v>
      </c>
      <c r="AQ17" s="70">
        <v>0.46893767623809202</v>
      </c>
      <c r="AR17" s="70">
        <v>0.230062225099955</v>
      </c>
      <c r="AS17" s="70"/>
      <c r="AT17" s="71">
        <f t="shared" si="1"/>
        <v>-2.290348163598499E-2</v>
      </c>
      <c r="AU17" s="67">
        <v>1405692.6</v>
      </c>
      <c r="AV17" s="67">
        <v>1154087.70058545</v>
      </c>
      <c r="AW17" s="67">
        <v>1214320.4971596</v>
      </c>
      <c r="AX17" s="67">
        <v>1311302.0976734001</v>
      </c>
      <c r="AY17" s="67">
        <v>527389.14899999998</v>
      </c>
      <c r="AZ17" s="67">
        <v>424034.89609499997</v>
      </c>
      <c r="BA17" s="67">
        <v>430627.30520800001</v>
      </c>
      <c r="BB17" s="67">
        <v>452520.18449095997</v>
      </c>
      <c r="BC17" s="70">
        <v>37.5180995475</v>
      </c>
      <c r="BD17" s="70">
        <v>36.741999406101797</v>
      </c>
      <c r="BE17" s="70">
        <v>35.4624093240025</v>
      </c>
      <c r="BF17" s="67">
        <v>520881.51878183999</v>
      </c>
      <c r="BG17" s="67">
        <v>403479.99836988002</v>
      </c>
      <c r="BH17" s="67">
        <v>452188.81910999998</v>
      </c>
      <c r="BI17" s="70">
        <v>40.238803549491401</v>
      </c>
      <c r="BJ17" s="70">
        <v>36.044416737801598</v>
      </c>
      <c r="BK17" s="70">
        <v>36.9464655013103</v>
      </c>
      <c r="BL17" s="67">
        <v>470716.20299999998</v>
      </c>
      <c r="BM17" s="67">
        <v>356714.90926629998</v>
      </c>
      <c r="BN17" s="67">
        <v>388468.93700580002</v>
      </c>
      <c r="BO17" s="67">
        <v>421219.41072108003</v>
      </c>
      <c r="BP17" s="72">
        <v>363.23096784000001</v>
      </c>
      <c r="BQ17" s="72">
        <v>268.66209830000003</v>
      </c>
      <c r="BR17" s="72">
        <v>296.44321880000001</v>
      </c>
      <c r="BS17" s="72">
        <v>326.37957716</v>
      </c>
      <c r="BT17" s="67">
        <v>71938.385999999999</v>
      </c>
      <c r="BU17" s="67">
        <v>49293.727055160001</v>
      </c>
      <c r="BV17" s="67">
        <v>54869.311587999997</v>
      </c>
      <c r="BW17" s="67">
        <v>60035.350879999998</v>
      </c>
      <c r="BX17" s="67">
        <v>289407.3</v>
      </c>
      <c r="BY17" s="67">
        <v>198766.01928844</v>
      </c>
      <c r="BZ17" s="67">
        <v>99031.257691720006</v>
      </c>
      <c r="CA17" s="67">
        <v>-117115.81011956</v>
      </c>
      <c r="CD17" s="93" t="s">
        <v>508</v>
      </c>
      <c r="CM17" s="23"/>
      <c r="CN17" s="25"/>
      <c r="CO17" s="25"/>
      <c r="CP17" s="25"/>
      <c r="CQ17" s="23"/>
      <c r="CR17" s="23"/>
      <c r="CS17" s="23"/>
      <c r="CT17" s="23"/>
    </row>
    <row r="18" spans="2:98">
      <c r="B18" s="23"/>
      <c r="C18" s="112"/>
      <c r="D18" s="41" t="str">
        <f t="shared" si="2"/>
        <v>AMAT.OQ</v>
      </c>
      <c r="E18" s="32" t="s">
        <v>515</v>
      </c>
      <c r="F18" s="66">
        <v>44864</v>
      </c>
      <c r="G18" s="32" t="s">
        <v>518</v>
      </c>
      <c r="H18" s="72">
        <v>4558.0064400000001</v>
      </c>
      <c r="I18" s="67">
        <v>3812926.6846940098</v>
      </c>
      <c r="J18" s="67">
        <v>180483.84</v>
      </c>
      <c r="K18" s="67">
        <v>204767.69</v>
      </c>
      <c r="L18" s="67"/>
      <c r="M18" s="67"/>
      <c r="N18" s="67">
        <v>0</v>
      </c>
      <c r="O18" s="67">
        <v>3634.7440000000001</v>
      </c>
      <c r="P18" s="67"/>
      <c r="Q18" s="67">
        <f t="shared" si="0"/>
        <v>3792277.5786940097</v>
      </c>
      <c r="R18" s="67">
        <f>IF(D18="","",_xll.TR($D18,R$7,"Curn=#2 scale=6",,$F18,$H$6))</f>
        <v>2526484.4279999998</v>
      </c>
      <c r="S18" s="68">
        <v>3.0524211751018102</v>
      </c>
      <c r="T18" s="68">
        <f>_xll.TR(D18,T$7,"Curn=#2 Scale=6 Transpose=Y Null=BLANK",,$Q18,$H$6)</f>
        <v>4.4694898799724996</v>
      </c>
      <c r="U18" s="68">
        <v>4.5022826392469701</v>
      </c>
      <c r="V18" s="68">
        <v>4.1326383936695903</v>
      </c>
      <c r="W18" s="68">
        <v>9.4815901698590608</v>
      </c>
      <c r="X18" s="68">
        <f>_xll.TR($D18,X$7,"Curn=#2 Scale=6 Transpose=Y Null=BLANK",,$Q18,$H$6)</f>
        <v>14.4850724738609</v>
      </c>
      <c r="Y18" s="68">
        <v>14.9177626141106</v>
      </c>
      <c r="Z18" s="68">
        <v>13.2688575604737</v>
      </c>
      <c r="AA18" s="68">
        <v>10.4746712802768</v>
      </c>
      <c r="AB18" s="68">
        <f>_xll.TR($D18,AB$7,"Curn=#2 Scale=6 Period=FY1:FY3 Transpose=Y Null=BLANK",,$Q18,$H$6)</f>
        <v>16.541068654658101</v>
      </c>
      <c r="AC18" s="68">
        <v>16.928668783211201</v>
      </c>
      <c r="AD18" s="68">
        <v>15.3134357503847</v>
      </c>
      <c r="AE18" s="68">
        <v>10.0173959526537</v>
      </c>
      <c r="AF18" s="68">
        <f>_xll.TR($D18,AF$7,"Curn=#2 Scale=6 Transpose=Y Null=BLANK",,$Q18,$H$6)</f>
        <v>15.469856034580999</v>
      </c>
      <c r="AG18" s="68">
        <v>16.051728468806601</v>
      </c>
      <c r="AH18" s="68">
        <v>14.1305506270498</v>
      </c>
      <c r="AI18" s="69">
        <v>12.0589128699</v>
      </c>
      <c r="AJ18" s="69">
        <v>17.988587912296499</v>
      </c>
      <c r="AK18" s="69">
        <v>18.267691445868898</v>
      </c>
      <c r="AL18" s="69">
        <v>15.9870106943634</v>
      </c>
      <c r="AM18" s="69">
        <v>3.6425946865872798</v>
      </c>
      <c r="AN18" s="70">
        <v>0.90523338048090496</v>
      </c>
      <c r="AO18" s="70">
        <v>0.34646428141187802</v>
      </c>
      <c r="AP18" s="70" t="s">
        <v>516</v>
      </c>
      <c r="AQ18" s="70"/>
      <c r="AR18" s="70"/>
      <c r="AS18" s="70"/>
      <c r="AT18" s="71">
        <f t="shared" si="1"/>
        <v>3.4983710882040997E-2</v>
      </c>
      <c r="AU18" s="67">
        <v>827698.5</v>
      </c>
      <c r="AV18" s="67">
        <v>848481.07514169998</v>
      </c>
      <c r="AW18" s="67">
        <v>842301.09092580003</v>
      </c>
      <c r="AX18" s="67">
        <v>917640.79443849996</v>
      </c>
      <c r="AY18" s="67">
        <v>266462.09999999998</v>
      </c>
      <c r="AZ18" s="67">
        <v>261805.90987979999</v>
      </c>
      <c r="BA18" s="67">
        <v>254212.22181849999</v>
      </c>
      <c r="BB18" s="67">
        <v>285802.870474</v>
      </c>
      <c r="BC18" s="70">
        <v>32.193135543899999</v>
      </c>
      <c r="BD18" s="70">
        <v>30.855833742205402</v>
      </c>
      <c r="BE18" s="70">
        <v>30.180682959710701</v>
      </c>
      <c r="BF18" s="67">
        <v>242085.550836137</v>
      </c>
      <c r="BG18" s="67">
        <v>242590.64592432699</v>
      </c>
      <c r="BH18" s="67">
        <v>254244.5133778</v>
      </c>
      <c r="BI18" s="70">
        <v>31.169146724506099</v>
      </c>
      <c r="BJ18" s="70">
        <v>30.167049113414802</v>
      </c>
      <c r="BK18" s="70">
        <v>29.807768168956802</v>
      </c>
      <c r="BL18" s="67">
        <v>252209.7</v>
      </c>
      <c r="BM18" s="67">
        <v>245139.81062375999</v>
      </c>
      <c r="BN18" s="67">
        <v>236253.5340704</v>
      </c>
      <c r="BO18" s="67">
        <v>268374.36691494001</v>
      </c>
      <c r="BP18" s="72">
        <v>238.82849400000001</v>
      </c>
      <c r="BQ18" s="72">
        <v>254.01553820000001</v>
      </c>
      <c r="BR18" s="72">
        <v>250.8506022</v>
      </c>
      <c r="BS18" s="72">
        <v>286.6365381</v>
      </c>
      <c r="BT18" s="67">
        <v>25262.7</v>
      </c>
      <c r="BU18" s="67">
        <v>32541.54626046</v>
      </c>
      <c r="BV18" s="67">
        <v>30197.113054900001</v>
      </c>
      <c r="BW18" s="67">
        <v>38159.0601293</v>
      </c>
      <c r="BX18" s="67">
        <v>92319.6</v>
      </c>
      <c r="BY18" s="67">
        <v>-11264.505861600001</v>
      </c>
      <c r="BZ18" s="67">
        <v>-49620.104215200001</v>
      </c>
      <c r="CA18" s="67">
        <v>-99623.694306000005</v>
      </c>
      <c r="CD18" s="93" t="s">
        <v>509</v>
      </c>
      <c r="CM18" s="23"/>
      <c r="CN18" s="25"/>
      <c r="CO18" s="25"/>
      <c r="CP18" s="25"/>
      <c r="CQ18" s="23"/>
      <c r="CR18" s="23"/>
      <c r="CS18" s="23"/>
      <c r="CT18" s="23"/>
    </row>
    <row r="19" spans="2:98">
      <c r="B19" s="23"/>
      <c r="C19" s="112"/>
      <c r="D19" s="41" t="str">
        <f t="shared" si="2"/>
        <v>LRCX.OQ</v>
      </c>
      <c r="E19" s="32" t="s">
        <v>586</v>
      </c>
      <c r="F19" s="66">
        <v>45102</v>
      </c>
      <c r="G19" s="32" t="s">
        <v>518</v>
      </c>
      <c r="H19" s="72">
        <v>20572.58034</v>
      </c>
      <c r="I19" s="67">
        <v>2720155.1649895599</v>
      </c>
      <c r="J19" s="67">
        <v>155302.64404899999</v>
      </c>
      <c r="K19" s="67">
        <v>166556.48533299999</v>
      </c>
      <c r="L19" s="67"/>
      <c r="M19" s="67"/>
      <c r="N19" s="67">
        <v>0</v>
      </c>
      <c r="O19" s="67"/>
      <c r="P19" s="67"/>
      <c r="Q19" s="67">
        <f t="shared" si="0"/>
        <v>2708901.3237055601</v>
      </c>
      <c r="R19" s="67">
        <f>IF(D19="","",_xll.TR($D19,R$7,"Curn=#2 scale=6",,$F19,$H$6))</f>
        <v>2503375.8873370802</v>
      </c>
      <c r="S19" s="68">
        <v>4.6350891676606301</v>
      </c>
      <c r="T19" s="68">
        <f>_xll.TR(D19,T$7,"Curn=#2 Scale=6 Transpose=Y Null=BLANK",,$Q19,$H$6)</f>
        <v>5.7443823369729499</v>
      </c>
      <c r="U19" s="68">
        <v>4.8439234722400801</v>
      </c>
      <c r="V19" s="68">
        <v>4.2716337582829604</v>
      </c>
      <c r="W19" s="68">
        <v>14.3292555495167</v>
      </c>
      <c r="X19" s="68">
        <f>_xll.TR($D19,X$7,"Curn=#2 Scale=6 Transpose=Y Null=BLANK",,$Q19,$H$6)</f>
        <v>18.41278829609</v>
      </c>
      <c r="Y19" s="68">
        <v>14.5049286165697</v>
      </c>
      <c r="Z19" s="68">
        <v>12.2208761321504</v>
      </c>
      <c r="AA19" s="68">
        <v>15.7286013582449</v>
      </c>
      <c r="AB19" s="68">
        <f>_xll.TR($D19,AB$7,"Curn=#2 Scale=6 Period=FY1:FY3 Transpose=Y Null=BLANK",,$Q19,$H$6)</f>
        <v>20.317389814372898</v>
      </c>
      <c r="AC19" s="68">
        <v>15.935862990442301</v>
      </c>
      <c r="AD19" s="68">
        <v>13.312626419175499</v>
      </c>
      <c r="AE19" s="68">
        <v>15.2559094768521</v>
      </c>
      <c r="AF19" s="68">
        <f>_xll.TR($D19,AF$7,"Curn=#2 Scale=6 Transpose=Y Null=BLANK",,$Q19,$H$6)</f>
        <v>19.936666853821801</v>
      </c>
      <c r="AG19" s="68">
        <v>15.5672656094163</v>
      </c>
      <c r="AH19" s="68">
        <v>13.094779588784901</v>
      </c>
      <c r="AI19" s="69">
        <v>18.331098004899999</v>
      </c>
      <c r="AJ19" s="69">
        <v>23.300355389148901</v>
      </c>
      <c r="AK19" s="69">
        <v>18.0052607582506</v>
      </c>
      <c r="AL19" s="69">
        <v>14.8745147523626</v>
      </c>
      <c r="AM19" s="69">
        <v>3.8064168464871702</v>
      </c>
      <c r="AN19" s="70">
        <v>1.2610738043444001</v>
      </c>
      <c r="AO19" s="70"/>
      <c r="AP19" s="70" t="s">
        <v>516</v>
      </c>
      <c r="AQ19" s="70"/>
      <c r="AR19" s="70"/>
      <c r="AS19" s="70"/>
      <c r="AT19" s="71">
        <f t="shared" si="1"/>
        <v>5.4978805222670735E-2</v>
      </c>
      <c r="AU19" s="67">
        <v>540092.28232400003</v>
      </c>
      <c r="AV19" s="67">
        <v>471573.99434749997</v>
      </c>
      <c r="AW19" s="67">
        <v>559237.01917049999</v>
      </c>
      <c r="AX19" s="67">
        <v>634160.48214640003</v>
      </c>
      <c r="AY19" s="67">
        <v>174703.83431199999</v>
      </c>
      <c r="AZ19" s="67">
        <v>147120.64681050001</v>
      </c>
      <c r="BA19" s="67">
        <v>186757.30128109999</v>
      </c>
      <c r="BB19" s="67">
        <v>221661.79367280001</v>
      </c>
      <c r="BC19" s="70">
        <v>32.347034021699997</v>
      </c>
      <c r="BD19" s="70">
        <v>31.197786259198899</v>
      </c>
      <c r="BE19" s="70">
        <v>33.395017654251802</v>
      </c>
      <c r="BF19" s="67">
        <v>179728.29296573001</v>
      </c>
      <c r="BG19" s="67">
        <v>127937.89923487999</v>
      </c>
      <c r="BH19" s="67">
        <v>156595.29636519999</v>
      </c>
      <c r="BI19" s="70">
        <v>32.011191868785403</v>
      </c>
      <c r="BJ19" s="70">
        <v>29.425093759020601</v>
      </c>
      <c r="BK19" s="70">
        <v>31.344249666243002</v>
      </c>
      <c r="BL19" s="67">
        <v>164092.209064</v>
      </c>
      <c r="BM19" s="67">
        <v>135875.33681370001</v>
      </c>
      <c r="BN19" s="67">
        <v>174012.66167559999</v>
      </c>
      <c r="BO19" s="67">
        <v>206868.7987712</v>
      </c>
      <c r="BP19" s="72">
        <v>1029.1180394600001</v>
      </c>
      <c r="BQ19" s="72">
        <v>887.66705720000004</v>
      </c>
      <c r="BR19" s="72">
        <v>1148.7174875000001</v>
      </c>
      <c r="BS19" s="72">
        <v>1384.0248736000001</v>
      </c>
      <c r="BT19" s="67">
        <v>15543.090752</v>
      </c>
      <c r="BU19" s="67">
        <v>13791.447122199999</v>
      </c>
      <c r="BV19" s="67">
        <v>16769.561970700001</v>
      </c>
      <c r="BW19" s="67">
        <v>18178.180566700001</v>
      </c>
      <c r="BX19" s="67">
        <v>-11253.841284</v>
      </c>
      <c r="BY19" s="67">
        <v>-22754.682000000001</v>
      </c>
      <c r="BZ19" s="67">
        <v>-36812.391234399998</v>
      </c>
      <c r="CA19" s="67">
        <v>-83772.728106399998</v>
      </c>
      <c r="CD19" s="93" t="s">
        <v>585</v>
      </c>
      <c r="CM19" s="23"/>
      <c r="CN19" s="25"/>
      <c r="CO19" s="25"/>
      <c r="CP19" s="25"/>
      <c r="CQ19" s="23"/>
      <c r="CR19" s="23"/>
      <c r="CS19" s="23"/>
      <c r="CT19" s="23"/>
    </row>
    <row r="20" spans="2:98">
      <c r="B20" s="23"/>
      <c r="C20" s="112"/>
      <c r="D20" s="41" t="str">
        <f t="shared" si="2"/>
        <v>MU.OQ</v>
      </c>
      <c r="E20" s="32" t="s">
        <v>588</v>
      </c>
      <c r="F20" s="66">
        <v>45169</v>
      </c>
      <c r="G20" s="32" t="s">
        <v>517</v>
      </c>
      <c r="H20" s="79">
        <v>2250.7921799999999</v>
      </c>
      <c r="I20" s="40">
        <v>2471447.4006972401</v>
      </c>
      <c r="J20" s="40">
        <v>424480.52</v>
      </c>
      <c r="K20" s="40">
        <v>305511.33600000001</v>
      </c>
      <c r="L20" s="40">
        <v>6941.9920000000002</v>
      </c>
      <c r="M20" s="40"/>
      <c r="N20" s="67"/>
      <c r="O20" s="40"/>
      <c r="P20" s="40"/>
      <c r="Q20" s="40">
        <f t="shared" si="0"/>
        <v>2583474.5926972399</v>
      </c>
      <c r="R20" s="67">
        <f>IF(D20="","",_xll.TR($D20,R$7,"Curn=#2 scale=6",,$F20,$H$6))</f>
        <v>2557459.14928</v>
      </c>
      <c r="S20" s="68">
        <v>5.1680900900900903</v>
      </c>
      <c r="T20" s="68">
        <f>_xll.TR(D20,T$7,"Curn=#2 Scale=6 Transpose=Y Null=BLANK",,$Q20,$H$6)</f>
        <v>3.8324171867289998</v>
      </c>
      <c r="U20" s="68">
        <v>2.63462821387323</v>
      </c>
      <c r="V20" s="68">
        <v>2.42478034988646</v>
      </c>
      <c r="W20" s="68">
        <v>34.963918154114097</v>
      </c>
      <c r="X20" s="68">
        <f>_xll.TR($D20,X$7,"Curn=#2 Scale=6 Transpose=Y Null=BLANK",,$Q20,$H$6)</f>
        <v>14.4805920686672</v>
      </c>
      <c r="Y20" s="68">
        <v>6.2015505854525603</v>
      </c>
      <c r="Z20" s="68">
        <v>4.7768792186500697</v>
      </c>
      <c r="AA20" s="68">
        <v>-14.930678564789</v>
      </c>
      <c r="AB20" s="68">
        <f>_xll.TR($D20,AB$7,"Curn=#2 Scale=6 Period=FY1:FY3 Transpose=Y Null=BLANK",,$Q20,$H$6)</f>
        <v>-40.795179674233701</v>
      </c>
      <c r="AC20" s="68">
        <v>20.505979983354699</v>
      </c>
      <c r="AD20" s="68">
        <v>11.788445869117201</v>
      </c>
      <c r="AE20" s="68">
        <v>-14.711873969591499</v>
      </c>
      <c r="AF20" s="68">
        <f>_xll.TR($D20,AF$7,"Curn=#2 Scale=6 Transpose=Y Null=BLANK",,$Q20,$H$6)</f>
        <v>-46.104199394540998</v>
      </c>
      <c r="AG20" s="68">
        <v>12.4612209650826</v>
      </c>
      <c r="AH20" s="68">
        <v>9.0977153144385596</v>
      </c>
      <c r="AI20" s="69"/>
      <c r="AJ20" s="69"/>
      <c r="AK20" s="69">
        <v>13.1289105304297</v>
      </c>
      <c r="AL20" s="69">
        <v>9.0632491121991805</v>
      </c>
      <c r="AM20" s="69"/>
      <c r="AN20" s="70">
        <v>0.665991023599247</v>
      </c>
      <c r="AO20" s="70">
        <v>1.6264693077927701</v>
      </c>
      <c r="AP20" s="70">
        <v>1.6110392410521801</v>
      </c>
      <c r="AQ20" s="70">
        <v>1.2118754225225099</v>
      </c>
      <c r="AR20" s="70">
        <v>0.25426785729814999</v>
      </c>
      <c r="AS20" s="70"/>
      <c r="AT20" s="71">
        <f t="shared" si="1"/>
        <v>0.29127195995329846</v>
      </c>
      <c r="AU20" s="40">
        <v>494855.76</v>
      </c>
      <c r="AV20" s="40">
        <v>674111.00274869998</v>
      </c>
      <c r="AW20" s="40">
        <v>980584.1215445</v>
      </c>
      <c r="AX20" s="40">
        <v>1065446.8528740001</v>
      </c>
      <c r="AY20" s="40">
        <v>73145.668000000005</v>
      </c>
      <c r="AZ20" s="40">
        <v>178409.45870489001</v>
      </c>
      <c r="BA20" s="40">
        <v>416585.26478159998</v>
      </c>
      <c r="BB20" s="40">
        <v>540828.95431199996</v>
      </c>
      <c r="BC20" s="80">
        <v>14.781209781199999</v>
      </c>
      <c r="BD20" s="80">
        <v>26.559004570326302</v>
      </c>
      <c r="BE20" s="80">
        <v>42.632851513599398</v>
      </c>
      <c r="BF20" s="40">
        <v>383533.22357865999</v>
      </c>
      <c r="BG20" s="40">
        <v>94625.887031206701</v>
      </c>
      <c r="BH20" s="40">
        <v>325182.57293781301</v>
      </c>
      <c r="BI20" s="80">
        <v>49.776813506329098</v>
      </c>
      <c r="BJ20" s="80">
        <v>18.6157082634858</v>
      </c>
      <c r="BK20" s="80">
        <v>40.980999781526599</v>
      </c>
      <c r="BL20" s="40">
        <v>-173836.39600000001</v>
      </c>
      <c r="BM20" s="40">
        <v>-56035.559159999997</v>
      </c>
      <c r="BN20" s="40">
        <v>207321.144528</v>
      </c>
      <c r="BO20" s="40">
        <v>283969.6015325</v>
      </c>
      <c r="BP20" s="79">
        <v>-169.94155635999999</v>
      </c>
      <c r="BQ20" s="79">
        <v>-52.407269200000002</v>
      </c>
      <c r="BR20" s="79">
        <v>172.3576602</v>
      </c>
      <c r="BS20" s="79">
        <v>248.79980039</v>
      </c>
      <c r="BT20" s="40">
        <v>244434.54399999999</v>
      </c>
      <c r="BU20" s="40">
        <v>241737.39630260001</v>
      </c>
      <c r="BV20" s="40">
        <v>290598.8649707</v>
      </c>
      <c r="BW20" s="40">
        <v>321675.84275000001</v>
      </c>
      <c r="BX20" s="40">
        <v>118969.18399999999</v>
      </c>
      <c r="BY20" s="40">
        <v>216210.03815000001</v>
      </c>
      <c r="BZ20" s="40">
        <v>105924.242658</v>
      </c>
      <c r="CA20" s="40">
        <v>-14995.213079609999</v>
      </c>
      <c r="CD20" s="93" t="s">
        <v>587</v>
      </c>
      <c r="CM20" s="23"/>
      <c r="CN20" s="25"/>
      <c r="CO20" s="25"/>
      <c r="CP20" s="25"/>
      <c r="CQ20" s="23"/>
      <c r="CR20" s="23"/>
      <c r="CS20" s="23"/>
      <c r="CT20" s="23"/>
    </row>
    <row r="21" spans="2:98">
      <c r="B21" s="23"/>
      <c r="C21" s="112"/>
      <c r="D21" s="41" t="str">
        <f t="shared" si="2"/>
        <v/>
      </c>
      <c r="E21" s="32"/>
      <c r="F21" s="66"/>
      <c r="G21" s="32"/>
      <c r="H21" s="79"/>
      <c r="I21" s="40"/>
      <c r="J21" s="40"/>
      <c r="K21" s="40"/>
      <c r="L21" s="40"/>
      <c r="M21" s="40"/>
      <c r="N21" s="67"/>
      <c r="O21" s="40"/>
      <c r="P21" s="40"/>
      <c r="Q21" s="40" t="str">
        <f t="shared" si="0"/>
        <v/>
      </c>
      <c r="R21" s="67" t="str">
        <f>IF(D21="","",_xll.TR($D21,R$7,"Curn=#2 scale=6",,$F21,$H$6))</f>
        <v/>
      </c>
      <c r="S21" s="68"/>
      <c r="T21" s="68" t="str">
        <f>_xll.TR(D21,T$7,"Curn=#2 Scale=6 Transpose=Y Null=BLANK",,$Q21,$H$6)</f>
        <v>No universe defined.</v>
      </c>
      <c r="U21" s="68"/>
      <c r="V21" s="68"/>
      <c r="W21" s="68"/>
      <c r="X21" s="68" t="str">
        <f>_xll.TR($D21,X$7,"Curn=#2 Scale=6 Transpose=Y Null=BLANK",,$Q21,$H$6)</f>
        <v>No universe defined.</v>
      </c>
      <c r="Y21" s="68"/>
      <c r="Z21" s="68"/>
      <c r="AA21" s="68"/>
      <c r="AB21" s="68" t="str">
        <f>_xll.TR($D21,AB$7,"Curn=#2 Scale=6 Period=FY1:FY3 Transpose=Y Null=BLANK",,$Q21,$H$6)</f>
        <v>No universe defined.</v>
      </c>
      <c r="AC21" s="68"/>
      <c r="AD21" s="68"/>
      <c r="AE21" s="68"/>
      <c r="AF21" s="68" t="str">
        <f>_xll.TR($D21,AF$7,"Curn=#2 Scale=6 Transpose=Y Null=BLANK",,$Q21,$H$6)</f>
        <v>No universe defined.</v>
      </c>
      <c r="AG21" s="68"/>
      <c r="AH21" s="68"/>
      <c r="AI21" s="69"/>
      <c r="AJ21" s="69"/>
      <c r="AK21" s="69"/>
      <c r="AL21" s="69"/>
      <c r="AM21" s="69"/>
      <c r="AN21" s="70"/>
      <c r="AO21" s="70"/>
      <c r="AP21" s="70"/>
      <c r="AQ21" s="70"/>
      <c r="AR21" s="70"/>
      <c r="AS21" s="70"/>
      <c r="AT21" s="71" t="str">
        <f t="shared" si="1"/>
        <v/>
      </c>
      <c r="AU21" s="40"/>
      <c r="AV21" s="40"/>
      <c r="AW21" s="40"/>
      <c r="AX21" s="40"/>
      <c r="AY21" s="40"/>
      <c r="AZ21" s="40"/>
      <c r="BA21" s="40"/>
      <c r="BB21" s="40"/>
      <c r="BC21" s="80"/>
      <c r="BD21" s="80"/>
      <c r="BE21" s="80"/>
      <c r="BF21" s="67"/>
      <c r="BG21" s="67"/>
      <c r="BH21" s="67"/>
      <c r="BI21" s="70"/>
      <c r="BJ21" s="70"/>
      <c r="BK21" s="70"/>
      <c r="BL21" s="67"/>
      <c r="BM21" s="67"/>
      <c r="BN21" s="67"/>
      <c r="BO21" s="67"/>
      <c r="BP21" s="72"/>
      <c r="BQ21" s="72"/>
      <c r="BR21" s="72"/>
      <c r="BS21" s="72"/>
      <c r="BT21" s="67"/>
      <c r="BU21" s="67"/>
      <c r="BV21" s="67"/>
      <c r="BW21" s="67"/>
      <c r="BX21" s="67"/>
      <c r="BY21" s="67"/>
      <c r="BZ21" s="67"/>
      <c r="CA21" s="67"/>
      <c r="CD21" s="93"/>
      <c r="CM21" s="23"/>
      <c r="CN21" s="25"/>
      <c r="CO21" s="25"/>
      <c r="CP21" s="25"/>
      <c r="CQ21" s="23"/>
      <c r="CR21" s="23"/>
      <c r="CS21" s="23"/>
      <c r="CT21" s="23"/>
    </row>
    <row r="22" spans="2:98">
      <c r="B22" s="23"/>
      <c r="C22" s="112"/>
      <c r="D22" s="41" t="str">
        <f t="shared" si="2"/>
        <v/>
      </c>
      <c r="E22" s="32"/>
      <c r="F22" s="66"/>
      <c r="G22" s="32"/>
      <c r="H22" s="79"/>
      <c r="I22" s="40"/>
      <c r="J22" s="40"/>
      <c r="K22" s="40"/>
      <c r="L22" s="40"/>
      <c r="M22" s="40"/>
      <c r="N22" s="67"/>
      <c r="O22" s="40"/>
      <c r="P22" s="40"/>
      <c r="Q22" s="40" t="str">
        <f t="shared" si="0"/>
        <v/>
      </c>
      <c r="R22" s="67" t="str">
        <f>IF(D22="","",_xll.TR($D22,R$7,"Curn=#2 scale=6",,$F22,$H$6))</f>
        <v/>
      </c>
      <c r="S22" s="68"/>
      <c r="T22" s="68" t="str">
        <f>_xll.TR(D22,T$7,"Curn=#2 Scale=6 Transpose=Y Null=BLANK",,$Q22,$H$6)</f>
        <v>No universe defined.</v>
      </c>
      <c r="U22" s="68"/>
      <c r="V22" s="68"/>
      <c r="W22" s="68"/>
      <c r="X22" s="68" t="str">
        <f>_xll.TR($D22,X$7,"Curn=#2 Scale=6 Transpose=Y Null=BLANK",,$Q22,$H$6)</f>
        <v>No universe defined.</v>
      </c>
      <c r="Y22" s="68"/>
      <c r="Z22" s="68"/>
      <c r="AA22" s="68"/>
      <c r="AB22" s="68" t="str">
        <f>_xll.TR($D22,AB$7,"Curn=#2 Scale=6 Period=FY1:FY3 Transpose=Y Null=BLANK",,$Q22,$H$6)</f>
        <v>No universe defined.</v>
      </c>
      <c r="AC22" s="68"/>
      <c r="AD22" s="68"/>
      <c r="AE22" s="68"/>
      <c r="AF22" s="68" t="str">
        <f>_xll.TR($D22,AF$7,"Curn=#2 Scale=6 Transpose=Y Null=BLANK",,$Q22,$H$6)</f>
        <v>No universe defined.</v>
      </c>
      <c r="AG22" s="68"/>
      <c r="AH22" s="68"/>
      <c r="AI22" s="69"/>
      <c r="AJ22" s="69"/>
      <c r="AK22" s="69"/>
      <c r="AL22" s="69"/>
      <c r="AM22" s="69"/>
      <c r="AN22" s="70"/>
      <c r="AO22" s="70"/>
      <c r="AP22" s="70"/>
      <c r="AQ22" s="70"/>
      <c r="AR22" s="70"/>
      <c r="AS22" s="70"/>
      <c r="AT22" s="71" t="str">
        <f t="shared" si="1"/>
        <v/>
      </c>
      <c r="AU22" s="40"/>
      <c r="AV22" s="40"/>
      <c r="AW22" s="40"/>
      <c r="AX22" s="40"/>
      <c r="AY22" s="40"/>
      <c r="AZ22" s="40"/>
      <c r="BA22" s="40"/>
      <c r="BB22" s="40"/>
      <c r="BC22" s="80"/>
      <c r="BD22" s="80"/>
      <c r="BE22" s="80"/>
      <c r="BF22" s="67"/>
      <c r="BG22" s="67"/>
      <c r="BH22" s="67"/>
      <c r="BI22" s="70"/>
      <c r="BJ22" s="70"/>
      <c r="BK22" s="70"/>
      <c r="BL22" s="67"/>
      <c r="BM22" s="67"/>
      <c r="BN22" s="67"/>
      <c r="BO22" s="67"/>
      <c r="BP22" s="72"/>
      <c r="BQ22" s="72"/>
      <c r="BR22" s="72"/>
      <c r="BS22" s="72"/>
      <c r="BT22" s="67"/>
      <c r="BU22" s="67"/>
      <c r="BV22" s="67"/>
      <c r="BW22" s="67"/>
      <c r="BX22" s="67"/>
      <c r="BY22" s="67"/>
      <c r="BZ22" s="67"/>
      <c r="CA22" s="67"/>
      <c r="CD22" s="93"/>
      <c r="CM22" s="23"/>
      <c r="CN22" s="25"/>
      <c r="CO22" s="25"/>
      <c r="CP22" s="25"/>
      <c r="CQ22" s="23"/>
      <c r="CR22" s="23"/>
      <c r="CS22" s="23"/>
      <c r="CT22" s="23"/>
    </row>
    <row r="23" spans="2:98">
      <c r="B23" s="23"/>
      <c r="C23" s="112"/>
      <c r="D23" s="41" t="str">
        <f t="shared" si="2"/>
        <v/>
      </c>
      <c r="E23" s="32"/>
      <c r="F23" s="66"/>
      <c r="G23" s="32"/>
      <c r="H23" s="79"/>
      <c r="I23" s="40"/>
      <c r="J23" s="40"/>
      <c r="K23" s="40"/>
      <c r="L23" s="40"/>
      <c r="M23" s="40"/>
      <c r="N23" s="67"/>
      <c r="O23" s="40"/>
      <c r="P23" s="40"/>
      <c r="Q23" s="40" t="str">
        <f t="shared" si="0"/>
        <v/>
      </c>
      <c r="R23" s="67" t="str">
        <f>IF(D23="","",_xll.TR($D23,R$7,"Curn=#2 scale=6",,$F23,$H$6))</f>
        <v/>
      </c>
      <c r="S23" s="68"/>
      <c r="T23" s="68" t="str">
        <f>_xll.TR(D23,T$7,"Curn=#2 Scale=6 Transpose=Y Null=BLANK",,$Q23,$H$6)</f>
        <v>No universe defined.</v>
      </c>
      <c r="U23" s="68"/>
      <c r="V23" s="68"/>
      <c r="W23" s="68"/>
      <c r="X23" s="68" t="str">
        <f>_xll.TR($D23,X$7,"Curn=#2 Scale=6 Transpose=Y Null=BLANK",,$Q23,$H$6)</f>
        <v>No universe defined.</v>
      </c>
      <c r="Y23" s="68"/>
      <c r="Z23" s="68"/>
      <c r="AA23" s="68"/>
      <c r="AB23" s="68" t="str">
        <f>_xll.TR($D23,AB$7,"Curn=#2 Scale=6 Period=FY1:FY3 Transpose=Y Null=BLANK",,$Q23,$H$6)</f>
        <v>No universe defined.</v>
      </c>
      <c r="AC23" s="68"/>
      <c r="AD23" s="68"/>
      <c r="AE23" s="68"/>
      <c r="AF23" s="68" t="str">
        <f>_xll.TR($D23,AF$7,"Curn=#2 Scale=6 Transpose=Y Null=BLANK",,$Q23,$H$6)</f>
        <v>No universe defined.</v>
      </c>
      <c r="AG23" s="68"/>
      <c r="AH23" s="68"/>
      <c r="AI23" s="69"/>
      <c r="AJ23" s="69"/>
      <c r="AK23" s="69"/>
      <c r="AL23" s="69"/>
      <c r="AM23" s="69"/>
      <c r="AN23" s="70"/>
      <c r="AO23" s="70"/>
      <c r="AP23" s="70"/>
      <c r="AQ23" s="70"/>
      <c r="AR23" s="70"/>
      <c r="AS23" s="70"/>
      <c r="AT23" s="71" t="str">
        <f t="shared" si="1"/>
        <v/>
      </c>
      <c r="AU23" s="40"/>
      <c r="AV23" s="40"/>
      <c r="AW23" s="40"/>
      <c r="AX23" s="40"/>
      <c r="AY23" s="40"/>
      <c r="AZ23" s="40"/>
      <c r="BA23" s="40"/>
      <c r="BB23" s="40"/>
      <c r="BC23" s="80"/>
      <c r="BD23" s="80"/>
      <c r="BE23" s="80"/>
      <c r="BF23" s="67"/>
      <c r="BG23" s="67"/>
      <c r="BH23" s="67"/>
      <c r="BI23" s="70"/>
      <c r="BJ23" s="70"/>
      <c r="BK23" s="70"/>
      <c r="BL23" s="67"/>
      <c r="BM23" s="67"/>
      <c r="BN23" s="67"/>
      <c r="BO23" s="67"/>
      <c r="BP23" s="72"/>
      <c r="BQ23" s="72"/>
      <c r="BR23" s="72"/>
      <c r="BS23" s="72"/>
      <c r="BT23" s="67"/>
      <c r="BU23" s="67"/>
      <c r="BV23" s="67"/>
      <c r="BW23" s="67"/>
      <c r="BX23" s="67"/>
      <c r="BY23" s="67"/>
      <c r="BZ23" s="67"/>
      <c r="CA23" s="67"/>
      <c r="CD23" s="93"/>
      <c r="CM23" s="23"/>
      <c r="CN23" s="25"/>
      <c r="CO23" s="25"/>
      <c r="CP23" s="25"/>
      <c r="CQ23" s="23"/>
      <c r="CR23" s="23"/>
      <c r="CS23" s="23"/>
      <c r="CT23" s="23"/>
    </row>
    <row r="24" spans="2:98">
      <c r="B24" s="23"/>
      <c r="C24" s="112"/>
      <c r="D24" s="41" t="str">
        <f t="shared" si="2"/>
        <v/>
      </c>
      <c r="E24" s="32"/>
      <c r="F24" s="66"/>
      <c r="G24" s="32"/>
      <c r="H24" s="79"/>
      <c r="I24" s="40"/>
      <c r="J24" s="40"/>
      <c r="K24" s="40"/>
      <c r="L24" s="40"/>
      <c r="M24" s="40"/>
      <c r="N24" s="67"/>
      <c r="O24" s="40"/>
      <c r="P24" s="40"/>
      <c r="Q24" s="40" t="str">
        <f t="shared" si="0"/>
        <v/>
      </c>
      <c r="R24" s="67" t="str">
        <f>IF(D24="","",_xll.TR($D24,R$7,"Curn=#2 scale=6",,$F24,$H$6))</f>
        <v/>
      </c>
      <c r="S24" s="68"/>
      <c r="T24" s="68" t="str">
        <f>_xll.TR(D24,T$7,"Curn=#2 Scale=6 Transpose=Y Null=BLANK",,$Q24,$H$6)</f>
        <v>No universe defined.</v>
      </c>
      <c r="U24" s="68"/>
      <c r="V24" s="68"/>
      <c r="W24" s="68"/>
      <c r="X24" s="68" t="str">
        <f>_xll.TR($D24,X$7,"Curn=#2 Scale=6 Transpose=Y Null=BLANK",,$Q24,$H$6)</f>
        <v>No universe defined.</v>
      </c>
      <c r="Y24" s="68"/>
      <c r="Z24" s="68"/>
      <c r="AA24" s="68"/>
      <c r="AB24" s="68" t="str">
        <f>_xll.TR($D24,AB$7,"Curn=#2 Scale=6 Period=FY1:FY3 Transpose=Y Null=BLANK",,$Q24,$H$6)</f>
        <v>No universe defined.</v>
      </c>
      <c r="AC24" s="68"/>
      <c r="AD24" s="68"/>
      <c r="AE24" s="68"/>
      <c r="AF24" s="68" t="str">
        <f>_xll.TR($D24,AF$7,"Curn=#2 Scale=6 Transpose=Y Null=BLANK",,$Q24,$H$6)</f>
        <v>No universe defined.</v>
      </c>
      <c r="AG24" s="68"/>
      <c r="AH24" s="68"/>
      <c r="AI24" s="69"/>
      <c r="AJ24" s="69"/>
      <c r="AK24" s="69"/>
      <c r="AL24" s="69"/>
      <c r="AM24" s="69"/>
      <c r="AN24" s="70"/>
      <c r="AO24" s="70"/>
      <c r="AP24" s="70"/>
      <c r="AQ24" s="70"/>
      <c r="AR24" s="70"/>
      <c r="AS24" s="70"/>
      <c r="AT24" s="71" t="str">
        <f t="shared" si="1"/>
        <v/>
      </c>
      <c r="AU24" s="40"/>
      <c r="AV24" s="40"/>
      <c r="AW24" s="40"/>
      <c r="AX24" s="40"/>
      <c r="AY24" s="40"/>
      <c r="AZ24" s="40"/>
      <c r="BA24" s="40"/>
      <c r="BB24" s="40"/>
      <c r="BC24" s="80"/>
      <c r="BD24" s="80"/>
      <c r="BE24" s="80"/>
      <c r="BF24" s="67"/>
      <c r="BG24" s="67"/>
      <c r="BH24" s="67"/>
      <c r="BI24" s="70"/>
      <c r="BJ24" s="70"/>
      <c r="BK24" s="70"/>
      <c r="BL24" s="67"/>
      <c r="BM24" s="67"/>
      <c r="BN24" s="67"/>
      <c r="BO24" s="67"/>
      <c r="BP24" s="72"/>
      <c r="BQ24" s="72"/>
      <c r="BR24" s="72"/>
      <c r="BS24" s="72"/>
      <c r="BT24" s="67"/>
      <c r="BU24" s="67"/>
      <c r="BV24" s="67"/>
      <c r="BW24" s="67"/>
      <c r="BX24" s="67"/>
      <c r="BY24" s="67"/>
      <c r="BZ24" s="67"/>
      <c r="CA24" s="67"/>
      <c r="CD24" s="93"/>
      <c r="CM24" s="23"/>
      <c r="CN24" s="25"/>
      <c r="CO24" s="25"/>
      <c r="CP24" s="25"/>
      <c r="CQ24" s="23"/>
      <c r="CR24" s="23"/>
      <c r="CS24" s="23"/>
      <c r="CT24" s="23"/>
    </row>
    <row r="25" spans="2:98">
      <c r="B25" s="23"/>
      <c r="C25" s="112"/>
      <c r="D25" s="41" t="str">
        <f t="shared" si="2"/>
        <v/>
      </c>
      <c r="E25" s="32"/>
      <c r="F25" s="66"/>
      <c r="G25" s="32"/>
      <c r="H25" s="79"/>
      <c r="I25" s="40"/>
      <c r="J25" s="40"/>
      <c r="K25" s="40"/>
      <c r="L25" s="40"/>
      <c r="M25" s="40"/>
      <c r="N25" s="67"/>
      <c r="O25" s="40"/>
      <c r="P25" s="40"/>
      <c r="Q25" s="40" t="str">
        <f t="shared" si="0"/>
        <v/>
      </c>
      <c r="R25" s="67" t="str">
        <f>IF(D25="","",_xll.TR($D25,R$7,"Curn=#2 scale=6",,$F25,$H$6))</f>
        <v/>
      </c>
      <c r="S25" s="68"/>
      <c r="T25" s="68" t="str">
        <f>_xll.TR(D25,T$7,"Curn=#2 Scale=6 Transpose=Y Null=BLANK",,$Q25,$H$6)</f>
        <v>No universe defined.</v>
      </c>
      <c r="U25" s="68"/>
      <c r="V25" s="68"/>
      <c r="W25" s="68"/>
      <c r="X25" s="68" t="str">
        <f>_xll.TR($D25,X$7,"Curn=#2 Scale=6 Transpose=Y Null=BLANK",,$Q25,$H$6)</f>
        <v>No universe defined.</v>
      </c>
      <c r="Y25" s="68"/>
      <c r="Z25" s="68"/>
      <c r="AA25" s="68"/>
      <c r="AB25" s="68" t="str">
        <f>_xll.TR($D25,AB$7,"Curn=#2 Scale=6 Period=FY1:FY3 Transpose=Y Null=BLANK",,$Q25,$H$6)</f>
        <v>No universe defined.</v>
      </c>
      <c r="AC25" s="68"/>
      <c r="AD25" s="68"/>
      <c r="AE25" s="68"/>
      <c r="AF25" s="68" t="str">
        <f>_xll.TR($D25,AF$7,"Curn=#2 Scale=6 Transpose=Y Null=BLANK",,$Q25,$H$6)</f>
        <v>No universe defined.</v>
      </c>
      <c r="AG25" s="68"/>
      <c r="AH25" s="68"/>
      <c r="AI25" s="69"/>
      <c r="AJ25" s="69"/>
      <c r="AK25" s="69"/>
      <c r="AL25" s="69"/>
      <c r="AM25" s="69"/>
      <c r="AN25" s="70"/>
      <c r="AO25" s="70"/>
      <c r="AP25" s="70"/>
      <c r="AQ25" s="70"/>
      <c r="AR25" s="70"/>
      <c r="AS25" s="70"/>
      <c r="AT25" s="71" t="str">
        <f t="shared" si="1"/>
        <v/>
      </c>
      <c r="AU25" s="40"/>
      <c r="AV25" s="40"/>
      <c r="AW25" s="40"/>
      <c r="AX25" s="40"/>
      <c r="AY25" s="40"/>
      <c r="AZ25" s="40"/>
      <c r="BA25" s="40"/>
      <c r="BB25" s="40"/>
      <c r="BC25" s="80"/>
      <c r="BD25" s="80"/>
      <c r="BE25" s="80"/>
      <c r="BF25" s="67"/>
      <c r="BG25" s="67"/>
      <c r="BH25" s="67"/>
      <c r="BI25" s="70"/>
      <c r="BJ25" s="70"/>
      <c r="BK25" s="70"/>
      <c r="BL25" s="67"/>
      <c r="BM25" s="67"/>
      <c r="BN25" s="67"/>
      <c r="BO25" s="67"/>
      <c r="BP25" s="72"/>
      <c r="BQ25" s="72"/>
      <c r="BR25" s="72"/>
      <c r="BS25" s="72"/>
      <c r="BT25" s="67"/>
      <c r="BU25" s="67"/>
      <c r="BV25" s="67"/>
      <c r="BW25" s="67"/>
      <c r="BX25" s="67"/>
      <c r="BY25" s="67"/>
      <c r="BZ25" s="67"/>
      <c r="CA25" s="67"/>
      <c r="CD25" s="93"/>
      <c r="CM25" s="23"/>
      <c r="CN25" s="25"/>
      <c r="CO25" s="25"/>
      <c r="CP25" s="25"/>
      <c r="CQ25" s="23"/>
      <c r="CR25" s="23"/>
      <c r="CS25" s="23"/>
      <c r="CT25" s="23"/>
    </row>
    <row r="26" spans="2:98">
      <c r="B26" s="23"/>
      <c r="C26" s="112"/>
      <c r="D26" s="41" t="str">
        <f t="shared" si="2"/>
        <v/>
      </c>
      <c r="E26" s="32"/>
      <c r="F26" s="66"/>
      <c r="G26" s="32"/>
      <c r="H26" s="79"/>
      <c r="I26" s="40"/>
      <c r="J26" s="40"/>
      <c r="K26" s="40"/>
      <c r="L26" s="40"/>
      <c r="M26" s="40"/>
      <c r="N26" s="67"/>
      <c r="O26" s="40"/>
      <c r="P26" s="40"/>
      <c r="Q26" s="40" t="str">
        <f t="shared" si="0"/>
        <v/>
      </c>
      <c r="R26" s="67" t="str">
        <f>IF(D26="","",_xll.TR($D26,R$7,"Curn=#2 scale=6",,$F26,$H$6))</f>
        <v/>
      </c>
      <c r="S26" s="68"/>
      <c r="T26" s="68" t="str">
        <f>_xll.TR(D26,T$7,"Curn=#2 Scale=6 Transpose=Y Null=BLANK",,$Q26,$H$6)</f>
        <v>No universe defined.</v>
      </c>
      <c r="U26" s="68"/>
      <c r="V26" s="68"/>
      <c r="W26" s="68"/>
      <c r="X26" s="68" t="str">
        <f>_xll.TR($D26,X$7,"Curn=#2 Scale=6 Transpose=Y Null=BLANK",,$Q26,$H$6)</f>
        <v>No universe defined.</v>
      </c>
      <c r="Y26" s="68"/>
      <c r="Z26" s="68"/>
      <c r="AA26" s="68"/>
      <c r="AB26" s="68" t="str">
        <f>_xll.TR($D26,AB$7,"Curn=#2 Scale=6 Period=FY1:FY3 Transpose=Y Null=BLANK",,$Q26,$H$6)</f>
        <v>No universe defined.</v>
      </c>
      <c r="AC26" s="68"/>
      <c r="AD26" s="68"/>
      <c r="AE26" s="68"/>
      <c r="AF26" s="68" t="str">
        <f>_xll.TR($D26,AF$7,"Curn=#2 Scale=6 Transpose=Y Null=BLANK",,$Q26,$H$6)</f>
        <v>No universe defined.</v>
      </c>
      <c r="AG26" s="68"/>
      <c r="AH26" s="68"/>
      <c r="AI26" s="69"/>
      <c r="AJ26" s="69"/>
      <c r="AK26" s="69"/>
      <c r="AL26" s="69"/>
      <c r="AM26" s="69"/>
      <c r="AN26" s="70"/>
      <c r="AO26" s="70"/>
      <c r="AP26" s="70"/>
      <c r="AQ26" s="70"/>
      <c r="AR26" s="70"/>
      <c r="AS26" s="70"/>
      <c r="AT26" s="71" t="str">
        <f t="shared" si="1"/>
        <v/>
      </c>
      <c r="AU26" s="40"/>
      <c r="AV26" s="40"/>
      <c r="AW26" s="40"/>
      <c r="AX26" s="40"/>
      <c r="AY26" s="40"/>
      <c r="AZ26" s="40"/>
      <c r="BA26" s="40"/>
      <c r="BB26" s="40"/>
      <c r="BC26" s="80"/>
      <c r="BD26" s="80"/>
      <c r="BE26" s="80"/>
      <c r="BF26" s="40"/>
      <c r="BG26" s="40"/>
      <c r="BH26" s="40"/>
      <c r="BI26" s="80"/>
      <c r="BJ26" s="80"/>
      <c r="BK26" s="80"/>
      <c r="BL26" s="40"/>
      <c r="BM26" s="40"/>
      <c r="BN26" s="40"/>
      <c r="BO26" s="40"/>
      <c r="BP26" s="79"/>
      <c r="BQ26" s="79"/>
      <c r="BR26" s="79"/>
      <c r="BS26" s="79"/>
      <c r="BT26" s="40"/>
      <c r="BU26" s="40"/>
      <c r="BV26" s="40"/>
      <c r="BW26" s="40"/>
      <c r="BX26" s="40"/>
      <c r="BY26" s="40"/>
      <c r="BZ26" s="40"/>
      <c r="CA26" s="40"/>
      <c r="CD26" s="93"/>
      <c r="CM26" s="23"/>
      <c r="CN26" s="25"/>
      <c r="CO26" s="25"/>
      <c r="CP26" s="25"/>
      <c r="CQ26" s="23"/>
      <c r="CR26" s="23"/>
      <c r="CS26" s="23"/>
      <c r="CT26" s="23"/>
    </row>
    <row r="27" spans="2:98">
      <c r="B27" s="23"/>
      <c r="C27" s="112"/>
      <c r="D27" s="41" t="str">
        <f t="shared" si="2"/>
        <v/>
      </c>
      <c r="E27" s="32"/>
      <c r="F27" s="66"/>
      <c r="G27" s="32"/>
      <c r="H27" s="79"/>
      <c r="I27" s="40"/>
      <c r="J27" s="40"/>
      <c r="K27" s="40"/>
      <c r="L27" s="40"/>
      <c r="M27" s="40"/>
      <c r="N27" s="67"/>
      <c r="O27" s="40"/>
      <c r="P27" s="40"/>
      <c r="Q27" s="40" t="str">
        <f t="shared" si="0"/>
        <v/>
      </c>
      <c r="R27" s="67" t="str">
        <f>IF(D27="","",_xll.TR($D27,R$7,"Curn=#2 scale=6",,$F27,$H$6))</f>
        <v/>
      </c>
      <c r="S27" s="68"/>
      <c r="T27" s="68" t="str">
        <f>_xll.TR(D27,T$7,"Curn=#2 Scale=6 Transpose=Y Null=BLANK",,$Q27,$H$6)</f>
        <v>No universe defined.</v>
      </c>
      <c r="U27" s="68"/>
      <c r="V27" s="68"/>
      <c r="W27" s="68"/>
      <c r="X27" s="68" t="str">
        <f>_xll.TR($D27,X$7,"Curn=#2 Scale=6 Transpose=Y Null=BLANK",,$Q27,$H$6)</f>
        <v>No universe defined.</v>
      </c>
      <c r="Y27" s="68"/>
      <c r="Z27" s="68"/>
      <c r="AA27" s="68"/>
      <c r="AB27" s="68" t="str">
        <f>_xll.TR($D27,AB$7,"Curn=#2 Scale=6 Period=FY1:FY3 Transpose=Y Null=BLANK",,$Q27,$H$6)</f>
        <v>No universe defined.</v>
      </c>
      <c r="AC27" s="68"/>
      <c r="AD27" s="68"/>
      <c r="AE27" s="68"/>
      <c r="AF27" s="68" t="str">
        <f>_xll.TR($D27,AF$7,"Curn=#2 Scale=6 Transpose=Y Null=BLANK",,$Q27,$H$6)</f>
        <v>No universe defined.</v>
      </c>
      <c r="AG27" s="68"/>
      <c r="AH27" s="68"/>
      <c r="AI27" s="69"/>
      <c r="AJ27" s="69"/>
      <c r="AK27" s="69"/>
      <c r="AL27" s="69"/>
      <c r="AM27" s="69"/>
      <c r="AN27" s="70"/>
      <c r="AO27" s="70"/>
      <c r="AP27" s="70"/>
      <c r="AQ27" s="70"/>
      <c r="AR27" s="70"/>
      <c r="AS27" s="70"/>
      <c r="AT27" s="71" t="str">
        <f t="shared" si="1"/>
        <v/>
      </c>
      <c r="AU27" s="40"/>
      <c r="AV27" s="40"/>
      <c r="AW27" s="40"/>
      <c r="AX27" s="40"/>
      <c r="AY27" s="40"/>
      <c r="AZ27" s="40"/>
      <c r="BA27" s="40"/>
      <c r="BB27" s="40"/>
      <c r="BC27" s="80"/>
      <c r="BD27" s="80"/>
      <c r="BE27" s="80"/>
      <c r="BF27" s="40"/>
      <c r="BG27" s="40"/>
      <c r="BH27" s="40"/>
      <c r="BI27" s="80"/>
      <c r="BJ27" s="80"/>
      <c r="BK27" s="80"/>
      <c r="BL27" s="40"/>
      <c r="BM27" s="40"/>
      <c r="BN27" s="40"/>
      <c r="BO27" s="40"/>
      <c r="BP27" s="79"/>
      <c r="BQ27" s="79"/>
      <c r="BR27" s="79"/>
      <c r="BS27" s="79"/>
      <c r="BT27" s="40"/>
      <c r="BU27" s="40"/>
      <c r="BV27" s="40"/>
      <c r="BW27" s="40"/>
      <c r="BX27" s="40"/>
      <c r="BY27" s="40"/>
      <c r="BZ27" s="40"/>
      <c r="CA27" s="40"/>
      <c r="CD27" s="93"/>
      <c r="CM27" s="23"/>
      <c r="CN27" s="25"/>
      <c r="CO27" s="25"/>
      <c r="CP27" s="25"/>
      <c r="CQ27" s="23"/>
      <c r="CR27" s="23"/>
      <c r="CS27" s="23"/>
      <c r="CT27" s="23"/>
    </row>
    <row r="28" spans="2:98">
      <c r="B28" s="23"/>
      <c r="C28" s="112"/>
      <c r="D28" s="41" t="str">
        <f t="shared" si="2"/>
        <v/>
      </c>
      <c r="E28" s="32"/>
      <c r="F28" s="66"/>
      <c r="G28" s="32"/>
      <c r="H28" s="79"/>
      <c r="I28" s="40"/>
      <c r="J28" s="40"/>
      <c r="K28" s="40"/>
      <c r="L28" s="40"/>
      <c r="M28" s="40"/>
      <c r="N28" s="67"/>
      <c r="O28" s="40"/>
      <c r="P28" s="40"/>
      <c r="Q28" s="40" t="str">
        <f t="shared" si="0"/>
        <v/>
      </c>
      <c r="R28" s="67" t="str">
        <f>IF(D28="","",_xll.TR($D28,R$7,"Curn=#2 scale=6",,$F28,$H$6))</f>
        <v/>
      </c>
      <c r="S28" s="68"/>
      <c r="T28" s="68" t="str">
        <f>_xll.TR(D28,T$7,"Curn=#2 Scale=6 Transpose=Y Null=BLANK",,$Q28,$H$6)</f>
        <v>No universe defined.</v>
      </c>
      <c r="U28" s="68"/>
      <c r="V28" s="68"/>
      <c r="W28" s="68"/>
      <c r="X28" s="68" t="str">
        <f>_xll.TR($D28,X$7,"Curn=#2 Scale=6 Transpose=Y Null=BLANK",,$Q28,$H$6)</f>
        <v>No universe defined.</v>
      </c>
      <c r="Y28" s="68"/>
      <c r="Z28" s="68"/>
      <c r="AA28" s="68"/>
      <c r="AB28" s="68" t="str">
        <f>_xll.TR($D28,AB$7,"Curn=#2 Scale=6 Period=FY1:FY3 Transpose=Y Null=BLANK",,$Q28,$H$6)</f>
        <v>No universe defined.</v>
      </c>
      <c r="AC28" s="68"/>
      <c r="AD28" s="68"/>
      <c r="AE28" s="68"/>
      <c r="AF28" s="68" t="str">
        <f>_xll.TR($D28,AF$7,"Curn=#2 Scale=6 Transpose=Y Null=BLANK",,$Q28,$H$6)</f>
        <v>No universe defined.</v>
      </c>
      <c r="AG28" s="68"/>
      <c r="AH28" s="68"/>
      <c r="AI28" s="69"/>
      <c r="AJ28" s="69"/>
      <c r="AK28" s="69"/>
      <c r="AL28" s="69"/>
      <c r="AM28" s="69"/>
      <c r="AN28" s="70"/>
      <c r="AO28" s="70"/>
      <c r="AP28" s="70"/>
      <c r="AQ28" s="70"/>
      <c r="AR28" s="70"/>
      <c r="AS28" s="70"/>
      <c r="AT28" s="71" t="str">
        <f t="shared" si="1"/>
        <v/>
      </c>
      <c r="AU28" s="40"/>
      <c r="AV28" s="40"/>
      <c r="AW28" s="40"/>
      <c r="AX28" s="40"/>
      <c r="AY28" s="40"/>
      <c r="AZ28" s="40"/>
      <c r="BA28" s="40"/>
      <c r="BB28" s="40"/>
      <c r="BC28" s="80"/>
      <c r="BD28" s="80"/>
      <c r="BE28" s="80"/>
      <c r="BF28" s="40"/>
      <c r="BG28" s="40"/>
      <c r="BH28" s="40"/>
      <c r="BI28" s="80"/>
      <c r="BJ28" s="80"/>
      <c r="BK28" s="80"/>
      <c r="BL28" s="40"/>
      <c r="BM28" s="40"/>
      <c r="BN28" s="40"/>
      <c r="BO28" s="40"/>
      <c r="BP28" s="79"/>
      <c r="BQ28" s="79"/>
      <c r="BR28" s="79"/>
      <c r="BS28" s="79"/>
      <c r="BT28" s="40"/>
      <c r="BU28" s="40"/>
      <c r="BV28" s="40"/>
      <c r="BW28" s="40"/>
      <c r="BX28" s="40"/>
      <c r="BY28" s="40"/>
      <c r="BZ28" s="40"/>
      <c r="CA28" s="40"/>
      <c r="CD28" s="93"/>
      <c r="CM28" s="23"/>
      <c r="CN28" s="25"/>
      <c r="CO28" s="25"/>
      <c r="CP28" s="25"/>
      <c r="CQ28" s="23"/>
      <c r="CR28" s="23"/>
      <c r="CS28" s="23"/>
      <c r="CT28" s="23"/>
    </row>
    <row r="29" spans="2:98">
      <c r="B29" s="23"/>
      <c r="C29" s="112"/>
      <c r="D29" s="41" t="str">
        <f t="shared" si="2"/>
        <v/>
      </c>
      <c r="E29" s="32"/>
      <c r="F29" s="66"/>
      <c r="G29" s="32"/>
      <c r="H29" s="79"/>
      <c r="I29" s="40"/>
      <c r="J29" s="40"/>
      <c r="K29" s="40"/>
      <c r="L29" s="40"/>
      <c r="M29" s="40"/>
      <c r="N29" s="67"/>
      <c r="O29" s="40"/>
      <c r="P29" s="40"/>
      <c r="Q29" s="40" t="str">
        <f t="shared" si="0"/>
        <v/>
      </c>
      <c r="R29" s="67" t="str">
        <f>IF(D29="","",_xll.TR($D29,R$7,"Curn=#2 scale=6",,$F29,$H$6))</f>
        <v/>
      </c>
      <c r="S29" s="68"/>
      <c r="T29" s="68" t="str">
        <f>_xll.TR(D29,T$7,"Curn=#2 Scale=6 Transpose=Y Null=BLANK",,$Q29,$H$6)</f>
        <v>No universe defined.</v>
      </c>
      <c r="U29" s="68"/>
      <c r="V29" s="68"/>
      <c r="W29" s="68"/>
      <c r="X29" s="68" t="str">
        <f>_xll.TR($D29,X$7,"Curn=#2 Scale=6 Transpose=Y Null=BLANK",,$Q29,$H$6)</f>
        <v>No universe defined.</v>
      </c>
      <c r="Y29" s="68"/>
      <c r="Z29" s="68"/>
      <c r="AA29" s="68"/>
      <c r="AB29" s="68" t="str">
        <f>_xll.TR($D29,AB$7,"Curn=#2 Scale=6 Period=FY1:FY3 Transpose=Y Null=BLANK",,$Q29,$H$6)</f>
        <v>No universe defined.</v>
      </c>
      <c r="AC29" s="68"/>
      <c r="AD29" s="68"/>
      <c r="AE29" s="68"/>
      <c r="AF29" s="68" t="str">
        <f>_xll.TR($D29,AF$7,"Curn=#2 Scale=6 Transpose=Y Null=BLANK",,$Q29,$H$6)</f>
        <v>No universe defined.</v>
      </c>
      <c r="AG29" s="68"/>
      <c r="AH29" s="68"/>
      <c r="AI29" s="69"/>
      <c r="AJ29" s="69"/>
      <c r="AK29" s="69"/>
      <c r="AL29" s="69"/>
      <c r="AM29" s="69"/>
      <c r="AN29" s="70"/>
      <c r="AO29" s="70"/>
      <c r="AP29" s="70"/>
      <c r="AQ29" s="70"/>
      <c r="AR29" s="70"/>
      <c r="AS29" s="70"/>
      <c r="AT29" s="71" t="str">
        <f t="shared" si="1"/>
        <v/>
      </c>
      <c r="AU29" s="40"/>
      <c r="AV29" s="40"/>
      <c r="AW29" s="40"/>
      <c r="AX29" s="40"/>
      <c r="AY29" s="40"/>
      <c r="AZ29" s="40"/>
      <c r="BA29" s="40"/>
      <c r="BB29" s="40"/>
      <c r="BC29" s="80"/>
      <c r="BD29" s="80"/>
      <c r="BE29" s="80"/>
      <c r="BF29" s="40"/>
      <c r="BG29" s="40"/>
      <c r="BH29" s="40"/>
      <c r="BI29" s="80"/>
      <c r="BJ29" s="80"/>
      <c r="BK29" s="80"/>
      <c r="BL29" s="40"/>
      <c r="BM29" s="40"/>
      <c r="BN29" s="40"/>
      <c r="BO29" s="40"/>
      <c r="BP29" s="79"/>
      <c r="BQ29" s="79"/>
      <c r="BR29" s="79"/>
      <c r="BS29" s="79"/>
      <c r="BT29" s="40"/>
      <c r="BU29" s="40"/>
      <c r="BV29" s="40"/>
      <c r="BW29" s="40"/>
      <c r="BX29" s="40"/>
      <c r="BY29" s="40"/>
      <c r="BZ29" s="40"/>
      <c r="CA29" s="40"/>
      <c r="CD29" s="93"/>
      <c r="CM29" s="23"/>
      <c r="CN29" s="25"/>
      <c r="CO29" s="25"/>
      <c r="CP29" s="25"/>
      <c r="CQ29" s="23"/>
      <c r="CR29" s="23"/>
      <c r="CS29" s="23"/>
      <c r="CT29" s="23"/>
    </row>
    <row r="30" spans="2:98">
      <c r="B30" s="23"/>
      <c r="C30" s="112"/>
      <c r="D30" s="41" t="str">
        <f t="shared" si="2"/>
        <v/>
      </c>
      <c r="E30" s="32"/>
      <c r="F30" s="66"/>
      <c r="G30" s="32"/>
      <c r="H30" s="79"/>
      <c r="I30" s="40"/>
      <c r="J30" s="40"/>
      <c r="K30" s="40"/>
      <c r="L30" s="40"/>
      <c r="M30" s="40"/>
      <c r="N30" s="67"/>
      <c r="O30" s="40"/>
      <c r="P30" s="40"/>
      <c r="Q30" s="40" t="str">
        <f t="shared" si="0"/>
        <v/>
      </c>
      <c r="R30" s="67" t="str">
        <f>IF(D30="","",_xll.TR($D30,R$7,"Curn=#2 scale=6",,$F30,$H$6))</f>
        <v/>
      </c>
      <c r="S30" s="68"/>
      <c r="T30" s="68" t="str">
        <f>_xll.TR(D30,T$7,"Curn=#2 Scale=6 Transpose=Y Null=BLANK",,$Q30,$H$6)</f>
        <v>No universe defined.</v>
      </c>
      <c r="U30" s="68"/>
      <c r="V30" s="68"/>
      <c r="W30" s="68"/>
      <c r="X30" s="68" t="str">
        <f>_xll.TR($D30,X$7,"Curn=#2 Scale=6 Transpose=Y Null=BLANK",,$Q30,$H$6)</f>
        <v>No universe defined.</v>
      </c>
      <c r="Y30" s="68"/>
      <c r="Z30" s="68"/>
      <c r="AA30" s="68"/>
      <c r="AB30" s="68" t="str">
        <f>_xll.TR($D30,AB$7,"Curn=#2 Scale=6 Period=FY1:FY3 Transpose=Y Null=BLANK",,$Q30,$H$6)</f>
        <v>No universe defined.</v>
      </c>
      <c r="AC30" s="68"/>
      <c r="AD30" s="68"/>
      <c r="AE30" s="68"/>
      <c r="AF30" s="68" t="str">
        <f>_xll.TR($D30,AF$7,"Curn=#2 Scale=6 Transpose=Y Null=BLANK",,$Q30,$H$6)</f>
        <v>No universe defined.</v>
      </c>
      <c r="AG30" s="68"/>
      <c r="AH30" s="68"/>
      <c r="AI30" s="69"/>
      <c r="AJ30" s="69"/>
      <c r="AK30" s="69"/>
      <c r="AL30" s="69"/>
      <c r="AM30" s="69"/>
      <c r="AN30" s="70"/>
      <c r="AO30" s="70"/>
      <c r="AP30" s="70"/>
      <c r="AQ30" s="70"/>
      <c r="AR30" s="70"/>
      <c r="AS30" s="70"/>
      <c r="AT30" s="71" t="str">
        <f t="shared" si="1"/>
        <v/>
      </c>
      <c r="AU30" s="40"/>
      <c r="AV30" s="40"/>
      <c r="AW30" s="40"/>
      <c r="AX30" s="40"/>
      <c r="AY30" s="40"/>
      <c r="AZ30" s="40"/>
      <c r="BA30" s="40"/>
      <c r="BB30" s="40"/>
      <c r="BC30" s="80"/>
      <c r="BD30" s="80"/>
      <c r="BE30" s="80"/>
      <c r="BF30" s="40"/>
      <c r="BG30" s="40"/>
      <c r="BH30" s="40"/>
      <c r="BI30" s="80"/>
      <c r="BJ30" s="80"/>
      <c r="BK30" s="80"/>
      <c r="BL30" s="40"/>
      <c r="BM30" s="40"/>
      <c r="BN30" s="40"/>
      <c r="BO30" s="40"/>
      <c r="BP30" s="79"/>
      <c r="BQ30" s="79"/>
      <c r="BR30" s="79"/>
      <c r="BS30" s="79"/>
      <c r="BT30" s="40"/>
      <c r="BU30" s="40"/>
      <c r="BV30" s="40"/>
      <c r="BW30" s="40"/>
      <c r="BX30" s="40"/>
      <c r="BY30" s="40"/>
      <c r="BZ30" s="40"/>
      <c r="CA30" s="40"/>
      <c r="CD30" s="93"/>
      <c r="CM30" s="23"/>
      <c r="CN30" s="25"/>
      <c r="CO30" s="25"/>
      <c r="CP30" s="25"/>
      <c r="CQ30" s="23"/>
      <c r="CR30" s="23"/>
      <c r="CS30" s="23"/>
      <c r="CT30" s="23"/>
    </row>
    <row r="31" spans="2:98">
      <c r="B31" s="23"/>
      <c r="C31" s="112"/>
      <c r="D31" s="41" t="str">
        <f t="shared" si="2"/>
        <v/>
      </c>
      <c r="E31" s="32"/>
      <c r="F31" s="66"/>
      <c r="G31" s="32"/>
      <c r="H31" s="79"/>
      <c r="I31" s="40"/>
      <c r="J31" s="40"/>
      <c r="K31" s="40"/>
      <c r="L31" s="40"/>
      <c r="M31" s="40"/>
      <c r="N31" s="67"/>
      <c r="O31" s="40"/>
      <c r="P31" s="40"/>
      <c r="Q31" s="40" t="str">
        <f t="shared" si="0"/>
        <v/>
      </c>
      <c r="R31" s="67" t="str">
        <f>IF(D31="","",_xll.TR($D31,R$7,"Curn=#2 scale=6",,$F31,$H$6))</f>
        <v/>
      </c>
      <c r="S31" s="68"/>
      <c r="T31" s="68" t="str">
        <f>_xll.TR(D31,T$7,"Curn=#2 Scale=6 Transpose=Y Null=BLANK",,$Q31,$H$6)</f>
        <v>No universe defined.</v>
      </c>
      <c r="U31" s="68"/>
      <c r="V31" s="68"/>
      <c r="W31" s="68"/>
      <c r="X31" s="68" t="str">
        <f>_xll.TR($D31,X$7,"Curn=#2 Scale=6 Transpose=Y Null=BLANK",,$Q31,$H$6)</f>
        <v>No universe defined.</v>
      </c>
      <c r="Y31" s="68"/>
      <c r="Z31" s="68"/>
      <c r="AA31" s="68"/>
      <c r="AB31" s="68" t="str">
        <f>_xll.TR($D31,AB$7,"Curn=#2 Scale=6 Period=FY1:FY3 Transpose=Y Null=BLANK",,$Q31,$H$6)</f>
        <v>No universe defined.</v>
      </c>
      <c r="AC31" s="68"/>
      <c r="AD31" s="68"/>
      <c r="AE31" s="68"/>
      <c r="AF31" s="68" t="str">
        <f>_xll.TR($D31,AF$7,"Curn=#2 Scale=6 Transpose=Y Null=BLANK",,$Q31,$H$6)</f>
        <v>No universe defined.</v>
      </c>
      <c r="AG31" s="68"/>
      <c r="AH31" s="68"/>
      <c r="AI31" s="69"/>
      <c r="AJ31" s="69"/>
      <c r="AK31" s="69"/>
      <c r="AL31" s="69"/>
      <c r="AM31" s="69"/>
      <c r="AN31" s="70"/>
      <c r="AO31" s="70"/>
      <c r="AP31" s="70"/>
      <c r="AQ31" s="70"/>
      <c r="AR31" s="70"/>
      <c r="AS31" s="70"/>
      <c r="AT31" s="71" t="str">
        <f t="shared" si="1"/>
        <v/>
      </c>
      <c r="AU31" s="40"/>
      <c r="AV31" s="40"/>
      <c r="AW31" s="40"/>
      <c r="AX31" s="40"/>
      <c r="AY31" s="40"/>
      <c r="AZ31" s="40"/>
      <c r="BA31" s="40"/>
      <c r="BB31" s="40"/>
      <c r="BC31" s="80"/>
      <c r="BD31" s="80"/>
      <c r="BE31" s="80"/>
      <c r="BF31" s="40"/>
      <c r="BG31" s="40"/>
      <c r="BH31" s="40"/>
      <c r="BI31" s="80"/>
      <c r="BJ31" s="80"/>
      <c r="BK31" s="80"/>
      <c r="BL31" s="40"/>
      <c r="BM31" s="40"/>
      <c r="BN31" s="40"/>
      <c r="BO31" s="40"/>
      <c r="BP31" s="79"/>
      <c r="BQ31" s="79"/>
      <c r="BR31" s="79"/>
      <c r="BS31" s="79"/>
      <c r="BT31" s="40"/>
      <c r="BU31" s="40"/>
      <c r="BV31" s="40"/>
      <c r="BW31" s="40"/>
      <c r="BX31" s="40"/>
      <c r="BY31" s="40"/>
      <c r="BZ31" s="40"/>
      <c r="CA31" s="40"/>
      <c r="CD31" s="93"/>
      <c r="CM31" s="23"/>
      <c r="CN31" s="25"/>
      <c r="CO31" s="25"/>
      <c r="CP31" s="25"/>
      <c r="CQ31" s="23"/>
      <c r="CR31" s="23"/>
      <c r="CS31" s="23"/>
      <c r="CT31" s="23"/>
    </row>
    <row r="32" spans="2:98">
      <c r="B32" s="23"/>
      <c r="C32" s="112"/>
      <c r="D32" s="41" t="str">
        <f t="shared" si="2"/>
        <v/>
      </c>
      <c r="E32" s="32"/>
      <c r="F32" s="66"/>
      <c r="G32" s="32"/>
      <c r="H32" s="79"/>
      <c r="I32" s="40"/>
      <c r="J32" s="40"/>
      <c r="K32" s="40"/>
      <c r="L32" s="40"/>
      <c r="M32" s="40"/>
      <c r="N32" s="67"/>
      <c r="O32" s="40"/>
      <c r="P32" s="40"/>
      <c r="Q32" s="40" t="str">
        <f t="shared" si="0"/>
        <v/>
      </c>
      <c r="R32" s="67" t="str">
        <f>IF(D32="","",_xll.TR($D32,R$7,"Curn=#2 scale=6",,$F32,$H$6))</f>
        <v/>
      </c>
      <c r="S32" s="68"/>
      <c r="T32" s="68" t="str">
        <f>_xll.TR(D32,T$7,"Curn=#2 Scale=6 Transpose=Y Null=BLANK",,$Q32,$H$6)</f>
        <v>No universe defined.</v>
      </c>
      <c r="U32" s="68"/>
      <c r="V32" s="68"/>
      <c r="W32" s="68"/>
      <c r="X32" s="68" t="str">
        <f>_xll.TR($D32,X$7,"Curn=#2 Scale=6 Transpose=Y Null=BLANK",,$Q32,$H$6)</f>
        <v>No universe defined.</v>
      </c>
      <c r="Y32" s="68"/>
      <c r="Z32" s="68"/>
      <c r="AA32" s="68"/>
      <c r="AB32" s="68" t="str">
        <f>_xll.TR($D32,AB$7,"Curn=#2 Scale=6 Period=FY1:FY3 Transpose=Y Null=BLANK",,$Q32,$H$6)</f>
        <v>No universe defined.</v>
      </c>
      <c r="AC32" s="68"/>
      <c r="AD32" s="68"/>
      <c r="AE32" s="68"/>
      <c r="AF32" s="68" t="str">
        <f>_xll.TR($D32,AF$7,"Curn=#2 Scale=6 Transpose=Y Null=BLANK",,$Q32,$H$6)</f>
        <v>No universe defined.</v>
      </c>
      <c r="AG32" s="68"/>
      <c r="AH32" s="68"/>
      <c r="AI32" s="69"/>
      <c r="AJ32" s="69"/>
      <c r="AK32" s="69"/>
      <c r="AL32" s="69"/>
      <c r="AM32" s="69"/>
      <c r="AN32" s="70"/>
      <c r="AO32" s="70"/>
      <c r="AP32" s="70"/>
      <c r="AQ32" s="70"/>
      <c r="AR32" s="70"/>
      <c r="AS32" s="70"/>
      <c r="AT32" s="71" t="str">
        <f t="shared" si="1"/>
        <v/>
      </c>
      <c r="AU32" s="40"/>
      <c r="AV32" s="40"/>
      <c r="AW32" s="40"/>
      <c r="AX32" s="40"/>
      <c r="AY32" s="40"/>
      <c r="AZ32" s="40"/>
      <c r="BA32" s="40"/>
      <c r="BB32" s="40"/>
      <c r="BC32" s="80"/>
      <c r="BD32" s="80"/>
      <c r="BE32" s="80"/>
      <c r="BF32" s="40"/>
      <c r="BG32" s="40"/>
      <c r="BH32" s="40"/>
      <c r="BI32" s="80"/>
      <c r="BJ32" s="80"/>
      <c r="BK32" s="80"/>
      <c r="BL32" s="40"/>
      <c r="BM32" s="40"/>
      <c r="BN32" s="40"/>
      <c r="BO32" s="40"/>
      <c r="BP32" s="79"/>
      <c r="BQ32" s="79"/>
      <c r="BR32" s="79"/>
      <c r="BS32" s="79"/>
      <c r="BT32" s="40"/>
      <c r="BU32" s="40"/>
      <c r="BV32" s="40"/>
      <c r="BW32" s="40"/>
      <c r="BX32" s="40"/>
      <c r="BY32" s="40"/>
      <c r="BZ32" s="40"/>
      <c r="CA32" s="40"/>
      <c r="CD32" s="93"/>
      <c r="CM32" s="23"/>
      <c r="CN32" s="25"/>
      <c r="CO32" s="25"/>
      <c r="CP32" s="25"/>
      <c r="CQ32" s="23"/>
      <c r="CR32" s="23"/>
      <c r="CS32" s="23"/>
      <c r="CT32" s="23"/>
    </row>
    <row r="33" spans="2:98">
      <c r="B33" s="23"/>
      <c r="C33" s="112"/>
      <c r="D33" s="41" t="str">
        <f t="shared" si="2"/>
        <v/>
      </c>
      <c r="E33" s="32"/>
      <c r="F33" s="66"/>
      <c r="G33" s="32"/>
      <c r="H33" s="79"/>
      <c r="I33" s="40"/>
      <c r="J33" s="40"/>
      <c r="K33" s="40"/>
      <c r="L33" s="40"/>
      <c r="M33" s="40"/>
      <c r="N33" s="67"/>
      <c r="O33" s="40"/>
      <c r="P33" s="40"/>
      <c r="Q33" s="40" t="str">
        <f t="shared" si="0"/>
        <v/>
      </c>
      <c r="R33" s="67" t="str">
        <f>IF(D33="","",_xll.TR($D33,R$7,"Curn=#2 scale=6",,$F33,$H$6))</f>
        <v/>
      </c>
      <c r="S33" s="68"/>
      <c r="T33" s="68" t="str">
        <f>_xll.TR(D33,T$7,"Curn=#2 Scale=6 Transpose=Y Null=BLANK",,$Q33,$H$6)</f>
        <v>No universe defined.</v>
      </c>
      <c r="U33" s="68"/>
      <c r="V33" s="68"/>
      <c r="W33" s="68"/>
      <c r="X33" s="68" t="str">
        <f>_xll.TR($D33,X$7,"Curn=#2 Scale=6 Transpose=Y Null=BLANK",,$Q33,$H$6)</f>
        <v>No universe defined.</v>
      </c>
      <c r="Y33" s="68"/>
      <c r="Z33" s="68"/>
      <c r="AA33" s="68"/>
      <c r="AB33" s="68" t="str">
        <f>_xll.TR($D33,AB$7,"Curn=#2 Scale=6 Period=FY1:FY3 Transpose=Y Null=BLANK",,$Q33,$H$6)</f>
        <v>No universe defined.</v>
      </c>
      <c r="AC33" s="68"/>
      <c r="AD33" s="68"/>
      <c r="AE33" s="68"/>
      <c r="AF33" s="68" t="str">
        <f>_xll.TR($D33,AF$7,"Curn=#2 Scale=6 Transpose=Y Null=BLANK",,$Q33,$H$6)</f>
        <v>No universe defined.</v>
      </c>
      <c r="AG33" s="68"/>
      <c r="AH33" s="68"/>
      <c r="AI33" s="69"/>
      <c r="AJ33" s="69"/>
      <c r="AK33" s="69"/>
      <c r="AL33" s="69"/>
      <c r="AM33" s="69"/>
      <c r="AN33" s="70"/>
      <c r="AO33" s="70"/>
      <c r="AP33" s="70"/>
      <c r="AQ33" s="70"/>
      <c r="AR33" s="70"/>
      <c r="AS33" s="70"/>
      <c r="AT33" s="71" t="str">
        <f t="shared" si="1"/>
        <v/>
      </c>
      <c r="AU33" s="40"/>
      <c r="AV33" s="40"/>
      <c r="AW33" s="40"/>
      <c r="AX33" s="40"/>
      <c r="AY33" s="40"/>
      <c r="AZ33" s="40"/>
      <c r="BA33" s="40"/>
      <c r="BB33" s="40"/>
      <c r="BC33" s="80"/>
      <c r="BD33" s="80"/>
      <c r="BE33" s="80"/>
      <c r="BF33" s="40"/>
      <c r="BG33" s="40"/>
      <c r="BH33" s="40"/>
      <c r="BI33" s="80"/>
      <c r="BJ33" s="80"/>
      <c r="BK33" s="80"/>
      <c r="BL33" s="40"/>
      <c r="BM33" s="40"/>
      <c r="BN33" s="40"/>
      <c r="BO33" s="40"/>
      <c r="BP33" s="79"/>
      <c r="BQ33" s="79"/>
      <c r="BR33" s="79"/>
      <c r="BS33" s="79"/>
      <c r="BT33" s="40"/>
      <c r="BU33" s="40"/>
      <c r="BV33" s="40"/>
      <c r="BW33" s="40"/>
      <c r="BX33" s="40"/>
      <c r="BY33" s="40"/>
      <c r="BZ33" s="40"/>
      <c r="CA33" s="40"/>
      <c r="CD33" s="93"/>
      <c r="CM33" s="23"/>
      <c r="CN33" s="25"/>
      <c r="CO33" s="25"/>
      <c r="CP33" s="25"/>
      <c r="CQ33" s="23"/>
      <c r="CR33" s="23"/>
      <c r="CS33" s="23"/>
      <c r="CT33" s="23"/>
    </row>
    <row r="34" spans="2:98">
      <c r="B34" s="23"/>
      <c r="C34" s="112"/>
      <c r="D34" s="41" t="str">
        <f t="shared" si="2"/>
        <v/>
      </c>
      <c r="E34" s="32"/>
      <c r="F34" s="66"/>
      <c r="G34" s="32"/>
      <c r="H34" s="79"/>
      <c r="I34" s="40"/>
      <c r="J34" s="40"/>
      <c r="K34" s="40"/>
      <c r="L34" s="40"/>
      <c r="M34" s="40"/>
      <c r="N34" s="67"/>
      <c r="O34" s="40"/>
      <c r="P34" s="40"/>
      <c r="Q34" s="40" t="str">
        <f t="shared" si="0"/>
        <v/>
      </c>
      <c r="R34" s="67" t="str">
        <f>IF(D34="","",_xll.TR($D34,R$7,"Curn=#2 scale=6",,$F34,$H$6))</f>
        <v/>
      </c>
      <c r="S34" s="68"/>
      <c r="T34" s="68" t="str">
        <f>_xll.TR(D34,T$7,"Curn=#2 Scale=6 Transpose=Y Null=BLANK",,$Q34,$H$6)</f>
        <v>No universe defined.</v>
      </c>
      <c r="U34" s="68"/>
      <c r="V34" s="68"/>
      <c r="W34" s="68"/>
      <c r="X34" s="68" t="str">
        <f>_xll.TR($D34,X$7,"Curn=#2 Scale=6 Transpose=Y Null=BLANK",,$Q34,$H$6)</f>
        <v>No universe defined.</v>
      </c>
      <c r="Y34" s="68"/>
      <c r="Z34" s="68"/>
      <c r="AA34" s="68"/>
      <c r="AB34" s="68" t="str">
        <f>_xll.TR($D34,AB$7,"Curn=#2 Scale=6 Period=FY1:FY3 Transpose=Y Null=BLANK",,$Q34,$H$6)</f>
        <v>No universe defined.</v>
      </c>
      <c r="AC34" s="68"/>
      <c r="AD34" s="68"/>
      <c r="AE34" s="68"/>
      <c r="AF34" s="68" t="str">
        <f>_xll.TR($D34,AF$7,"Curn=#2 Scale=6 Transpose=Y Null=BLANK",,$Q34,$H$6)</f>
        <v>No universe defined.</v>
      </c>
      <c r="AG34" s="68"/>
      <c r="AH34" s="68"/>
      <c r="AI34" s="69"/>
      <c r="AJ34" s="69"/>
      <c r="AK34" s="69"/>
      <c r="AL34" s="69"/>
      <c r="AM34" s="69"/>
      <c r="AN34" s="70"/>
      <c r="AO34" s="70"/>
      <c r="AP34" s="70"/>
      <c r="AQ34" s="70"/>
      <c r="AR34" s="70"/>
      <c r="AS34" s="70"/>
      <c r="AT34" s="71" t="str">
        <f t="shared" si="1"/>
        <v/>
      </c>
      <c r="AU34" s="40"/>
      <c r="AV34" s="40"/>
      <c r="AW34" s="40"/>
      <c r="AX34" s="40"/>
      <c r="AY34" s="40"/>
      <c r="AZ34" s="40"/>
      <c r="BA34" s="40"/>
      <c r="BB34" s="40"/>
      <c r="BC34" s="80"/>
      <c r="BD34" s="80"/>
      <c r="BE34" s="80"/>
      <c r="BF34" s="40"/>
      <c r="BG34" s="40"/>
      <c r="BH34" s="40"/>
      <c r="BI34" s="80"/>
      <c r="BJ34" s="80"/>
      <c r="BK34" s="80"/>
      <c r="BL34" s="40"/>
      <c r="BM34" s="40"/>
      <c r="BN34" s="40"/>
      <c r="BO34" s="40"/>
      <c r="BP34" s="79"/>
      <c r="BQ34" s="79"/>
      <c r="BR34" s="79"/>
      <c r="BS34" s="79"/>
      <c r="BT34" s="40"/>
      <c r="BU34" s="40"/>
      <c r="BV34" s="40"/>
      <c r="BW34" s="40"/>
      <c r="BX34" s="40"/>
      <c r="BY34" s="40"/>
      <c r="BZ34" s="40"/>
      <c r="CA34" s="40"/>
      <c r="CD34" s="93"/>
      <c r="CM34" s="23"/>
      <c r="CN34" s="25"/>
      <c r="CO34" s="25"/>
      <c r="CP34" s="25"/>
      <c r="CQ34" s="23"/>
      <c r="CR34" s="23"/>
      <c r="CS34" s="23"/>
      <c r="CT34" s="23"/>
    </row>
    <row r="35" spans="2:98">
      <c r="B35" s="23"/>
      <c r="C35" s="112"/>
      <c r="D35" s="41" t="str">
        <f t="shared" si="2"/>
        <v/>
      </c>
      <c r="E35" s="32"/>
      <c r="F35" s="66"/>
      <c r="G35" s="32"/>
      <c r="H35" s="79"/>
      <c r="I35" s="40"/>
      <c r="J35" s="40"/>
      <c r="K35" s="40"/>
      <c r="L35" s="40"/>
      <c r="M35" s="40"/>
      <c r="N35" s="67"/>
      <c r="O35" s="40"/>
      <c r="P35" s="40"/>
      <c r="Q35" s="40" t="str">
        <f t="shared" si="0"/>
        <v/>
      </c>
      <c r="R35" s="67" t="str">
        <f>IF(D35="","",_xll.TR($D35,R$7,"Curn=#2 scale=6",,$F35,$H$6))</f>
        <v/>
      </c>
      <c r="S35" s="68"/>
      <c r="T35" s="68" t="str">
        <f>_xll.TR(D35,T$7,"Curn=#2 Scale=6 Transpose=Y Null=BLANK",,$Q35,$H$6)</f>
        <v>No universe defined.</v>
      </c>
      <c r="U35" s="68"/>
      <c r="V35" s="68"/>
      <c r="W35" s="68"/>
      <c r="X35" s="68" t="str">
        <f>_xll.TR($D35,X$7,"Curn=#2 Scale=6 Transpose=Y Null=BLANK",,$Q35,$H$6)</f>
        <v>No universe defined.</v>
      </c>
      <c r="Y35" s="68"/>
      <c r="Z35" s="68"/>
      <c r="AA35" s="68"/>
      <c r="AB35" s="68" t="str">
        <f>_xll.TR($D35,AB$7,"Curn=#2 Scale=6 Period=FY1:FY3 Transpose=Y Null=BLANK",,$Q35,$H$6)</f>
        <v>No universe defined.</v>
      </c>
      <c r="AC35" s="68"/>
      <c r="AD35" s="68"/>
      <c r="AE35" s="68"/>
      <c r="AF35" s="68" t="str">
        <f>_xll.TR($D35,AF$7,"Curn=#2 Scale=6 Transpose=Y Null=BLANK",,$Q35,$H$6)</f>
        <v>No universe defined.</v>
      </c>
      <c r="AG35" s="68"/>
      <c r="AH35" s="68"/>
      <c r="AI35" s="69"/>
      <c r="AJ35" s="69"/>
      <c r="AK35" s="69"/>
      <c r="AL35" s="69"/>
      <c r="AM35" s="69"/>
      <c r="AN35" s="70"/>
      <c r="AO35" s="70"/>
      <c r="AP35" s="70"/>
      <c r="AQ35" s="70"/>
      <c r="AR35" s="70"/>
      <c r="AS35" s="70"/>
      <c r="AT35" s="71" t="str">
        <f t="shared" si="1"/>
        <v/>
      </c>
      <c r="AU35" s="40"/>
      <c r="AV35" s="40"/>
      <c r="AW35" s="40"/>
      <c r="AX35" s="40"/>
      <c r="AY35" s="40"/>
      <c r="AZ35" s="40"/>
      <c r="BA35" s="40"/>
      <c r="BB35" s="40"/>
      <c r="BC35" s="80"/>
      <c r="BD35" s="80"/>
      <c r="BE35" s="80"/>
      <c r="BF35" s="40"/>
      <c r="BG35" s="40"/>
      <c r="BH35" s="40"/>
      <c r="BI35" s="80"/>
      <c r="BJ35" s="80"/>
      <c r="BK35" s="80"/>
      <c r="BL35" s="40"/>
      <c r="BM35" s="40"/>
      <c r="BN35" s="40"/>
      <c r="BO35" s="40"/>
      <c r="BP35" s="79"/>
      <c r="BQ35" s="79"/>
      <c r="BR35" s="79"/>
      <c r="BS35" s="79"/>
      <c r="BT35" s="40"/>
      <c r="BU35" s="40"/>
      <c r="BV35" s="40"/>
      <c r="BW35" s="40"/>
      <c r="BX35" s="40"/>
      <c r="BY35" s="40"/>
      <c r="BZ35" s="40"/>
      <c r="CA35" s="40"/>
      <c r="CD35" s="93"/>
      <c r="CM35" s="23"/>
      <c r="CN35" s="25"/>
      <c r="CO35" s="25"/>
      <c r="CP35" s="25"/>
      <c r="CQ35" s="23"/>
      <c r="CR35" s="23"/>
      <c r="CS35" s="23"/>
      <c r="CT35" s="23"/>
    </row>
    <row r="36" spans="2:98">
      <c r="B36" s="23"/>
      <c r="C36" s="112"/>
      <c r="D36" s="41" t="str">
        <f t="shared" si="2"/>
        <v/>
      </c>
      <c r="E36" s="32"/>
      <c r="F36" s="66"/>
      <c r="G36" s="32"/>
      <c r="H36" s="79"/>
      <c r="I36" s="40"/>
      <c r="J36" s="40"/>
      <c r="K36" s="40"/>
      <c r="L36" s="40"/>
      <c r="M36" s="40"/>
      <c r="N36" s="67"/>
      <c r="O36" s="40"/>
      <c r="P36" s="40"/>
      <c r="Q36" s="40" t="str">
        <f t="shared" si="0"/>
        <v/>
      </c>
      <c r="R36" s="67" t="str">
        <f>IF(D36="","",_xll.TR($D36,R$7,"Curn=#2 scale=6",,$F36,$H$6))</f>
        <v/>
      </c>
      <c r="S36" s="68"/>
      <c r="T36" s="68" t="str">
        <f>_xll.TR(D36,T$7,"Curn=#2 Scale=6 Transpose=Y Null=BLANK",,$Q36,$H$6)</f>
        <v>No universe defined.</v>
      </c>
      <c r="U36" s="68"/>
      <c r="V36" s="68"/>
      <c r="W36" s="68"/>
      <c r="X36" s="68" t="str">
        <f>_xll.TR($D36,X$7,"Curn=#2 Scale=6 Transpose=Y Null=BLANK",,$Q36,$H$6)</f>
        <v>No universe defined.</v>
      </c>
      <c r="Y36" s="68"/>
      <c r="Z36" s="68"/>
      <c r="AA36" s="68"/>
      <c r="AB36" s="68" t="str">
        <f>_xll.TR($D36,AB$7,"Curn=#2 Scale=6 Period=FY1:FY3 Transpose=Y Null=BLANK",,$Q36,$H$6)</f>
        <v>No universe defined.</v>
      </c>
      <c r="AC36" s="68"/>
      <c r="AD36" s="68"/>
      <c r="AE36" s="68"/>
      <c r="AF36" s="68" t="str">
        <f>_xll.TR($D36,AF$7,"Curn=#2 Scale=6 Transpose=Y Null=BLANK",,$Q36,$H$6)</f>
        <v>No universe defined.</v>
      </c>
      <c r="AG36" s="68"/>
      <c r="AH36" s="68"/>
      <c r="AI36" s="69"/>
      <c r="AJ36" s="69"/>
      <c r="AK36" s="69"/>
      <c r="AL36" s="69"/>
      <c r="AM36" s="69"/>
      <c r="AN36" s="70"/>
      <c r="AO36" s="70"/>
      <c r="AP36" s="70"/>
      <c r="AQ36" s="70"/>
      <c r="AR36" s="70"/>
      <c r="AS36" s="70"/>
      <c r="AT36" s="71" t="str">
        <f t="shared" si="1"/>
        <v/>
      </c>
      <c r="AU36" s="40"/>
      <c r="AV36" s="40"/>
      <c r="AW36" s="40"/>
      <c r="AX36" s="40"/>
      <c r="AY36" s="40"/>
      <c r="AZ36" s="40"/>
      <c r="BA36" s="40"/>
      <c r="BB36" s="40"/>
      <c r="BC36" s="80"/>
      <c r="BD36" s="80"/>
      <c r="BE36" s="80"/>
      <c r="BF36" s="40"/>
      <c r="BG36" s="40"/>
      <c r="BH36" s="40"/>
      <c r="BI36" s="80"/>
      <c r="BJ36" s="80"/>
      <c r="BK36" s="80"/>
      <c r="BL36" s="40"/>
      <c r="BM36" s="40"/>
      <c r="BN36" s="40"/>
      <c r="BO36" s="40"/>
      <c r="BP36" s="79"/>
      <c r="BQ36" s="79"/>
      <c r="BR36" s="79"/>
      <c r="BS36" s="79"/>
      <c r="BT36" s="40"/>
      <c r="BU36" s="40"/>
      <c r="BV36" s="40"/>
      <c r="BW36" s="40"/>
      <c r="BX36" s="40"/>
      <c r="BY36" s="40"/>
      <c r="BZ36" s="40"/>
      <c r="CA36" s="40"/>
      <c r="CD36" s="93"/>
      <c r="CM36" s="23"/>
      <c r="CN36" s="25"/>
      <c r="CO36" s="25"/>
      <c r="CP36" s="25"/>
      <c r="CQ36" s="23"/>
      <c r="CR36" s="23"/>
      <c r="CS36" s="23"/>
      <c r="CT36" s="23"/>
    </row>
    <row r="37" spans="2:98">
      <c r="B37" s="23"/>
      <c r="C37" s="112"/>
      <c r="D37" s="32" t="str">
        <f t="shared" si="2"/>
        <v/>
      </c>
      <c r="E37" s="32"/>
      <c r="F37" s="66"/>
      <c r="G37" s="32"/>
      <c r="H37" s="79"/>
      <c r="I37" s="40"/>
      <c r="J37" s="40"/>
      <c r="K37" s="40"/>
      <c r="L37" s="40"/>
      <c r="M37" s="40"/>
      <c r="N37" s="67"/>
      <c r="O37" s="40"/>
      <c r="P37" s="40"/>
      <c r="Q37" s="40" t="str">
        <f t="shared" si="0"/>
        <v/>
      </c>
      <c r="R37" s="67" t="str">
        <f>IF(D37="","",_xll.TR($D37,R$7,"Curn=#2 scale=6",,$F37,$H$6))</f>
        <v/>
      </c>
      <c r="S37" s="68"/>
      <c r="T37" s="68" t="str">
        <f>_xll.TR(D37,T$7,"Curn=#2 Scale=6 Transpose=Y Null=BLANK",,$Q37,$H$6)</f>
        <v>No universe defined.</v>
      </c>
      <c r="U37" s="68"/>
      <c r="V37" s="68"/>
      <c r="W37" s="68"/>
      <c r="X37" s="68" t="str">
        <f>_xll.TR($D37,X$7,"Curn=#2 Scale=6 Transpose=Y Null=BLANK",,$Q37,$H$6)</f>
        <v>No universe defined.</v>
      </c>
      <c r="Y37" s="68"/>
      <c r="Z37" s="68"/>
      <c r="AA37" s="68"/>
      <c r="AB37" s="68" t="str">
        <f>_xll.TR($D37,AB$7,"Curn=#2 Scale=6 Period=FY1:FY3 Transpose=Y Null=BLANK",,$Q37,$H$6)</f>
        <v>No universe defined.</v>
      </c>
      <c r="AC37" s="68"/>
      <c r="AD37" s="68"/>
      <c r="AE37" s="68"/>
      <c r="AF37" s="68" t="str">
        <f>_xll.TR($D37,AF$7,"Curn=#2 Scale=6 Transpose=Y Null=BLANK",,$Q37,$H$6)</f>
        <v>No universe defined.</v>
      </c>
      <c r="AG37" s="68"/>
      <c r="AH37" s="68"/>
      <c r="AI37" s="69"/>
      <c r="AJ37" s="69"/>
      <c r="AK37" s="69"/>
      <c r="AL37" s="69"/>
      <c r="AM37" s="69"/>
      <c r="AN37" s="70"/>
      <c r="AO37" s="70"/>
      <c r="AP37" s="70"/>
      <c r="AQ37" s="70"/>
      <c r="AR37" s="70"/>
      <c r="AS37" s="70"/>
      <c r="AT37" s="71" t="str">
        <f t="shared" si="1"/>
        <v/>
      </c>
      <c r="AU37" s="40"/>
      <c r="AV37" s="40"/>
      <c r="AW37" s="40"/>
      <c r="AX37" s="40"/>
      <c r="AY37" s="40"/>
      <c r="AZ37" s="40"/>
      <c r="BA37" s="40"/>
      <c r="BB37" s="40"/>
      <c r="BC37" s="80"/>
      <c r="BD37" s="80"/>
      <c r="BE37" s="80"/>
      <c r="BF37" s="40"/>
      <c r="BG37" s="40"/>
      <c r="BH37" s="40"/>
      <c r="BI37" s="80"/>
      <c r="BJ37" s="80"/>
      <c r="BK37" s="80"/>
      <c r="BL37" s="40"/>
      <c r="BM37" s="40"/>
      <c r="BN37" s="40"/>
      <c r="BO37" s="40"/>
      <c r="BP37" s="79"/>
      <c r="BQ37" s="79"/>
      <c r="BR37" s="79"/>
      <c r="BS37" s="79"/>
      <c r="BT37" s="40"/>
      <c r="BU37" s="40"/>
      <c r="BV37" s="40"/>
      <c r="BW37" s="40"/>
      <c r="BX37" s="40"/>
      <c r="BY37" s="40"/>
      <c r="BZ37" s="40"/>
      <c r="CA37" s="40"/>
      <c r="CD37" s="93"/>
      <c r="CM37" s="23"/>
      <c r="CN37" s="25"/>
      <c r="CO37" s="25"/>
      <c r="CP37" s="25"/>
      <c r="CQ37" s="23"/>
      <c r="CR37" s="23"/>
      <c r="CS37" s="23"/>
      <c r="CT37" s="23"/>
    </row>
    <row r="38" spans="2:98">
      <c r="B38" s="23"/>
      <c r="C38" s="112"/>
      <c r="D38" s="32" t="str">
        <f t="shared" si="2"/>
        <v/>
      </c>
      <c r="E38" s="32"/>
      <c r="F38" s="66"/>
      <c r="G38" s="32"/>
      <c r="H38" s="79"/>
      <c r="I38" s="40"/>
      <c r="J38" s="40"/>
      <c r="K38" s="40"/>
      <c r="L38" s="40"/>
      <c r="M38" s="40"/>
      <c r="N38" s="67"/>
      <c r="O38" s="40"/>
      <c r="P38" s="40"/>
      <c r="Q38" s="40" t="str">
        <f t="shared" si="0"/>
        <v/>
      </c>
      <c r="R38" s="67" t="str">
        <f>IF(D38="","",_xll.TR($D38,R$7,"Curn=#2 scale=6",,$F38,$H$6))</f>
        <v/>
      </c>
      <c r="S38" s="68"/>
      <c r="T38" s="68" t="str">
        <f>_xll.TR(D38,T$7,"Curn=#2 Scale=6 Transpose=Y Null=BLANK",,$Q38,$H$6)</f>
        <v>No universe defined.</v>
      </c>
      <c r="U38" s="68"/>
      <c r="V38" s="68"/>
      <c r="W38" s="68"/>
      <c r="X38" s="68" t="str">
        <f>_xll.TR($D38,X$7,"Curn=#2 Scale=6 Transpose=Y Null=BLANK",,$Q38,$H$6)</f>
        <v>No universe defined.</v>
      </c>
      <c r="Y38" s="68"/>
      <c r="Z38" s="68"/>
      <c r="AA38" s="68"/>
      <c r="AB38" s="68" t="str">
        <f>_xll.TR($D38,AB$7,"Curn=#2 Scale=6 Period=FY1:FY3 Transpose=Y Null=BLANK",,$Q38,$H$6)</f>
        <v>No universe defined.</v>
      </c>
      <c r="AC38" s="68"/>
      <c r="AD38" s="68"/>
      <c r="AE38" s="68"/>
      <c r="AF38" s="68" t="str">
        <f>_xll.TR($D38,AF$7,"Curn=#2 Scale=6 Transpose=Y Null=BLANK",,$Q38,$H$6)</f>
        <v>No universe defined.</v>
      </c>
      <c r="AG38" s="68"/>
      <c r="AH38" s="68"/>
      <c r="AI38" s="69"/>
      <c r="AJ38" s="69"/>
      <c r="AK38" s="69"/>
      <c r="AL38" s="69"/>
      <c r="AM38" s="69"/>
      <c r="AN38" s="70"/>
      <c r="AO38" s="70"/>
      <c r="AP38" s="70"/>
      <c r="AQ38" s="70"/>
      <c r="AR38" s="70"/>
      <c r="AS38" s="70"/>
      <c r="AT38" s="71" t="str">
        <f t="shared" si="1"/>
        <v/>
      </c>
      <c r="AU38" s="40"/>
      <c r="AV38" s="40"/>
      <c r="AW38" s="40"/>
      <c r="AX38" s="40"/>
      <c r="AY38" s="40"/>
      <c r="AZ38" s="40"/>
      <c r="BA38" s="40"/>
      <c r="BB38" s="40"/>
      <c r="BC38" s="80"/>
      <c r="BD38" s="80"/>
      <c r="BE38" s="80"/>
      <c r="BF38" s="40"/>
      <c r="BG38" s="40"/>
      <c r="BH38" s="40"/>
      <c r="BI38" s="80"/>
      <c r="BJ38" s="80"/>
      <c r="BK38" s="80"/>
      <c r="BL38" s="40"/>
      <c r="BM38" s="40"/>
      <c r="BN38" s="40"/>
      <c r="BO38" s="40"/>
      <c r="BP38" s="79"/>
      <c r="BQ38" s="79"/>
      <c r="BR38" s="79"/>
      <c r="BS38" s="79"/>
      <c r="BT38" s="40"/>
      <c r="BU38" s="40"/>
      <c r="BV38" s="40"/>
      <c r="BW38" s="40"/>
      <c r="BX38" s="40"/>
      <c r="BY38" s="40"/>
      <c r="BZ38" s="40"/>
      <c r="CA38" s="40"/>
      <c r="CD38" s="93"/>
      <c r="CM38" s="23"/>
      <c r="CN38" s="25"/>
      <c r="CO38" s="25"/>
      <c r="CP38" s="25"/>
      <c r="CQ38" s="23"/>
      <c r="CR38" s="23"/>
      <c r="CS38" s="23"/>
      <c r="CT38" s="23"/>
    </row>
    <row r="39" spans="2:98">
      <c r="B39" s="23"/>
      <c r="C39" s="112"/>
      <c r="D39" s="32" t="str">
        <f t="shared" si="2"/>
        <v/>
      </c>
      <c r="E39" s="32"/>
      <c r="F39" s="66"/>
      <c r="G39" s="32"/>
      <c r="H39" s="79"/>
      <c r="I39" s="40"/>
      <c r="J39" s="40"/>
      <c r="K39" s="40"/>
      <c r="L39" s="40"/>
      <c r="M39" s="40"/>
      <c r="N39" s="67"/>
      <c r="O39" s="40"/>
      <c r="P39" s="40"/>
      <c r="Q39" s="40" t="str">
        <f t="shared" si="0"/>
        <v/>
      </c>
      <c r="R39" s="67" t="str">
        <f>IF(D39="","",_xll.TR($D39,R$7,"Curn=#2 scale=6",,$F39,$H$6))</f>
        <v/>
      </c>
      <c r="S39" s="68"/>
      <c r="T39" s="68" t="str">
        <f>_xll.TR(D39,T$7,"Curn=#2 Scale=6 Transpose=Y Null=BLANK",,$Q39,$H$6)</f>
        <v>No universe defined.</v>
      </c>
      <c r="U39" s="68"/>
      <c r="V39" s="68"/>
      <c r="W39" s="68"/>
      <c r="X39" s="68" t="str">
        <f>_xll.TR($D39,X$7,"Curn=#2 Scale=6 Transpose=Y Null=BLANK",,$Q39,$H$6)</f>
        <v>No universe defined.</v>
      </c>
      <c r="Y39" s="68"/>
      <c r="Z39" s="68"/>
      <c r="AA39" s="68"/>
      <c r="AB39" s="68" t="str">
        <f>_xll.TR($D39,AB$7,"Curn=#2 Scale=6 Period=FY1:FY3 Transpose=Y Null=BLANK",,$Q39,$H$6)</f>
        <v>No universe defined.</v>
      </c>
      <c r="AC39" s="68"/>
      <c r="AD39" s="68"/>
      <c r="AE39" s="68"/>
      <c r="AF39" s="68" t="str">
        <f>_xll.TR($D39,AF$7,"Curn=#2 Scale=6 Transpose=Y Null=BLANK",,$Q39,$H$6)</f>
        <v>No universe defined.</v>
      </c>
      <c r="AG39" s="68"/>
      <c r="AH39" s="68"/>
      <c r="AI39" s="69"/>
      <c r="AJ39" s="69"/>
      <c r="AK39" s="69"/>
      <c r="AL39" s="69"/>
      <c r="AM39" s="69"/>
      <c r="AN39" s="70"/>
      <c r="AO39" s="70"/>
      <c r="AP39" s="70"/>
      <c r="AQ39" s="70"/>
      <c r="AR39" s="70"/>
      <c r="AS39" s="70"/>
      <c r="AT39" s="71" t="str">
        <f t="shared" si="1"/>
        <v/>
      </c>
      <c r="AU39" s="40"/>
      <c r="AV39" s="40"/>
      <c r="AW39" s="40"/>
      <c r="AX39" s="40"/>
      <c r="AY39" s="40"/>
      <c r="AZ39" s="40"/>
      <c r="BA39" s="40"/>
      <c r="BB39" s="40"/>
      <c r="BC39" s="80"/>
      <c r="BD39" s="80"/>
      <c r="BE39" s="80"/>
      <c r="BF39" s="40"/>
      <c r="BG39" s="40"/>
      <c r="BH39" s="40"/>
      <c r="BI39" s="80"/>
      <c r="BJ39" s="80"/>
      <c r="BK39" s="80"/>
      <c r="BL39" s="40"/>
      <c r="BM39" s="40"/>
      <c r="BN39" s="40"/>
      <c r="BO39" s="40"/>
      <c r="BP39" s="79"/>
      <c r="BQ39" s="79"/>
      <c r="BR39" s="79"/>
      <c r="BS39" s="79"/>
      <c r="BT39" s="40"/>
      <c r="BU39" s="40"/>
      <c r="BV39" s="40"/>
      <c r="BW39" s="40"/>
      <c r="BX39" s="40"/>
      <c r="BY39" s="40"/>
      <c r="BZ39" s="40"/>
      <c r="CA39" s="40"/>
      <c r="CD39" s="93"/>
      <c r="CM39" s="23"/>
      <c r="CN39" s="25"/>
      <c r="CO39" s="25"/>
      <c r="CP39" s="25"/>
      <c r="CQ39" s="23"/>
      <c r="CR39" s="23"/>
      <c r="CS39" s="23"/>
      <c r="CT39" s="23"/>
    </row>
    <row r="40" spans="2:98">
      <c r="B40" s="23"/>
      <c r="C40" s="112"/>
      <c r="D40" s="32" t="str">
        <f t="shared" si="2"/>
        <v/>
      </c>
      <c r="E40" s="32"/>
      <c r="F40" s="66"/>
      <c r="G40" s="32"/>
      <c r="H40" s="79"/>
      <c r="I40" s="40"/>
      <c r="J40" s="40"/>
      <c r="K40" s="40"/>
      <c r="L40" s="40"/>
      <c r="M40" s="40"/>
      <c r="N40" s="67"/>
      <c r="O40" s="40"/>
      <c r="P40" s="40"/>
      <c r="Q40" s="40" t="str">
        <f t="shared" si="0"/>
        <v/>
      </c>
      <c r="R40" s="67" t="str">
        <f>IF(D40="","",_xll.TR($D40,R$7,"Curn=#2 scale=6",,$F40,$H$6))</f>
        <v/>
      </c>
      <c r="S40" s="68"/>
      <c r="T40" s="68" t="str">
        <f>_xll.TR(D40,T$7,"Curn=#2 Scale=6 Transpose=Y Null=BLANK",,$Q40,$H$6)</f>
        <v>No universe defined.</v>
      </c>
      <c r="U40" s="68"/>
      <c r="V40" s="68"/>
      <c r="W40" s="68"/>
      <c r="X40" s="68" t="str">
        <f>_xll.TR($D40,X$7,"Curn=#2 Scale=6 Transpose=Y Null=BLANK",,$Q40,$H$6)</f>
        <v>No universe defined.</v>
      </c>
      <c r="Y40" s="68"/>
      <c r="Z40" s="68"/>
      <c r="AA40" s="68"/>
      <c r="AB40" s="68" t="str">
        <f>_xll.TR($D40,AB$7,"Curn=#2 Scale=6 Period=FY1:FY3 Transpose=Y Null=BLANK",,$Q40,$H$6)</f>
        <v>No universe defined.</v>
      </c>
      <c r="AC40" s="68"/>
      <c r="AD40" s="68"/>
      <c r="AE40" s="68"/>
      <c r="AF40" s="68" t="str">
        <f>_xll.TR($D40,AF$7,"Curn=#2 Scale=6 Transpose=Y Null=BLANK",,$Q40,$H$6)</f>
        <v>No universe defined.</v>
      </c>
      <c r="AG40" s="68"/>
      <c r="AH40" s="68"/>
      <c r="AI40" s="69"/>
      <c r="AJ40" s="69"/>
      <c r="AK40" s="69"/>
      <c r="AL40" s="69"/>
      <c r="AM40" s="69"/>
      <c r="AN40" s="70"/>
      <c r="AO40" s="70"/>
      <c r="AP40" s="70"/>
      <c r="AQ40" s="70"/>
      <c r="AR40" s="70"/>
      <c r="AS40" s="70"/>
      <c r="AT40" s="71" t="str">
        <f t="shared" si="1"/>
        <v/>
      </c>
      <c r="AU40" s="40"/>
      <c r="AV40" s="40"/>
      <c r="AW40" s="40"/>
      <c r="AX40" s="40"/>
      <c r="AY40" s="40"/>
      <c r="AZ40" s="40"/>
      <c r="BA40" s="40"/>
      <c r="BB40" s="40"/>
      <c r="BC40" s="80"/>
      <c r="BD40" s="80"/>
      <c r="BE40" s="80"/>
      <c r="BF40" s="40"/>
      <c r="BG40" s="40"/>
      <c r="BH40" s="40"/>
      <c r="BI40" s="80"/>
      <c r="BJ40" s="80"/>
      <c r="BK40" s="80"/>
      <c r="BL40" s="40"/>
      <c r="BM40" s="40"/>
      <c r="BN40" s="40"/>
      <c r="BO40" s="40"/>
      <c r="BP40" s="79"/>
      <c r="BQ40" s="79"/>
      <c r="BR40" s="79"/>
      <c r="BS40" s="79"/>
      <c r="BT40" s="40"/>
      <c r="BU40" s="40"/>
      <c r="BV40" s="40"/>
      <c r="BW40" s="40"/>
      <c r="BX40" s="40"/>
      <c r="BY40" s="40"/>
      <c r="BZ40" s="40"/>
      <c r="CA40" s="40"/>
      <c r="CD40" s="93"/>
      <c r="CM40" s="23"/>
      <c r="CN40" s="25"/>
      <c r="CO40" s="25"/>
      <c r="CP40" s="25"/>
      <c r="CQ40" s="23"/>
      <c r="CR40" s="23"/>
      <c r="CS40" s="23"/>
      <c r="CT40" s="23"/>
    </row>
    <row r="41" spans="2:98">
      <c r="B41" s="23"/>
      <c r="C41" s="112"/>
      <c r="D41" s="32" t="str">
        <f t="shared" si="2"/>
        <v/>
      </c>
      <c r="E41" s="32"/>
      <c r="F41" s="66"/>
      <c r="G41" s="32"/>
      <c r="H41" s="79"/>
      <c r="I41" s="40"/>
      <c r="J41" s="40"/>
      <c r="K41" s="40"/>
      <c r="L41" s="40"/>
      <c r="M41" s="40"/>
      <c r="N41" s="67"/>
      <c r="O41" s="40"/>
      <c r="P41" s="40"/>
      <c r="Q41" s="40" t="str">
        <f t="shared" si="0"/>
        <v/>
      </c>
      <c r="R41" s="67" t="str">
        <f>IF(D41="","",_xll.TR($D41,R$7,"Curn=#2 scale=6",,$F41,$H$6))</f>
        <v/>
      </c>
      <c r="S41" s="68"/>
      <c r="T41" s="68" t="str">
        <f>_xll.TR(D41,T$7,"Curn=#2 Scale=6 Transpose=Y Null=BLANK",,$Q41,$H$6)</f>
        <v>No universe defined.</v>
      </c>
      <c r="U41" s="68"/>
      <c r="V41" s="68"/>
      <c r="W41" s="68"/>
      <c r="X41" s="68" t="str">
        <f>_xll.TR($D41,X$7,"Curn=#2 Scale=6 Transpose=Y Null=BLANK",,$Q41,$H$6)</f>
        <v>No universe defined.</v>
      </c>
      <c r="Y41" s="68"/>
      <c r="Z41" s="68"/>
      <c r="AA41" s="68"/>
      <c r="AB41" s="68" t="str">
        <f>_xll.TR($D41,AB$7,"Curn=#2 Scale=6 Period=FY1:FY3 Transpose=Y Null=BLANK",,$Q41,$H$6)</f>
        <v>No universe defined.</v>
      </c>
      <c r="AC41" s="68"/>
      <c r="AD41" s="68"/>
      <c r="AE41" s="68"/>
      <c r="AF41" s="68" t="str">
        <f>_xll.TR($D41,AF$7,"Curn=#2 Scale=6 Transpose=Y Null=BLANK",,$Q41,$H$6)</f>
        <v>No universe defined.</v>
      </c>
      <c r="AG41" s="68"/>
      <c r="AH41" s="68"/>
      <c r="AI41" s="69"/>
      <c r="AJ41" s="69"/>
      <c r="AK41" s="69"/>
      <c r="AL41" s="69"/>
      <c r="AM41" s="69"/>
      <c r="AN41" s="70"/>
      <c r="AO41" s="70"/>
      <c r="AP41" s="70"/>
      <c r="AQ41" s="70"/>
      <c r="AR41" s="70"/>
      <c r="AS41" s="70"/>
      <c r="AT41" s="71" t="str">
        <f t="shared" si="1"/>
        <v/>
      </c>
      <c r="AU41" s="40"/>
      <c r="AV41" s="40"/>
      <c r="AW41" s="40"/>
      <c r="AX41" s="40"/>
      <c r="AY41" s="40"/>
      <c r="AZ41" s="40"/>
      <c r="BA41" s="40"/>
      <c r="BB41" s="40"/>
      <c r="BC41" s="80"/>
      <c r="BD41" s="80"/>
      <c r="BE41" s="80"/>
      <c r="BF41" s="40"/>
      <c r="BG41" s="40"/>
      <c r="BH41" s="40"/>
      <c r="BI41" s="80"/>
      <c r="BJ41" s="80"/>
      <c r="BK41" s="80"/>
      <c r="BL41" s="40"/>
      <c r="BM41" s="40"/>
      <c r="BN41" s="40"/>
      <c r="BO41" s="40"/>
      <c r="BP41" s="79"/>
      <c r="BQ41" s="79"/>
      <c r="BR41" s="79"/>
      <c r="BS41" s="79"/>
      <c r="BT41" s="40"/>
      <c r="BU41" s="40"/>
      <c r="BV41" s="40"/>
      <c r="BW41" s="40"/>
      <c r="BX41" s="40"/>
      <c r="BY41" s="40"/>
      <c r="BZ41" s="40"/>
      <c r="CA41" s="40"/>
      <c r="CD41" s="93"/>
      <c r="CM41" s="23"/>
      <c r="CN41" s="25"/>
      <c r="CO41" s="25"/>
      <c r="CP41" s="25"/>
      <c r="CQ41" s="23"/>
      <c r="CR41" s="23"/>
      <c r="CS41" s="23"/>
      <c r="CT41" s="23"/>
    </row>
    <row r="42" spans="2:98">
      <c r="B42" s="23"/>
      <c r="C42" s="112"/>
      <c r="D42" s="32" t="str">
        <f t="shared" si="2"/>
        <v/>
      </c>
      <c r="E42" s="32"/>
      <c r="F42" s="66"/>
      <c r="G42" s="32"/>
      <c r="H42" s="79"/>
      <c r="I42" s="40"/>
      <c r="J42" s="40"/>
      <c r="K42" s="40"/>
      <c r="L42" s="40"/>
      <c r="M42" s="40"/>
      <c r="N42" s="67"/>
      <c r="O42" s="40"/>
      <c r="P42" s="40"/>
      <c r="Q42" s="40" t="str">
        <f t="shared" si="0"/>
        <v/>
      </c>
      <c r="R42" s="67" t="str">
        <f>IF(D42="","",_xll.TR($D42,R$7,"Curn=#2 scale=6",,$F42,$H$6))</f>
        <v/>
      </c>
      <c r="S42" s="68"/>
      <c r="T42" s="68" t="str">
        <f>_xll.TR(D42,T$7,"Curn=#2 Scale=6 Transpose=Y Null=BLANK",,$Q42,$H$6)</f>
        <v>No universe defined.</v>
      </c>
      <c r="U42" s="68"/>
      <c r="V42" s="68"/>
      <c r="W42" s="68"/>
      <c r="X42" s="68" t="str">
        <f>_xll.TR($D42,X$7,"Curn=#2 Scale=6 Transpose=Y Null=BLANK",,$Q42,$H$6)</f>
        <v>No universe defined.</v>
      </c>
      <c r="Y42" s="68"/>
      <c r="Z42" s="68"/>
      <c r="AA42" s="68"/>
      <c r="AB42" s="68" t="str">
        <f>_xll.TR($D42,AB$7,"Curn=#2 Scale=6 Period=FY1:FY3 Transpose=Y Null=BLANK",,$Q42,$H$6)</f>
        <v>No universe defined.</v>
      </c>
      <c r="AC42" s="68"/>
      <c r="AD42" s="68"/>
      <c r="AE42" s="68"/>
      <c r="AF42" s="68" t="str">
        <f>_xll.TR($D42,AF$7,"Curn=#2 Scale=6 Transpose=Y Null=BLANK",,$Q42,$H$6)</f>
        <v>No universe defined.</v>
      </c>
      <c r="AG42" s="68"/>
      <c r="AH42" s="68"/>
      <c r="AI42" s="69"/>
      <c r="AJ42" s="69"/>
      <c r="AK42" s="69"/>
      <c r="AL42" s="69"/>
      <c r="AM42" s="69"/>
      <c r="AN42" s="70"/>
      <c r="AO42" s="70"/>
      <c r="AP42" s="70"/>
      <c r="AQ42" s="70"/>
      <c r="AR42" s="70"/>
      <c r="AS42" s="70"/>
      <c r="AT42" s="71" t="str">
        <f t="shared" si="1"/>
        <v/>
      </c>
      <c r="AU42" s="40"/>
      <c r="AV42" s="40"/>
      <c r="AW42" s="40"/>
      <c r="AX42" s="40"/>
      <c r="AY42" s="40"/>
      <c r="AZ42" s="40"/>
      <c r="BA42" s="40"/>
      <c r="BB42" s="40"/>
      <c r="BC42" s="80"/>
      <c r="BD42" s="80"/>
      <c r="BE42" s="80"/>
      <c r="BF42" s="40"/>
      <c r="BG42" s="40"/>
      <c r="BH42" s="40"/>
      <c r="BI42" s="80"/>
      <c r="BJ42" s="80"/>
      <c r="BK42" s="80"/>
      <c r="BL42" s="40"/>
      <c r="BM42" s="40"/>
      <c r="BN42" s="40"/>
      <c r="BO42" s="40"/>
      <c r="BP42" s="79"/>
      <c r="BQ42" s="79"/>
      <c r="BR42" s="79"/>
      <c r="BS42" s="79"/>
      <c r="BT42" s="40"/>
      <c r="BU42" s="40"/>
      <c r="BV42" s="40"/>
      <c r="BW42" s="40"/>
      <c r="BX42" s="40"/>
      <c r="BY42" s="40"/>
      <c r="BZ42" s="40"/>
      <c r="CA42" s="40"/>
      <c r="CD42" s="93"/>
      <c r="CM42" s="23"/>
      <c r="CN42" s="25"/>
      <c r="CO42" s="25"/>
      <c r="CP42" s="25"/>
      <c r="CQ42" s="23"/>
      <c r="CR42" s="23"/>
      <c r="CS42" s="23"/>
      <c r="CT42" s="23"/>
    </row>
    <row r="43" spans="2:98">
      <c r="B43" s="23"/>
      <c r="C43" s="112"/>
      <c r="D43" s="32" t="str">
        <f t="shared" si="2"/>
        <v/>
      </c>
      <c r="E43" s="32"/>
      <c r="F43" s="66"/>
      <c r="G43" s="32"/>
      <c r="H43" s="79"/>
      <c r="I43" s="40"/>
      <c r="J43" s="40"/>
      <c r="K43" s="40"/>
      <c r="L43" s="40"/>
      <c r="M43" s="40"/>
      <c r="N43" s="67"/>
      <c r="O43" s="40"/>
      <c r="P43" s="40"/>
      <c r="Q43" s="40" t="str">
        <f t="shared" si="0"/>
        <v/>
      </c>
      <c r="R43" s="67" t="str">
        <f>IF(D43="","",_xll.TR($D43,R$7,"Curn=#2 scale=6",,$F43,$H$6))</f>
        <v/>
      </c>
      <c r="S43" s="68"/>
      <c r="T43" s="68" t="str">
        <f>_xll.TR(D43,T$7,"Curn=#2 Scale=6 Transpose=Y Null=BLANK",,$Q43,$H$6)</f>
        <v>No universe defined.</v>
      </c>
      <c r="U43" s="68"/>
      <c r="V43" s="68"/>
      <c r="W43" s="68"/>
      <c r="X43" s="68" t="str">
        <f>_xll.TR($D43,X$7,"Curn=#2 Scale=6 Transpose=Y Null=BLANK",,$Q43,$H$6)</f>
        <v>No universe defined.</v>
      </c>
      <c r="Y43" s="68"/>
      <c r="Z43" s="68"/>
      <c r="AA43" s="68"/>
      <c r="AB43" s="68" t="str">
        <f>_xll.TR($D43,AB$7,"Curn=#2 Scale=6 Period=FY1:FY3 Transpose=Y Null=BLANK",,$Q43,$H$6)</f>
        <v>No universe defined.</v>
      </c>
      <c r="AC43" s="68"/>
      <c r="AD43" s="68"/>
      <c r="AE43" s="68"/>
      <c r="AF43" s="68" t="str">
        <f>_xll.TR($D43,AF$7,"Curn=#2 Scale=6 Transpose=Y Null=BLANK",,$Q43,$H$6)</f>
        <v>No universe defined.</v>
      </c>
      <c r="AG43" s="68"/>
      <c r="AH43" s="68"/>
      <c r="AI43" s="69"/>
      <c r="AJ43" s="69"/>
      <c r="AK43" s="69"/>
      <c r="AL43" s="69"/>
      <c r="AM43" s="69"/>
      <c r="AN43" s="70"/>
      <c r="AO43" s="70"/>
      <c r="AP43" s="70"/>
      <c r="AQ43" s="70"/>
      <c r="AR43" s="70"/>
      <c r="AS43" s="70"/>
      <c r="AT43" s="71" t="str">
        <f t="shared" si="1"/>
        <v/>
      </c>
      <c r="AU43" s="40"/>
      <c r="AV43" s="40"/>
      <c r="AW43" s="40"/>
      <c r="AX43" s="40"/>
      <c r="AY43" s="40"/>
      <c r="AZ43" s="40"/>
      <c r="BA43" s="40"/>
      <c r="BB43" s="40"/>
      <c r="BC43" s="80"/>
      <c r="BD43" s="80"/>
      <c r="BE43" s="80"/>
      <c r="BF43" s="40"/>
      <c r="BG43" s="40"/>
      <c r="BH43" s="40"/>
      <c r="BI43" s="80"/>
      <c r="BJ43" s="80"/>
      <c r="BK43" s="80"/>
      <c r="BL43" s="40"/>
      <c r="BM43" s="40"/>
      <c r="BN43" s="40"/>
      <c r="BO43" s="40"/>
      <c r="BP43" s="79"/>
      <c r="BQ43" s="79"/>
      <c r="BR43" s="79"/>
      <c r="BS43" s="79"/>
      <c r="BT43" s="40"/>
      <c r="BU43" s="40"/>
      <c r="BV43" s="40"/>
      <c r="BW43" s="40"/>
      <c r="BX43" s="40"/>
      <c r="BY43" s="40"/>
      <c r="BZ43" s="40"/>
      <c r="CA43" s="40"/>
      <c r="CD43" s="93"/>
      <c r="CM43" s="23"/>
      <c r="CN43" s="25"/>
      <c r="CO43" s="25"/>
      <c r="CP43" s="25"/>
      <c r="CQ43" s="23"/>
      <c r="CR43" s="23"/>
      <c r="CS43" s="23"/>
      <c r="CT43" s="23"/>
    </row>
    <row r="44" spans="2:98">
      <c r="B44" s="23"/>
      <c r="C44" s="112"/>
      <c r="D44" s="32" t="str">
        <f t="shared" si="2"/>
        <v/>
      </c>
      <c r="E44" s="32"/>
      <c r="F44" s="66"/>
      <c r="G44" s="32"/>
      <c r="H44" s="79"/>
      <c r="I44" s="40"/>
      <c r="J44" s="40"/>
      <c r="K44" s="40"/>
      <c r="L44" s="40"/>
      <c r="M44" s="40"/>
      <c r="N44" s="67"/>
      <c r="O44" s="40"/>
      <c r="P44" s="40"/>
      <c r="Q44" s="40" t="str">
        <f t="shared" si="0"/>
        <v/>
      </c>
      <c r="R44" s="67" t="str">
        <f>IF(D44="","",_xll.TR($D44,R$7,"Curn=#2 scale=6",,$F44,$H$6))</f>
        <v/>
      </c>
      <c r="S44" s="68"/>
      <c r="T44" s="68" t="str">
        <f>_xll.TR(D44,T$7,"Curn=#2 Scale=6 Transpose=Y Null=BLANK",,$Q44,$H$6)</f>
        <v>No universe defined.</v>
      </c>
      <c r="U44" s="68"/>
      <c r="V44" s="68"/>
      <c r="W44" s="68"/>
      <c r="X44" s="68" t="str">
        <f>_xll.TR($D44,X$7,"Curn=#2 Scale=6 Transpose=Y Null=BLANK",,$Q44,$H$6)</f>
        <v>No universe defined.</v>
      </c>
      <c r="Y44" s="68" t="str">
        <f>IF($D44="","",IFERROR($Q44/_xll.TR($D44,Y$7,"Curn=#1 Scale=6 Null=BLANK",,$H$6),"-"))</f>
        <v/>
      </c>
      <c r="Z44" s="68" t="str">
        <f>IF($D44="","",IFERROR($Q44/_xll.TR($D44,Z$7,"Curn=#1 Scale=6 Null=BLANK",,$H$6),"-"))</f>
        <v/>
      </c>
      <c r="AA44" s="68"/>
      <c r="AB44" s="68" t="str">
        <f>_xll.TR($D44,AB$7,"Curn=#2 Scale=6 Period=FY1:FY3 Transpose=Y Null=BLANK",,$Q44,$H$6)</f>
        <v>No universe defined.</v>
      </c>
      <c r="AC44" s="68"/>
      <c r="AD44" s="68"/>
      <c r="AE44" s="68"/>
      <c r="AF44" s="68" t="str">
        <f>_xll.TR($D44,AF$7,"Curn=#2 Scale=6 Transpose=Y Null=BLANK",,$Q44,$H$6)</f>
        <v>No universe defined.</v>
      </c>
      <c r="AG44" s="68"/>
      <c r="AH44" s="68"/>
      <c r="AI44" s="69"/>
      <c r="AJ44" s="69"/>
      <c r="AK44" s="69"/>
      <c r="AL44" s="69"/>
      <c r="AM44" s="69"/>
      <c r="AN44" s="70"/>
      <c r="AO44" s="70"/>
      <c r="AP44" s="70"/>
      <c r="AQ44" s="70"/>
      <c r="AR44" s="70"/>
      <c r="AS44" s="70"/>
      <c r="AT44" s="71" t="str">
        <f t="shared" si="1"/>
        <v/>
      </c>
      <c r="AU44" s="40"/>
      <c r="AV44" s="40"/>
      <c r="AW44" s="40"/>
      <c r="AX44" s="40"/>
      <c r="AY44" s="40"/>
      <c r="AZ44" s="40"/>
      <c r="BA44" s="40"/>
      <c r="BB44" s="40"/>
      <c r="BC44" s="80"/>
      <c r="BD44" s="80"/>
      <c r="BE44" s="80"/>
      <c r="BF44" s="40"/>
      <c r="BG44" s="40"/>
      <c r="BH44" s="40"/>
      <c r="BI44" s="80"/>
      <c r="BJ44" s="80"/>
      <c r="BK44" s="80"/>
      <c r="BL44" s="40"/>
      <c r="BM44" s="40"/>
      <c r="BN44" s="40"/>
      <c r="BO44" s="40"/>
      <c r="BP44" s="79"/>
      <c r="BQ44" s="79"/>
      <c r="BR44" s="79"/>
      <c r="BS44" s="79"/>
      <c r="BT44" s="40"/>
      <c r="BU44" s="40"/>
      <c r="BV44" s="40"/>
      <c r="BW44" s="40"/>
      <c r="BX44" s="40"/>
      <c r="BY44" s="40"/>
      <c r="BZ44" s="40"/>
      <c r="CA44" s="40"/>
      <c r="CD44" s="93"/>
      <c r="CM44" s="23"/>
      <c r="CN44" s="25"/>
      <c r="CO44" s="25"/>
      <c r="CP44" s="25"/>
      <c r="CQ44" s="23"/>
      <c r="CR44" s="23"/>
      <c r="CS44" s="23"/>
      <c r="CT44" s="23"/>
    </row>
    <row r="45" spans="2:98">
      <c r="B45" s="23"/>
      <c r="C45" s="112"/>
      <c r="D45" s="32" t="str">
        <f t="shared" si="2"/>
        <v/>
      </c>
      <c r="E45" s="32"/>
      <c r="F45" s="66"/>
      <c r="G45" s="32"/>
      <c r="H45" s="79"/>
      <c r="I45" s="40"/>
      <c r="J45" s="40"/>
      <c r="K45" s="40"/>
      <c r="L45" s="40"/>
      <c r="M45" s="40"/>
      <c r="N45" s="67"/>
      <c r="O45" s="40"/>
      <c r="P45" s="40"/>
      <c r="Q45" s="40" t="str">
        <f t="shared" si="0"/>
        <v/>
      </c>
      <c r="R45" s="67" t="str">
        <f>IF(D45="","",_xll.TR($D45,R$7,"Curn=#2 scale=6",,$F45,$H$6))</f>
        <v/>
      </c>
      <c r="S45" s="68"/>
      <c r="T45" s="68" t="str">
        <f>_xll.TR(D45,T$7,"Curn=#2 Scale=6 Transpose=Y Null=BLANK",,$Q45,$H$6)</f>
        <v>No universe defined.</v>
      </c>
      <c r="U45" s="68"/>
      <c r="V45" s="68"/>
      <c r="W45" s="68"/>
      <c r="X45" s="68" t="str">
        <f>_xll.TR($D45,X$7,"Curn=#2 Scale=6 Transpose=Y Null=BLANK",,$Q45,$H$6)</f>
        <v>No universe defined.</v>
      </c>
      <c r="Y45" s="68"/>
      <c r="Z45" s="68"/>
      <c r="AA45" s="68"/>
      <c r="AB45" s="68" t="str">
        <f>_xll.TR($D45,AB$7,"Curn=#2 Scale=6 Period=FY1:FY3 Transpose=Y Null=BLANK",,$Q45,$H$6)</f>
        <v>No universe defined.</v>
      </c>
      <c r="AC45" s="68"/>
      <c r="AD45" s="68"/>
      <c r="AE45" s="68"/>
      <c r="AF45" s="68" t="str">
        <f>_xll.TR($D45,AF$7,"Curn=#2 Scale=6 Transpose=Y Null=BLANK",,$Q45,$H$6)</f>
        <v>No universe defined.</v>
      </c>
      <c r="AG45" s="68"/>
      <c r="AH45" s="68"/>
      <c r="AI45" s="69"/>
      <c r="AJ45" s="69"/>
      <c r="AK45" s="69"/>
      <c r="AL45" s="69"/>
      <c r="AM45" s="69"/>
      <c r="AN45" s="70"/>
      <c r="AO45" s="70"/>
      <c r="AP45" s="70"/>
      <c r="AQ45" s="70"/>
      <c r="AR45" s="70"/>
      <c r="AS45" s="70"/>
      <c r="AT45" s="71" t="str">
        <f t="shared" si="1"/>
        <v/>
      </c>
      <c r="AU45" s="40"/>
      <c r="AV45" s="40"/>
      <c r="AW45" s="40"/>
      <c r="AX45" s="40"/>
      <c r="AY45" s="40"/>
      <c r="AZ45" s="40"/>
      <c r="BA45" s="40"/>
      <c r="BB45" s="40"/>
      <c r="BC45" s="80"/>
      <c r="BD45" s="80"/>
      <c r="BE45" s="80"/>
      <c r="BF45" s="40"/>
      <c r="BG45" s="40"/>
      <c r="BH45" s="40"/>
      <c r="BI45" s="80"/>
      <c r="BJ45" s="80"/>
      <c r="BK45" s="80"/>
      <c r="BL45" s="40"/>
      <c r="BM45" s="40"/>
      <c r="BN45" s="40"/>
      <c r="BO45" s="40"/>
      <c r="BP45" s="79"/>
      <c r="BQ45" s="79"/>
      <c r="BR45" s="79"/>
      <c r="BS45" s="79"/>
      <c r="BT45" s="40"/>
      <c r="BU45" s="40"/>
      <c r="BV45" s="40"/>
      <c r="BW45" s="40"/>
      <c r="BX45" s="40"/>
      <c r="BY45" s="40"/>
      <c r="BZ45" s="40"/>
      <c r="CA45" s="40"/>
      <c r="CD45" s="93"/>
      <c r="CM45" s="23"/>
      <c r="CN45" s="25"/>
      <c r="CO45" s="25"/>
      <c r="CP45" s="25"/>
      <c r="CQ45" s="23"/>
      <c r="CR45" s="23"/>
      <c r="CS45" s="23"/>
      <c r="CT45" s="23"/>
    </row>
    <row r="46" spans="2:98">
      <c r="B46" s="23"/>
      <c r="C46" s="112"/>
      <c r="D46" s="32" t="str">
        <f t="shared" si="2"/>
        <v/>
      </c>
      <c r="E46" s="32"/>
      <c r="F46" s="66"/>
      <c r="G46" s="32"/>
      <c r="H46" s="79"/>
      <c r="I46" s="40"/>
      <c r="J46" s="40"/>
      <c r="K46" s="40"/>
      <c r="L46" s="40"/>
      <c r="M46" s="40"/>
      <c r="N46" s="67"/>
      <c r="O46" s="40"/>
      <c r="P46" s="40"/>
      <c r="Q46" s="40" t="str">
        <f t="shared" si="0"/>
        <v/>
      </c>
      <c r="R46" s="67" t="str">
        <f>IF(D46="","",_xll.TR($D46,R$7,"Curn=#2 scale=6",,$F46,$H$6))</f>
        <v/>
      </c>
      <c r="S46" s="68"/>
      <c r="T46" s="68" t="str">
        <f>_xll.TR(D46,T$7,"Curn=#2 Scale=6 Transpose=Y Null=BLANK",,$Q46,$H$6)</f>
        <v>No universe defined.</v>
      </c>
      <c r="U46" s="68"/>
      <c r="V46" s="68"/>
      <c r="W46" s="68"/>
      <c r="X46" s="68" t="str">
        <f>_xll.TR($D46,X$7,"Curn=#2 Scale=6 Transpose=Y Null=BLANK",,$Q46,$H$6)</f>
        <v>No universe defined.</v>
      </c>
      <c r="Y46" s="68"/>
      <c r="Z46" s="68"/>
      <c r="AA46" s="68"/>
      <c r="AB46" s="68" t="str">
        <f>_xll.TR($D46,AB$7,"Curn=#2 Scale=6 Period=FY1:FY3 Transpose=Y Null=BLANK",,$Q46,$H$6)</f>
        <v>No universe defined.</v>
      </c>
      <c r="AC46" s="68"/>
      <c r="AD46" s="68"/>
      <c r="AE46" s="68"/>
      <c r="AF46" s="68" t="str">
        <f>_xll.TR($D46,AF$7,"Curn=#2 Scale=6 Transpose=Y Null=BLANK",,$Q46,$H$6)</f>
        <v>No universe defined.</v>
      </c>
      <c r="AG46" s="68"/>
      <c r="AH46" s="68"/>
      <c r="AI46" s="69"/>
      <c r="AJ46" s="69"/>
      <c r="AK46" s="69"/>
      <c r="AL46" s="69"/>
      <c r="AM46" s="69"/>
      <c r="AN46" s="70"/>
      <c r="AO46" s="70"/>
      <c r="AP46" s="70"/>
      <c r="AQ46" s="70"/>
      <c r="AR46" s="70"/>
      <c r="AS46" s="70"/>
      <c r="AT46" s="71" t="str">
        <f t="shared" si="1"/>
        <v/>
      </c>
      <c r="AU46" s="40"/>
      <c r="AV46" s="40"/>
      <c r="AW46" s="40"/>
      <c r="AX46" s="40"/>
      <c r="AY46" s="40"/>
      <c r="AZ46" s="40"/>
      <c r="BA46" s="40"/>
      <c r="BB46" s="40"/>
      <c r="BC46" s="80"/>
      <c r="BD46" s="80"/>
      <c r="BE46" s="80"/>
      <c r="BF46" s="40"/>
      <c r="BG46" s="40"/>
      <c r="BH46" s="40"/>
      <c r="BI46" s="80"/>
      <c r="BJ46" s="80"/>
      <c r="BK46" s="80"/>
      <c r="BL46" s="40"/>
      <c r="BM46" s="40"/>
      <c r="BN46" s="40"/>
      <c r="BO46" s="40"/>
      <c r="BP46" s="79"/>
      <c r="BQ46" s="79"/>
      <c r="BR46" s="79"/>
      <c r="BS46" s="79"/>
      <c r="BT46" s="40"/>
      <c r="BU46" s="40"/>
      <c r="BV46" s="40"/>
      <c r="BW46" s="40"/>
      <c r="BX46" s="40"/>
      <c r="BY46" s="40"/>
      <c r="BZ46" s="40"/>
      <c r="CA46" s="40"/>
      <c r="CD46" s="93"/>
      <c r="CM46" s="23"/>
      <c r="CN46" s="25"/>
      <c r="CO46" s="25"/>
      <c r="CP46" s="25"/>
      <c r="CQ46" s="23"/>
      <c r="CR46" s="23"/>
      <c r="CS46" s="23"/>
      <c r="CT46" s="23"/>
    </row>
    <row r="47" spans="2:98">
      <c r="B47" s="23"/>
      <c r="C47" s="112"/>
      <c r="D47" s="32" t="str">
        <f t="shared" si="2"/>
        <v/>
      </c>
      <c r="E47" s="32"/>
      <c r="F47" s="66"/>
      <c r="G47" s="32"/>
      <c r="H47" s="79"/>
      <c r="I47" s="40"/>
      <c r="J47" s="40"/>
      <c r="K47" s="40"/>
      <c r="L47" s="40"/>
      <c r="M47" s="40"/>
      <c r="N47" s="67"/>
      <c r="O47" s="40"/>
      <c r="P47" s="40"/>
      <c r="Q47" s="40" t="str">
        <f t="shared" si="0"/>
        <v/>
      </c>
      <c r="R47" s="67" t="str">
        <f>IF(D47="","",_xll.TR($D47,R$7,"Curn=#2 scale=6",,$F47,$H$6))</f>
        <v/>
      </c>
      <c r="S47" s="68"/>
      <c r="T47" s="68" t="str">
        <f>_xll.TR(D47,T$7,"Curn=#2 Scale=6 Transpose=Y Null=BLANK",,$Q47,$H$6)</f>
        <v>No universe defined.</v>
      </c>
      <c r="U47" s="68"/>
      <c r="V47" s="68"/>
      <c r="W47" s="68"/>
      <c r="X47" s="68" t="str">
        <f>_xll.TR($D47,X$7,"Curn=#2 Scale=6 Transpose=Y Null=BLANK",,$Q47,$H$6)</f>
        <v>No universe defined.</v>
      </c>
      <c r="Y47" s="68"/>
      <c r="Z47" s="68"/>
      <c r="AA47" s="68"/>
      <c r="AB47" s="68" t="str">
        <f>_xll.TR($D47,AB$7,"Curn=#2 Scale=6 Period=FY1:FY3 Transpose=Y Null=BLANK",,$Q47,$H$6)</f>
        <v>No universe defined.</v>
      </c>
      <c r="AC47" s="68"/>
      <c r="AD47" s="68"/>
      <c r="AE47" s="68"/>
      <c r="AF47" s="68" t="str">
        <f>_xll.TR($D47,AF$7,"Curn=#2 Scale=6 Transpose=Y Null=BLANK",,$Q47,$H$6)</f>
        <v>No universe defined.</v>
      </c>
      <c r="AG47" s="68"/>
      <c r="AH47" s="68"/>
      <c r="AI47" s="69"/>
      <c r="AJ47" s="69"/>
      <c r="AK47" s="69"/>
      <c r="AL47" s="69"/>
      <c r="AM47" s="69"/>
      <c r="AN47" s="70"/>
      <c r="AO47" s="70"/>
      <c r="AP47" s="70"/>
      <c r="AQ47" s="70"/>
      <c r="AR47" s="70"/>
      <c r="AS47" s="70"/>
      <c r="AT47" s="71" t="str">
        <f t="shared" si="1"/>
        <v/>
      </c>
      <c r="AU47" s="40"/>
      <c r="AV47" s="40"/>
      <c r="AW47" s="40"/>
      <c r="AX47" s="40"/>
      <c r="AY47" s="40"/>
      <c r="AZ47" s="40"/>
      <c r="BA47" s="40"/>
      <c r="BB47" s="40"/>
      <c r="BC47" s="80"/>
      <c r="BD47" s="80"/>
      <c r="BE47" s="80"/>
      <c r="BF47" s="40"/>
      <c r="BG47" s="40"/>
      <c r="BH47" s="40"/>
      <c r="BI47" s="80"/>
      <c r="BJ47" s="80"/>
      <c r="BK47" s="80"/>
      <c r="BL47" s="40"/>
      <c r="BM47" s="40"/>
      <c r="BN47" s="40"/>
      <c r="BO47" s="40"/>
      <c r="BP47" s="79"/>
      <c r="BQ47" s="79"/>
      <c r="BR47" s="79"/>
      <c r="BS47" s="79"/>
      <c r="BT47" s="40"/>
      <c r="BU47" s="40"/>
      <c r="BV47" s="40"/>
      <c r="BW47" s="40"/>
      <c r="BX47" s="40"/>
      <c r="BY47" s="40"/>
      <c r="BZ47" s="40"/>
      <c r="CA47" s="40"/>
      <c r="CD47" s="93"/>
      <c r="CM47" s="23"/>
      <c r="CN47" s="25"/>
      <c r="CO47" s="25"/>
      <c r="CP47" s="25"/>
      <c r="CQ47" s="23"/>
      <c r="CR47" s="23"/>
      <c r="CS47" s="23"/>
      <c r="CT47" s="23"/>
    </row>
    <row r="48" spans="2:98">
      <c r="B48" s="23"/>
      <c r="C48" s="112"/>
      <c r="D48" s="32" t="str">
        <f t="shared" si="2"/>
        <v/>
      </c>
      <c r="E48" s="32"/>
      <c r="F48" s="66"/>
      <c r="G48" s="32"/>
      <c r="H48" s="79"/>
      <c r="I48" s="40"/>
      <c r="J48" s="40"/>
      <c r="K48" s="40"/>
      <c r="L48" s="40"/>
      <c r="M48" s="40"/>
      <c r="N48" s="67"/>
      <c r="O48" s="40"/>
      <c r="P48" s="40"/>
      <c r="Q48" s="40" t="str">
        <f t="shared" si="0"/>
        <v/>
      </c>
      <c r="R48" s="67" t="str">
        <f>IF(D48="","",_xll.TR($D48,R$7,"Curn=#2 scale=6",,$F48,$H$6))</f>
        <v/>
      </c>
      <c r="S48" s="68"/>
      <c r="T48" s="68" t="str">
        <f>_xll.TR(D48,T$7,"Curn=#2 Scale=6 Transpose=Y Null=BLANK",,$Q48,$H$6)</f>
        <v>No universe defined.</v>
      </c>
      <c r="U48" s="68"/>
      <c r="V48" s="68"/>
      <c r="W48" s="68"/>
      <c r="X48" s="68" t="str">
        <f>_xll.TR($D48,X$7,"Curn=#2 Scale=6 Transpose=Y Null=BLANK",,$Q48,$H$6)</f>
        <v>No universe defined.</v>
      </c>
      <c r="Y48" s="68"/>
      <c r="Z48" s="68"/>
      <c r="AA48" s="68"/>
      <c r="AB48" s="68" t="str">
        <f>_xll.TR($D48,AB$7,"Curn=#2 Scale=6 Period=FY1:FY3 Transpose=Y Null=BLANK",,$Q48,$H$6)</f>
        <v>No universe defined.</v>
      </c>
      <c r="AC48" s="68"/>
      <c r="AD48" s="68"/>
      <c r="AE48" s="68"/>
      <c r="AF48" s="68" t="str">
        <f>_xll.TR($D48,AF$7,"Curn=#2 Scale=6 Transpose=Y Null=BLANK",,$Q48,$H$6)</f>
        <v>No universe defined.</v>
      </c>
      <c r="AG48" s="68"/>
      <c r="AH48" s="68"/>
      <c r="AI48" s="69"/>
      <c r="AJ48" s="69"/>
      <c r="AK48" s="69"/>
      <c r="AL48" s="69"/>
      <c r="AM48" s="69"/>
      <c r="AN48" s="70"/>
      <c r="AO48" s="70"/>
      <c r="AP48" s="70"/>
      <c r="AQ48" s="70"/>
      <c r="AR48" s="70"/>
      <c r="AS48" s="70"/>
      <c r="AT48" s="71" t="str">
        <f t="shared" si="1"/>
        <v/>
      </c>
      <c r="AU48" s="40"/>
      <c r="AV48" s="40"/>
      <c r="AW48" s="40"/>
      <c r="AX48" s="40"/>
      <c r="AY48" s="40"/>
      <c r="AZ48" s="40"/>
      <c r="BA48" s="40"/>
      <c r="BB48" s="40"/>
      <c r="BC48" s="80"/>
      <c r="BD48" s="80"/>
      <c r="BE48" s="80"/>
      <c r="BF48" s="40"/>
      <c r="BG48" s="40"/>
      <c r="BH48" s="40"/>
      <c r="BI48" s="80"/>
      <c r="BJ48" s="80"/>
      <c r="BK48" s="80"/>
      <c r="BL48" s="40"/>
      <c r="BM48" s="40"/>
      <c r="BN48" s="40"/>
      <c r="BO48" s="40"/>
      <c r="BP48" s="79"/>
      <c r="BQ48" s="79"/>
      <c r="BR48" s="79"/>
      <c r="BS48" s="79"/>
      <c r="BT48" s="40"/>
      <c r="BU48" s="40"/>
      <c r="BV48" s="40"/>
      <c r="BW48" s="40"/>
      <c r="BX48" s="40"/>
      <c r="BY48" s="40"/>
      <c r="BZ48" s="40"/>
      <c r="CA48" s="40"/>
      <c r="CD48" s="93"/>
      <c r="CM48" s="23"/>
      <c r="CN48" s="25"/>
      <c r="CO48" s="25"/>
      <c r="CP48" s="25"/>
      <c r="CQ48" s="23"/>
      <c r="CR48" s="23"/>
      <c r="CS48" s="23"/>
      <c r="CT48" s="23"/>
    </row>
    <row r="49" spans="2:98">
      <c r="B49" s="23"/>
      <c r="C49" s="112"/>
      <c r="D49" s="32" t="str">
        <f t="shared" si="2"/>
        <v/>
      </c>
      <c r="E49" s="32"/>
      <c r="F49" s="66"/>
      <c r="G49" s="32"/>
      <c r="H49" s="79"/>
      <c r="I49" s="40"/>
      <c r="J49" s="40"/>
      <c r="K49" s="40"/>
      <c r="L49" s="40"/>
      <c r="M49" s="40"/>
      <c r="N49" s="67"/>
      <c r="O49" s="40"/>
      <c r="P49" s="40"/>
      <c r="Q49" s="40" t="str">
        <f t="shared" si="0"/>
        <v/>
      </c>
      <c r="R49" s="67" t="str">
        <f>IF(D49="","",_xll.TR($D49,R$7,"Curn=#2 scale=6",,$F49,$H$6))</f>
        <v/>
      </c>
      <c r="S49" s="68"/>
      <c r="T49" s="68" t="str">
        <f>_xll.TR(D49,T$7,"Curn=#2 Scale=6 Transpose=Y Null=BLANK",,$Q49,$H$6)</f>
        <v>No universe defined.</v>
      </c>
      <c r="U49" s="68"/>
      <c r="V49" s="68"/>
      <c r="W49" s="68"/>
      <c r="X49" s="68" t="str">
        <f>_xll.TR($D49,X$7,"Curn=#2 Scale=6 Transpose=Y Null=BLANK",,$Q49,$H$6)</f>
        <v>No universe defined.</v>
      </c>
      <c r="Y49" s="68"/>
      <c r="Z49" s="68"/>
      <c r="AA49" s="68"/>
      <c r="AB49" s="68" t="str">
        <f>_xll.TR($D49,AB$7,"Curn=#2 Scale=6 Period=FY1:FY3 Transpose=Y Null=BLANK",,$Q49,$H$6)</f>
        <v>No universe defined.</v>
      </c>
      <c r="AC49" s="68"/>
      <c r="AD49" s="68"/>
      <c r="AE49" s="68"/>
      <c r="AF49" s="68" t="str">
        <f>_xll.TR($D49,AF$7,"Curn=#2 Scale=6 Transpose=Y Null=BLANK",,$Q49,$H$6)</f>
        <v>No universe defined.</v>
      </c>
      <c r="AG49" s="68"/>
      <c r="AH49" s="68"/>
      <c r="AI49" s="69"/>
      <c r="AJ49" s="69"/>
      <c r="AK49" s="69"/>
      <c r="AL49" s="69"/>
      <c r="AM49" s="69"/>
      <c r="AN49" s="70"/>
      <c r="AO49" s="70"/>
      <c r="AP49" s="70"/>
      <c r="AQ49" s="70"/>
      <c r="AR49" s="70"/>
      <c r="AS49" s="70"/>
      <c r="AT49" s="71" t="str">
        <f t="shared" si="1"/>
        <v/>
      </c>
      <c r="AU49" s="40"/>
      <c r="AV49" s="40"/>
      <c r="AW49" s="40"/>
      <c r="AX49" s="40"/>
      <c r="AY49" s="40"/>
      <c r="AZ49" s="40"/>
      <c r="BA49" s="40"/>
      <c r="BB49" s="40"/>
      <c r="BC49" s="80"/>
      <c r="BD49" s="80"/>
      <c r="BE49" s="80"/>
      <c r="BF49" s="40"/>
      <c r="BG49" s="40"/>
      <c r="BH49" s="40"/>
      <c r="BI49" s="80"/>
      <c r="BJ49" s="80"/>
      <c r="BK49" s="80"/>
      <c r="BL49" s="40"/>
      <c r="BM49" s="40"/>
      <c r="BN49" s="40"/>
      <c r="BO49" s="40"/>
      <c r="BP49" s="79"/>
      <c r="BQ49" s="79"/>
      <c r="BR49" s="79"/>
      <c r="BS49" s="79"/>
      <c r="BT49" s="40"/>
      <c r="BU49" s="40"/>
      <c r="BV49" s="40"/>
      <c r="BW49" s="40"/>
      <c r="BX49" s="40"/>
      <c r="BY49" s="40"/>
      <c r="BZ49" s="40"/>
      <c r="CA49" s="40"/>
      <c r="CD49" s="93"/>
      <c r="CM49" s="23"/>
      <c r="CN49" s="25"/>
      <c r="CO49" s="25"/>
      <c r="CP49" s="25"/>
      <c r="CQ49" s="23"/>
      <c r="CR49" s="23"/>
      <c r="CS49" s="23"/>
      <c r="CT49" s="23"/>
    </row>
    <row r="50" spans="2:98">
      <c r="B50" s="23"/>
      <c r="C50" s="112"/>
      <c r="D50" s="32" t="str">
        <f t="shared" si="2"/>
        <v/>
      </c>
      <c r="E50" s="32"/>
      <c r="F50" s="66"/>
      <c r="G50" s="32"/>
      <c r="H50" s="79"/>
      <c r="I50" s="40"/>
      <c r="J50" s="40"/>
      <c r="K50" s="40"/>
      <c r="L50" s="40"/>
      <c r="M50" s="40"/>
      <c r="N50" s="67"/>
      <c r="O50" s="40"/>
      <c r="P50" s="40"/>
      <c r="Q50" s="40" t="str">
        <f t="shared" si="0"/>
        <v/>
      </c>
      <c r="R50" s="67" t="str">
        <f>IF(D50="","",_xll.TR($D50,R$7,"Curn=#2 scale=6",,$F50,$H$6))</f>
        <v/>
      </c>
      <c r="S50" s="68"/>
      <c r="T50" s="68" t="str">
        <f>_xll.TR(D50,T$7,"Curn=#2 Scale=6 Transpose=Y Null=BLANK",,$Q50,$H$6)</f>
        <v>No universe defined.</v>
      </c>
      <c r="U50" s="68"/>
      <c r="V50" s="68"/>
      <c r="W50" s="68"/>
      <c r="X50" s="68" t="str">
        <f>_xll.TR($D50,X$7,"Curn=#2 Scale=6 Transpose=Y Null=BLANK",,$Q50,$H$6)</f>
        <v>No universe defined.</v>
      </c>
      <c r="Y50" s="68"/>
      <c r="Z50" s="68"/>
      <c r="AA50" s="68"/>
      <c r="AB50" s="68" t="str">
        <f>_xll.TR($D50,AB$7,"Curn=#2 Scale=6 Period=FY1:FY3 Transpose=Y Null=BLANK",,$Q50,$H$6)</f>
        <v>No universe defined.</v>
      </c>
      <c r="AC50" s="68"/>
      <c r="AD50" s="68"/>
      <c r="AE50" s="68"/>
      <c r="AF50" s="68" t="str">
        <f>_xll.TR($D50,AF$7,"Curn=#2 Scale=6 Transpose=Y Null=BLANK",,$Q50,$H$6)</f>
        <v>No universe defined.</v>
      </c>
      <c r="AG50" s="68"/>
      <c r="AH50" s="68"/>
      <c r="AI50" s="69"/>
      <c r="AJ50" s="69"/>
      <c r="AK50" s="69"/>
      <c r="AL50" s="69"/>
      <c r="AM50" s="69"/>
      <c r="AN50" s="70"/>
      <c r="AO50" s="70"/>
      <c r="AP50" s="70"/>
      <c r="AQ50" s="70"/>
      <c r="AR50" s="70"/>
      <c r="AS50" s="70"/>
      <c r="AT50" s="71" t="str">
        <f t="shared" si="1"/>
        <v/>
      </c>
      <c r="AU50" s="40"/>
      <c r="AV50" s="40"/>
      <c r="AW50" s="40"/>
      <c r="AX50" s="40"/>
      <c r="AY50" s="40"/>
      <c r="AZ50" s="40"/>
      <c r="BA50" s="40"/>
      <c r="BB50" s="40"/>
      <c r="BC50" s="80"/>
      <c r="BD50" s="80"/>
      <c r="BE50" s="80"/>
      <c r="BF50" s="40"/>
      <c r="BG50" s="40"/>
      <c r="BH50" s="40"/>
      <c r="BI50" s="80"/>
      <c r="BJ50" s="80"/>
      <c r="BK50" s="80"/>
      <c r="BL50" s="40"/>
      <c r="BM50" s="40"/>
      <c r="BN50" s="40"/>
      <c r="BO50" s="40"/>
      <c r="BP50" s="79"/>
      <c r="BQ50" s="79"/>
      <c r="BR50" s="79"/>
      <c r="BS50" s="79"/>
      <c r="BT50" s="40"/>
      <c r="BU50" s="40"/>
      <c r="BV50" s="40"/>
      <c r="BW50" s="40"/>
      <c r="BX50" s="40"/>
      <c r="BY50" s="40"/>
      <c r="BZ50" s="40"/>
      <c r="CA50" s="40"/>
      <c r="CD50" s="93"/>
      <c r="CM50" s="23"/>
      <c r="CN50" s="25"/>
      <c r="CO50" s="25"/>
      <c r="CP50" s="25"/>
      <c r="CQ50" s="23"/>
      <c r="CR50" s="23"/>
      <c r="CS50" s="23"/>
      <c r="CT50" s="23"/>
    </row>
    <row r="51" spans="2:98">
      <c r="B51" s="23"/>
      <c r="C51" s="112"/>
      <c r="D51" s="32" t="str">
        <f t="shared" si="2"/>
        <v/>
      </c>
      <c r="E51" s="32"/>
      <c r="F51" s="66"/>
      <c r="G51" s="32"/>
      <c r="H51" s="79"/>
      <c r="I51" s="40"/>
      <c r="J51" s="40"/>
      <c r="K51" s="40"/>
      <c r="L51" s="40"/>
      <c r="M51" s="40"/>
      <c r="N51" s="67"/>
      <c r="O51" s="40"/>
      <c r="P51" s="40"/>
      <c r="Q51" s="40" t="str">
        <f t="shared" si="0"/>
        <v/>
      </c>
      <c r="R51" s="67" t="str">
        <f>IF(D51="","",_xll.TR($D51,R$7,"Curn=#2 scale=6",,$F51,$H$6))</f>
        <v/>
      </c>
      <c r="S51" s="68"/>
      <c r="T51" s="68" t="str">
        <f>_xll.TR(D51,T$7,"Curn=#2 Scale=6 Transpose=Y Null=BLANK",,$Q51,$H$6)</f>
        <v>No universe defined.</v>
      </c>
      <c r="U51" s="68"/>
      <c r="V51" s="68"/>
      <c r="W51" s="68"/>
      <c r="X51" s="68" t="str">
        <f>_xll.TR($D51,X$7,"Curn=#2 Scale=6 Transpose=Y Null=BLANK",,$Q51,$H$6)</f>
        <v>No universe defined.</v>
      </c>
      <c r="Y51" s="68"/>
      <c r="Z51" s="68"/>
      <c r="AA51" s="68"/>
      <c r="AB51" s="68" t="str">
        <f>_xll.TR($D51,AB$7,"Curn=#2 Scale=6 Period=FY1:FY3 Transpose=Y Null=BLANK",,$Q51,$H$6)</f>
        <v>No universe defined.</v>
      </c>
      <c r="AC51" s="68"/>
      <c r="AD51" s="68"/>
      <c r="AE51" s="68"/>
      <c r="AF51" s="68" t="str">
        <f>_xll.TR($D51,AF$7,"Curn=#2 Scale=6 Transpose=Y Null=BLANK",,$Q51,$H$6)</f>
        <v>No universe defined.</v>
      </c>
      <c r="AG51" s="68"/>
      <c r="AH51" s="68"/>
      <c r="AI51" s="69"/>
      <c r="AJ51" s="69"/>
      <c r="AK51" s="69"/>
      <c r="AL51" s="69"/>
      <c r="AM51" s="69"/>
      <c r="AN51" s="70"/>
      <c r="AO51" s="70"/>
      <c r="AP51" s="70"/>
      <c r="AQ51" s="70"/>
      <c r="AR51" s="70"/>
      <c r="AS51" s="70"/>
      <c r="AT51" s="71" t="str">
        <f t="shared" si="1"/>
        <v/>
      </c>
      <c r="AU51" s="40"/>
      <c r="AV51" s="40"/>
      <c r="AW51" s="40"/>
      <c r="AX51" s="40"/>
      <c r="AY51" s="40"/>
      <c r="AZ51" s="40"/>
      <c r="BA51" s="40"/>
      <c r="BB51" s="40"/>
      <c r="BC51" s="80"/>
      <c r="BD51" s="80"/>
      <c r="BE51" s="80"/>
      <c r="BF51" s="40"/>
      <c r="BG51" s="40"/>
      <c r="BH51" s="40"/>
      <c r="BI51" s="80"/>
      <c r="BJ51" s="80"/>
      <c r="BK51" s="80"/>
      <c r="BL51" s="40"/>
      <c r="BM51" s="40"/>
      <c r="BN51" s="40"/>
      <c r="BO51" s="40"/>
      <c r="BP51" s="79"/>
      <c r="BQ51" s="79"/>
      <c r="BR51" s="79"/>
      <c r="BS51" s="79"/>
      <c r="BT51" s="40"/>
      <c r="BU51" s="40"/>
      <c r="BV51" s="40"/>
      <c r="BW51" s="40"/>
      <c r="BX51" s="40"/>
      <c r="BY51" s="40"/>
      <c r="BZ51" s="40"/>
      <c r="CA51" s="40"/>
      <c r="CD51" s="93"/>
      <c r="CM51" s="23"/>
      <c r="CN51" s="25"/>
      <c r="CO51" s="25"/>
      <c r="CP51" s="25"/>
      <c r="CQ51" s="23"/>
      <c r="CR51" s="23"/>
      <c r="CS51" s="23"/>
      <c r="CT51" s="23"/>
    </row>
    <row r="52" spans="2:98">
      <c r="B52" s="23"/>
      <c r="C52" s="112"/>
      <c r="D52" s="32" t="str">
        <f t="shared" si="2"/>
        <v/>
      </c>
      <c r="E52" s="32"/>
      <c r="F52" s="66"/>
      <c r="G52" s="32"/>
      <c r="H52" s="79"/>
      <c r="I52" s="40"/>
      <c r="J52" s="40"/>
      <c r="K52" s="40"/>
      <c r="L52" s="40"/>
      <c r="M52" s="40"/>
      <c r="N52" s="67"/>
      <c r="O52" s="40"/>
      <c r="P52" s="40"/>
      <c r="Q52" s="40" t="str">
        <f t="shared" si="0"/>
        <v/>
      </c>
      <c r="R52" s="67" t="str">
        <f>IF(D52="","",_xll.TR($D52,R$7,"Curn=#2 scale=6",,$F52,$H$6))</f>
        <v/>
      </c>
      <c r="S52" s="68"/>
      <c r="T52" s="68" t="str">
        <f>_xll.TR(D52,T$7,"Curn=#2 Scale=6 Transpose=Y Null=BLANK",,$Q52,$H$6)</f>
        <v>No universe defined.</v>
      </c>
      <c r="U52" s="68"/>
      <c r="V52" s="68"/>
      <c r="W52" s="68"/>
      <c r="X52" s="68" t="str">
        <f>_xll.TR($D52,X$7,"Curn=#2 Scale=6 Transpose=Y Null=BLANK",,$Q52,$H$6)</f>
        <v>No universe defined.</v>
      </c>
      <c r="Y52" s="68"/>
      <c r="Z52" s="68"/>
      <c r="AA52" s="68"/>
      <c r="AB52" s="68" t="str">
        <f>_xll.TR($D52,AB$7,"Curn=#2 Scale=6 Period=FY1:FY3 Transpose=Y Null=BLANK",,$Q52,$H$6)</f>
        <v>No universe defined.</v>
      </c>
      <c r="AC52" s="68"/>
      <c r="AD52" s="68"/>
      <c r="AE52" s="68"/>
      <c r="AF52" s="68" t="str">
        <f>_xll.TR($D52,AF$7,"Curn=#2 Scale=6 Transpose=Y Null=BLANK",,$Q52,$H$6)</f>
        <v>No universe defined.</v>
      </c>
      <c r="AG52" s="68"/>
      <c r="AH52" s="68"/>
      <c r="AI52" s="69"/>
      <c r="AJ52" s="69"/>
      <c r="AK52" s="69"/>
      <c r="AL52" s="69"/>
      <c r="AM52" s="69"/>
      <c r="AN52" s="70"/>
      <c r="AO52" s="70"/>
      <c r="AP52" s="70"/>
      <c r="AQ52" s="70"/>
      <c r="AR52" s="70"/>
      <c r="AS52" s="70"/>
      <c r="AT52" s="71" t="str">
        <f t="shared" si="1"/>
        <v/>
      </c>
      <c r="AU52" s="40"/>
      <c r="AV52" s="40"/>
      <c r="AW52" s="40"/>
      <c r="AX52" s="40"/>
      <c r="AY52" s="40"/>
      <c r="AZ52" s="40"/>
      <c r="BA52" s="40"/>
      <c r="BB52" s="40"/>
      <c r="BC52" s="80"/>
      <c r="BD52" s="80"/>
      <c r="BE52" s="80"/>
      <c r="BF52" s="40"/>
      <c r="BG52" s="40"/>
      <c r="BH52" s="40"/>
      <c r="BI52" s="80"/>
      <c r="BJ52" s="80"/>
      <c r="BK52" s="80"/>
      <c r="BL52" s="40"/>
      <c r="BM52" s="40"/>
      <c r="BN52" s="40"/>
      <c r="BO52" s="40"/>
      <c r="BP52" s="79"/>
      <c r="BQ52" s="79"/>
      <c r="BR52" s="79"/>
      <c r="BS52" s="79"/>
      <c r="BT52" s="40"/>
      <c r="BU52" s="40"/>
      <c r="BV52" s="40"/>
      <c r="BW52" s="40"/>
      <c r="BX52" s="40"/>
      <c r="BY52" s="40"/>
      <c r="BZ52" s="40"/>
      <c r="CA52" s="40"/>
      <c r="CD52" s="93"/>
      <c r="CM52" s="23"/>
      <c r="CN52" s="25"/>
      <c r="CO52" s="25"/>
      <c r="CP52" s="25"/>
      <c r="CQ52" s="23"/>
      <c r="CR52" s="23"/>
      <c r="CS52" s="23"/>
      <c r="CT52" s="23"/>
    </row>
    <row r="53" spans="2:98">
      <c r="B53" s="23"/>
      <c r="C53" s="112"/>
      <c r="D53" s="32" t="str">
        <f t="shared" si="2"/>
        <v/>
      </c>
      <c r="E53" s="32"/>
      <c r="F53" s="66"/>
      <c r="G53" s="32"/>
      <c r="H53" s="79"/>
      <c r="I53" s="40"/>
      <c r="J53" s="40"/>
      <c r="K53" s="40"/>
      <c r="L53" s="40"/>
      <c r="M53" s="40"/>
      <c r="N53" s="67"/>
      <c r="O53" s="40"/>
      <c r="P53" s="40"/>
      <c r="Q53" s="40" t="str">
        <f t="shared" si="0"/>
        <v/>
      </c>
      <c r="R53" s="67" t="str">
        <f>IF(D53="","",_xll.TR($D53,R$7,"Curn=#2 scale=6",,$F53,$H$6))</f>
        <v/>
      </c>
      <c r="S53" s="68"/>
      <c r="T53" s="68" t="str">
        <f>_xll.TR(D53,T$7,"Curn=#2 Scale=6 Transpose=Y Null=BLANK",,$Q53,$H$6)</f>
        <v>No universe defined.</v>
      </c>
      <c r="U53" s="68"/>
      <c r="V53" s="68"/>
      <c r="W53" s="68"/>
      <c r="X53" s="68" t="str">
        <f>_xll.TR($D53,X$7,"Curn=#2 Scale=6 Transpose=Y Null=BLANK",,$Q53,$H$6)</f>
        <v>No universe defined.</v>
      </c>
      <c r="Y53" s="68"/>
      <c r="Z53" s="68"/>
      <c r="AA53" s="68"/>
      <c r="AB53" s="68" t="str">
        <f>_xll.TR($D53,AB$7,"Curn=#2 Scale=6 Period=FY1:FY3 Transpose=Y Null=BLANK",,$Q53,$H$6)</f>
        <v>No universe defined.</v>
      </c>
      <c r="AC53" s="68"/>
      <c r="AD53" s="68"/>
      <c r="AE53" s="68"/>
      <c r="AF53" s="68" t="str">
        <f>_xll.TR($D53,AF$7,"Curn=#2 Scale=6 Transpose=Y Null=BLANK",,$Q53,$H$6)</f>
        <v>No universe defined.</v>
      </c>
      <c r="AG53" s="68"/>
      <c r="AH53" s="68"/>
      <c r="AI53" s="69"/>
      <c r="AJ53" s="69"/>
      <c r="AK53" s="69"/>
      <c r="AL53" s="69"/>
      <c r="AM53" s="69"/>
      <c r="AN53" s="70"/>
      <c r="AO53" s="70"/>
      <c r="AP53" s="70"/>
      <c r="AQ53" s="70"/>
      <c r="AR53" s="70"/>
      <c r="AS53" s="70"/>
      <c r="AT53" s="71" t="str">
        <f t="shared" si="1"/>
        <v/>
      </c>
      <c r="AU53" s="40"/>
      <c r="AV53" s="40"/>
      <c r="AW53" s="40"/>
      <c r="AX53" s="40"/>
      <c r="AY53" s="40"/>
      <c r="AZ53" s="40"/>
      <c r="BA53" s="40"/>
      <c r="BB53" s="40"/>
      <c r="BC53" s="80"/>
      <c r="BD53" s="80"/>
      <c r="BE53" s="80"/>
      <c r="BF53" s="40"/>
      <c r="BG53" s="40"/>
      <c r="BH53" s="40"/>
      <c r="BI53" s="80"/>
      <c r="BJ53" s="80"/>
      <c r="BK53" s="80"/>
      <c r="BL53" s="40"/>
      <c r="BM53" s="40"/>
      <c r="BN53" s="40"/>
      <c r="BO53" s="40"/>
      <c r="BP53" s="79"/>
      <c r="BQ53" s="79"/>
      <c r="BR53" s="79"/>
      <c r="BS53" s="79"/>
      <c r="BT53" s="40"/>
      <c r="BU53" s="40"/>
      <c r="BV53" s="40"/>
      <c r="BW53" s="40"/>
      <c r="BX53" s="40"/>
      <c r="BY53" s="40"/>
      <c r="BZ53" s="40"/>
      <c r="CA53" s="40"/>
      <c r="CD53" s="93"/>
      <c r="CM53" s="23"/>
      <c r="CN53" s="25"/>
      <c r="CO53" s="25"/>
      <c r="CP53" s="25"/>
      <c r="CQ53" s="23"/>
      <c r="CR53" s="23"/>
      <c r="CS53" s="23"/>
      <c r="CT53" s="23"/>
    </row>
    <row r="54" spans="2:98">
      <c r="B54" s="23"/>
      <c r="C54" s="112"/>
      <c r="D54" s="32" t="str">
        <f t="shared" si="2"/>
        <v/>
      </c>
      <c r="E54" s="32"/>
      <c r="F54" s="66"/>
      <c r="G54" s="32"/>
      <c r="H54" s="79"/>
      <c r="I54" s="40"/>
      <c r="J54" s="40"/>
      <c r="K54" s="40"/>
      <c r="L54" s="40"/>
      <c r="M54" s="40"/>
      <c r="N54" s="67"/>
      <c r="O54" s="40"/>
      <c r="P54" s="40"/>
      <c r="Q54" s="40" t="str">
        <f t="shared" si="0"/>
        <v/>
      </c>
      <c r="R54" s="67" t="str">
        <f>IF(D54="","",_xll.TR($D54,R$7,"Curn=#2 scale=6",,$F54,$H$6))</f>
        <v/>
      </c>
      <c r="S54" s="68"/>
      <c r="T54" s="68" t="str">
        <f>_xll.TR(D54,T$7,"Curn=#2 Scale=6 Transpose=Y Null=BLANK",,$Q54,$H$6)</f>
        <v>No universe defined.</v>
      </c>
      <c r="U54" s="68" t="str">
        <f>IF($D54="","",IFERROR(_xll.TR($D54,U$7,"Curn=#2 Scale=6 Null=BLANK",,$Q54,$H$6),"-"))</f>
        <v/>
      </c>
      <c r="V54" s="68" t="str">
        <f>IF($D54="","",IFERROR(_xll.TR($D54,V$7,"Curn=#2 Scale=6 Null=BLANK",,$Q54,$H$6),"-"))</f>
        <v/>
      </c>
      <c r="W54" s="68"/>
      <c r="X54" s="68" t="str">
        <f>_xll.TR($D54,X$7,"Curn=#2 Scale=6 Transpose=Y Null=BLANK",,$Q54,$H$6)</f>
        <v>No universe defined.</v>
      </c>
      <c r="Y54" s="68" t="str">
        <f>IF($D54="","",IFERROR($Q54/_xll.TR($D54,Y$7,"Curn=#1 Scale=6 Null=BLANK",,$H$6),"-"))</f>
        <v/>
      </c>
      <c r="Z54" s="68" t="str">
        <f>IF($D54="","",IFERROR($Q54/_xll.TR($D54,Z$7,"Curn=#1 Scale=6 Null=BLANK",,$H$6),"-"))</f>
        <v/>
      </c>
      <c r="AA54" s="68"/>
      <c r="AB54" s="68" t="str">
        <f>_xll.TR($D54,AB$7,"Curn=#2 Scale=6 Period=FY1:FY3 Transpose=Y Null=BLANK",,$Q54,$H$6)</f>
        <v>No universe defined.</v>
      </c>
      <c r="AC54" s="68"/>
      <c r="AD54" s="68"/>
      <c r="AE54" s="68"/>
      <c r="AF54" s="68" t="str">
        <f>_xll.TR($D54,AF$7,"Curn=#2 Scale=6 Transpose=Y Null=BLANK",,$Q54,$H$6)</f>
        <v>No universe defined.</v>
      </c>
      <c r="AG54" s="68"/>
      <c r="AH54" s="68"/>
      <c r="AI54" s="69"/>
      <c r="AJ54" s="69"/>
      <c r="AK54" s="69"/>
      <c r="AL54" s="69"/>
      <c r="AM54" s="69"/>
      <c r="AN54" s="70"/>
      <c r="AO54" s="70"/>
      <c r="AP54" s="70"/>
      <c r="AQ54" s="70"/>
      <c r="AR54" s="70"/>
      <c r="AS54" s="70"/>
      <c r="AT54" s="71" t="str">
        <f t="shared" si="1"/>
        <v/>
      </c>
      <c r="AU54" s="40"/>
      <c r="AV54" s="40"/>
      <c r="AW54" s="40"/>
      <c r="AX54" s="40"/>
      <c r="AY54" s="40"/>
      <c r="AZ54" s="40"/>
      <c r="BA54" s="40"/>
      <c r="BB54" s="40"/>
      <c r="BC54" s="80"/>
      <c r="BD54" s="80"/>
      <c r="BE54" s="80"/>
      <c r="BF54" s="40"/>
      <c r="BG54" s="40"/>
      <c r="BH54" s="40"/>
      <c r="BI54" s="80"/>
      <c r="BJ54" s="80"/>
      <c r="BK54" s="80"/>
      <c r="BL54" s="40"/>
      <c r="BM54" s="40"/>
      <c r="BN54" s="40"/>
      <c r="BO54" s="40"/>
      <c r="BP54" s="79"/>
      <c r="BQ54" s="79"/>
      <c r="BR54" s="79"/>
      <c r="BS54" s="79"/>
      <c r="BT54" s="40"/>
      <c r="BU54" s="40"/>
      <c r="BV54" s="40"/>
      <c r="BW54" s="40"/>
      <c r="BX54" s="40"/>
      <c r="BY54" s="40"/>
      <c r="BZ54" s="40"/>
      <c r="CA54" s="40"/>
      <c r="CD54" s="56"/>
      <c r="CM54" s="23"/>
      <c r="CN54" s="25"/>
      <c r="CO54" s="25"/>
      <c r="CP54" s="25"/>
      <c r="CQ54" s="23"/>
      <c r="CR54" s="23"/>
      <c r="CS54" s="23"/>
      <c r="CT54" s="23"/>
    </row>
    <row r="55" spans="2:98">
      <c r="B55" s="23"/>
      <c r="C55" s="112"/>
      <c r="D55" s="32" t="str">
        <f t="shared" si="2"/>
        <v/>
      </c>
      <c r="E55" s="32"/>
      <c r="F55" s="66"/>
      <c r="G55" s="32"/>
      <c r="H55" s="79"/>
      <c r="I55" s="40"/>
      <c r="J55" s="40"/>
      <c r="K55" s="40"/>
      <c r="L55" s="40"/>
      <c r="M55" s="40"/>
      <c r="N55" s="67"/>
      <c r="O55" s="40"/>
      <c r="P55" s="40"/>
      <c r="Q55" s="40" t="str">
        <f t="shared" si="0"/>
        <v/>
      </c>
      <c r="R55" s="67" t="str">
        <f>IF(D55="","",_xll.TR($D55,R$7,"Curn=#2 scale=6",,$F55,$H$6))</f>
        <v/>
      </c>
      <c r="S55" s="68"/>
      <c r="T55" s="68" t="str">
        <f>_xll.TR(D55,T$7,"Curn=#2 Scale=6 Transpose=Y Null=BLANK",,$Q55,$H$6)</f>
        <v>No universe defined.</v>
      </c>
      <c r="U55" s="68" t="str">
        <f>IF($D55="","",IFERROR(_xll.TR($D55,U$7,"Curn=#2 Scale=6 Null=BLANK",,$Q55,$H$6),"-"))</f>
        <v/>
      </c>
      <c r="V55" s="68" t="str">
        <f>IF($D55="","",IFERROR(_xll.TR($D55,V$7,"Curn=#2 Scale=6 Null=BLANK",,$Q55,$H$6),"-"))</f>
        <v/>
      </c>
      <c r="W55" s="68"/>
      <c r="X55" s="68" t="str">
        <f>_xll.TR($D55,X$7,"Curn=#2 Scale=6 Transpose=Y Null=BLANK",,$Q55,$H$6)</f>
        <v>No universe defined.</v>
      </c>
      <c r="Y55" s="68" t="str">
        <f>IF($D55="","",IFERROR($Q55/_xll.TR($D55,Y$7,"Curn=#1 Scale=6 Null=BLANK",,$H$6),"-"))</f>
        <v/>
      </c>
      <c r="Z55" s="68" t="str">
        <f>IF($D55="","",IFERROR($Q55/_xll.TR($D55,Z$7,"Curn=#1 Scale=6 Null=BLANK",,$H$6),"-"))</f>
        <v/>
      </c>
      <c r="AA55" s="68"/>
      <c r="AB55" s="68" t="str">
        <f>_xll.TR($D55,AB$7,"Curn=#2 Scale=6 Period=FY1:FY3 Transpose=Y Null=BLANK",,$Q55,$H$6)</f>
        <v>No universe defined.</v>
      </c>
      <c r="AC55" s="68"/>
      <c r="AD55" s="68"/>
      <c r="AE55" s="68"/>
      <c r="AF55" s="68" t="str">
        <f>_xll.TR($D55,AF$7,"Curn=#2 Scale=6 Transpose=Y Null=BLANK",,$Q55,$H$6)</f>
        <v>No universe defined.</v>
      </c>
      <c r="AG55" s="68"/>
      <c r="AH55" s="68"/>
      <c r="AI55" s="69"/>
      <c r="AJ55" s="69"/>
      <c r="AK55" s="69"/>
      <c r="AL55" s="69"/>
      <c r="AM55" s="69"/>
      <c r="AN55" s="70"/>
      <c r="AO55" s="70"/>
      <c r="AP55" s="70"/>
      <c r="AQ55" s="70"/>
      <c r="AR55" s="70"/>
      <c r="AS55" s="70"/>
      <c r="AT55" s="71" t="str">
        <f t="shared" si="1"/>
        <v/>
      </c>
      <c r="AU55" s="40"/>
      <c r="AV55" s="40"/>
      <c r="AW55" s="40"/>
      <c r="AX55" s="40"/>
      <c r="AY55" s="40"/>
      <c r="AZ55" s="40"/>
      <c r="BA55" s="40"/>
      <c r="BB55" s="40"/>
      <c r="BC55" s="80"/>
      <c r="BD55" s="80"/>
      <c r="BE55" s="80"/>
      <c r="BF55" s="40"/>
      <c r="BG55" s="40"/>
      <c r="BH55" s="40"/>
      <c r="BI55" s="80"/>
      <c r="BJ55" s="80"/>
      <c r="BK55" s="80"/>
      <c r="BL55" s="40"/>
      <c r="BM55" s="40"/>
      <c r="BN55" s="40"/>
      <c r="BO55" s="40"/>
      <c r="BP55" s="79"/>
      <c r="BQ55" s="79"/>
      <c r="BR55" s="79"/>
      <c r="BS55" s="79"/>
      <c r="BT55" s="40"/>
      <c r="BU55" s="40"/>
      <c r="BV55" s="40"/>
      <c r="BW55" s="40"/>
      <c r="BX55" s="40"/>
      <c r="BY55" s="40"/>
      <c r="BZ55" s="40"/>
      <c r="CA55" s="40"/>
      <c r="CD55" s="56"/>
      <c r="CM55" s="23"/>
      <c r="CN55" s="25"/>
      <c r="CO55" s="25"/>
      <c r="CP55" s="25"/>
      <c r="CQ55" s="23"/>
      <c r="CR55" s="23"/>
      <c r="CS55" s="23"/>
      <c r="CT55" s="23"/>
    </row>
    <row r="56" spans="2:98">
      <c r="B56" s="23"/>
      <c r="C56" s="112"/>
      <c r="D56" s="32" t="str">
        <f t="shared" si="2"/>
        <v/>
      </c>
      <c r="E56" s="32"/>
      <c r="F56" s="66"/>
      <c r="G56" s="32"/>
      <c r="H56" s="79"/>
      <c r="I56" s="40"/>
      <c r="J56" s="40"/>
      <c r="K56" s="40"/>
      <c r="L56" s="40"/>
      <c r="M56" s="40"/>
      <c r="N56" s="67"/>
      <c r="O56" s="40"/>
      <c r="P56" s="40"/>
      <c r="Q56" s="40" t="str">
        <f t="shared" si="0"/>
        <v/>
      </c>
      <c r="R56" s="67" t="str">
        <f>IF(D56="","",_xll.TR($D56,R$7,"Curn=#2 scale=6",,$F56,$H$6))</f>
        <v/>
      </c>
      <c r="S56" s="68"/>
      <c r="T56" s="68" t="str">
        <f>_xll.TR(D56,T$7,"Curn=#2 Scale=6 Transpose=Y Null=BLANK",,$Q56,$H$6)</f>
        <v>No universe defined.</v>
      </c>
      <c r="U56" s="68" t="str">
        <f>IF($D56="","",IFERROR(_xll.TR($D56,U$7,"Curn=#2 Scale=6 Null=BLANK",,$Q56,$H$6),"-"))</f>
        <v/>
      </c>
      <c r="V56" s="68" t="str">
        <f>IF($D56="","",IFERROR(_xll.TR($D56,V$7,"Curn=#2 Scale=6 Null=BLANK",,$Q56,$H$6),"-"))</f>
        <v/>
      </c>
      <c r="W56" s="68"/>
      <c r="X56" s="68" t="str">
        <f>_xll.TR($D56,X$7,"Curn=#2 Scale=6 Transpose=Y Null=BLANK",,$Q56,$H$6)</f>
        <v>No universe defined.</v>
      </c>
      <c r="Y56" s="68" t="str">
        <f>IF($D56="","",IFERROR($Q56/_xll.TR($D56,Y$7,"Curn=#1 Scale=6 Null=BLANK",,$H$6),"-"))</f>
        <v/>
      </c>
      <c r="Z56" s="68" t="str">
        <f>IF($D56="","",IFERROR($Q56/_xll.TR($D56,Z$7,"Curn=#1 Scale=6 Null=BLANK",,$H$6),"-"))</f>
        <v/>
      </c>
      <c r="AA56" s="68"/>
      <c r="AB56" s="68" t="str">
        <f>_xll.TR($D56,AB$7,"Curn=#2 Scale=6 Period=FY1:FY3 Transpose=Y Null=BLANK",,$Q56,$H$6)</f>
        <v>No universe defined.</v>
      </c>
      <c r="AC56" s="68"/>
      <c r="AD56" s="68"/>
      <c r="AE56" s="68"/>
      <c r="AF56" s="68" t="str">
        <f>_xll.TR($D56,AF$7,"Curn=#2 Scale=6 Transpose=Y Null=BLANK",,$Q56,$H$6)</f>
        <v>No universe defined.</v>
      </c>
      <c r="AG56" s="68"/>
      <c r="AH56" s="68"/>
      <c r="AI56" s="69"/>
      <c r="AJ56" s="69"/>
      <c r="AK56" s="69"/>
      <c r="AL56" s="69"/>
      <c r="AM56" s="69"/>
      <c r="AN56" s="70"/>
      <c r="AO56" s="70"/>
      <c r="AP56" s="70"/>
      <c r="AQ56" s="70"/>
      <c r="AR56" s="70"/>
      <c r="AS56" s="70"/>
      <c r="AT56" s="71" t="str">
        <f t="shared" si="1"/>
        <v/>
      </c>
      <c r="AU56" s="40"/>
      <c r="AV56" s="40"/>
      <c r="AW56" s="40"/>
      <c r="AX56" s="40"/>
      <c r="AY56" s="40"/>
      <c r="AZ56" s="40"/>
      <c r="BA56" s="40"/>
      <c r="BB56" s="40"/>
      <c r="BC56" s="80"/>
      <c r="BD56" s="80"/>
      <c r="BE56" s="80"/>
      <c r="BF56" s="40"/>
      <c r="BG56" s="40"/>
      <c r="BH56" s="40"/>
      <c r="BI56" s="80"/>
      <c r="BJ56" s="80"/>
      <c r="BK56" s="80"/>
      <c r="BL56" s="40"/>
      <c r="BM56" s="40"/>
      <c r="BN56" s="40"/>
      <c r="BO56" s="40"/>
      <c r="BP56" s="79"/>
      <c r="BQ56" s="79"/>
      <c r="BR56" s="79"/>
      <c r="BS56" s="79"/>
      <c r="BT56" s="40"/>
      <c r="BU56" s="40"/>
      <c r="BV56" s="40"/>
      <c r="BW56" s="40"/>
      <c r="BX56" s="40"/>
      <c r="BY56" s="40"/>
      <c r="BZ56" s="40"/>
      <c r="CA56" s="40"/>
      <c r="CD56" s="56"/>
      <c r="CM56" s="23"/>
      <c r="CN56" s="25"/>
      <c r="CO56" s="25"/>
      <c r="CP56" s="25"/>
      <c r="CQ56" s="23"/>
      <c r="CR56" s="23"/>
      <c r="CS56" s="23"/>
      <c r="CT56" s="23"/>
    </row>
    <row r="57" spans="2:98">
      <c r="B57" s="23"/>
      <c r="C57" s="112"/>
      <c r="D57" s="32" t="str">
        <f t="shared" si="2"/>
        <v/>
      </c>
      <c r="E57" s="32"/>
      <c r="F57" s="66"/>
      <c r="G57" s="32"/>
      <c r="H57" s="79"/>
      <c r="I57" s="40"/>
      <c r="J57" s="40"/>
      <c r="K57" s="40"/>
      <c r="L57" s="40"/>
      <c r="M57" s="40"/>
      <c r="N57" s="67"/>
      <c r="O57" s="40"/>
      <c r="P57" s="40"/>
      <c r="Q57" s="40" t="str">
        <f t="shared" si="0"/>
        <v/>
      </c>
      <c r="R57" s="67" t="str">
        <f>IF(D57="","",_xll.TR($D57,R$7,"Curn=#2 scale=6",,$F57,$H$6))</f>
        <v/>
      </c>
      <c r="S57" s="68"/>
      <c r="T57" s="68" t="str">
        <f>_xll.TR(D57,T$7,"Curn=#2 Scale=6 Transpose=Y Null=BLANK",,$Q57,$H$6)</f>
        <v>No universe defined.</v>
      </c>
      <c r="U57" s="68" t="str">
        <f>IF($D57="","",IFERROR(_xll.TR($D57,U$7,"Curn=#2 Scale=6 Null=BLANK",,$Q57,$H$6),"-"))</f>
        <v/>
      </c>
      <c r="V57" s="68" t="str">
        <f>IF($D57="","",IFERROR(_xll.TR($D57,V$7,"Curn=#2 Scale=6 Null=BLANK",,$Q57,$H$6),"-"))</f>
        <v/>
      </c>
      <c r="W57" s="68"/>
      <c r="X57" s="68" t="str">
        <f>_xll.TR($D57,X$7,"Curn=#2 Scale=6 Transpose=Y Null=BLANK",,$Q57,$H$6)</f>
        <v>No universe defined.</v>
      </c>
      <c r="Y57" s="68" t="str">
        <f>IF($D57="","",IFERROR($Q57/_xll.TR($D57,Y$7,"Curn=#1 Scale=6 Null=BLANK",,$H$6),"-"))</f>
        <v/>
      </c>
      <c r="Z57" s="68" t="str">
        <f>IF($D57="","",IFERROR($Q57/_xll.TR($D57,Z$7,"Curn=#1 Scale=6 Null=BLANK",,$H$6),"-"))</f>
        <v/>
      </c>
      <c r="AA57" s="68"/>
      <c r="AB57" s="68" t="str">
        <f>_xll.TR($D57,AB$7,"Curn=#2 Scale=6 Period=FY1:FY3 Transpose=Y Null=BLANK",,$Q57,$H$6)</f>
        <v>No universe defined.</v>
      </c>
      <c r="AC57" s="68"/>
      <c r="AD57" s="68"/>
      <c r="AE57" s="68"/>
      <c r="AF57" s="68" t="str">
        <f>_xll.TR($D57,AF$7,"Curn=#2 Scale=6 Transpose=Y Null=BLANK",,$Q57,$H$6)</f>
        <v>No universe defined.</v>
      </c>
      <c r="AG57" s="68"/>
      <c r="AH57" s="68"/>
      <c r="AI57" s="69"/>
      <c r="AJ57" s="69"/>
      <c r="AK57" s="69"/>
      <c r="AL57" s="69"/>
      <c r="AM57" s="69"/>
      <c r="AN57" s="70"/>
      <c r="AO57" s="70"/>
      <c r="AP57" s="70"/>
      <c r="AQ57" s="70"/>
      <c r="AR57" s="70"/>
      <c r="AS57" s="70"/>
      <c r="AT57" s="71" t="str">
        <f t="shared" si="1"/>
        <v/>
      </c>
      <c r="AU57" s="40"/>
      <c r="AV57" s="40"/>
      <c r="AW57" s="40"/>
      <c r="AX57" s="40"/>
      <c r="AY57" s="40"/>
      <c r="AZ57" s="40"/>
      <c r="BA57" s="40"/>
      <c r="BB57" s="40"/>
      <c r="BC57" s="80"/>
      <c r="BD57" s="80"/>
      <c r="BE57" s="80"/>
      <c r="BF57" s="40"/>
      <c r="BG57" s="40"/>
      <c r="BH57" s="40"/>
      <c r="BI57" s="80"/>
      <c r="BJ57" s="80"/>
      <c r="BK57" s="80"/>
      <c r="BL57" s="40"/>
      <c r="BM57" s="40"/>
      <c r="BN57" s="40"/>
      <c r="BO57" s="40"/>
      <c r="BP57" s="79"/>
      <c r="BQ57" s="79"/>
      <c r="BR57" s="79"/>
      <c r="BS57" s="79"/>
      <c r="BT57" s="40"/>
      <c r="BU57" s="40"/>
      <c r="BV57" s="40"/>
      <c r="BW57" s="40"/>
      <c r="BX57" s="40"/>
      <c r="BY57" s="40"/>
      <c r="BZ57" s="40"/>
      <c r="CA57" s="40"/>
      <c r="CD57" s="56"/>
      <c r="CM57" s="23"/>
      <c r="CN57" s="25"/>
      <c r="CO57" s="25"/>
      <c r="CP57" s="25"/>
      <c r="CQ57" s="23"/>
      <c r="CR57" s="23"/>
      <c r="CS57" s="23"/>
      <c r="CT57" s="23"/>
    </row>
    <row r="58" spans="2:98">
      <c r="B58" s="23"/>
      <c r="C58" s="112"/>
      <c r="D58" s="32" t="str">
        <f t="shared" si="2"/>
        <v/>
      </c>
      <c r="E58" s="32"/>
      <c r="F58" s="66"/>
      <c r="G58" s="32"/>
      <c r="H58" s="79"/>
      <c r="I58" s="40"/>
      <c r="J58" s="40"/>
      <c r="K58" s="40"/>
      <c r="L58" s="40"/>
      <c r="M58" s="40"/>
      <c r="N58" s="67"/>
      <c r="O58" s="40"/>
      <c r="P58" s="40"/>
      <c r="Q58" s="40" t="str">
        <f t="shared" si="0"/>
        <v/>
      </c>
      <c r="R58" s="67" t="str">
        <f>IF(D58="","",_xll.TR($D58,R$7,"Curn=#2 scale=6",,$F58,$H$6))</f>
        <v/>
      </c>
      <c r="S58" s="68"/>
      <c r="T58" s="68" t="str">
        <f>_xll.TR(D58,T$7,"Curn=#2 Scale=6 Transpose=Y Null=BLANK",,$Q58,$H$6)</f>
        <v>No universe defined.</v>
      </c>
      <c r="U58" s="68" t="str">
        <f>IF($D58="","",IFERROR(_xll.TR($D58,U$7,"Curn=#2 Scale=6 Null=BLANK",,$Q58,$H$6),"-"))</f>
        <v/>
      </c>
      <c r="V58" s="68" t="str">
        <f>IF($D58="","",IFERROR(_xll.TR($D58,V$7,"Curn=#2 Scale=6 Null=BLANK",,$Q58,$H$6),"-"))</f>
        <v/>
      </c>
      <c r="W58" s="68"/>
      <c r="X58" s="68" t="str">
        <f>_xll.TR($D58,X$7,"Curn=#2 Scale=6 Transpose=Y Null=BLANK",,$Q58,$H$6)</f>
        <v>No universe defined.</v>
      </c>
      <c r="Y58" s="68" t="str">
        <f>IF($D58="","",IFERROR($Q58/_xll.TR($D58,Y$7,"Curn=#1 Scale=6 Null=BLANK",,$H$6),"-"))</f>
        <v/>
      </c>
      <c r="Z58" s="68" t="str">
        <f>IF($D58="","",IFERROR($Q58/_xll.TR($D58,Z$7,"Curn=#1 Scale=6 Null=BLANK",,$H$6),"-"))</f>
        <v/>
      </c>
      <c r="AA58" s="68"/>
      <c r="AB58" s="68" t="str">
        <f>_xll.TR($D58,AB$7,"Curn=#2 Scale=6 Period=FY1:FY3 Transpose=Y Null=BLANK",,$Q58,$H$6)</f>
        <v>No universe defined.</v>
      </c>
      <c r="AC58" s="68"/>
      <c r="AD58" s="68"/>
      <c r="AE58" s="68"/>
      <c r="AF58" s="68" t="str">
        <f>_xll.TR($D58,AF$7,"Curn=#2 Scale=6 Transpose=Y Null=BLANK",,$Q58,$H$6)</f>
        <v>No universe defined.</v>
      </c>
      <c r="AG58" s="68"/>
      <c r="AH58" s="68"/>
      <c r="AI58" s="69"/>
      <c r="AJ58" s="69"/>
      <c r="AK58" s="69"/>
      <c r="AL58" s="69"/>
      <c r="AM58" s="69"/>
      <c r="AN58" s="70"/>
      <c r="AO58" s="70"/>
      <c r="AP58" s="70"/>
      <c r="AQ58" s="70"/>
      <c r="AR58" s="70"/>
      <c r="AS58" s="70"/>
      <c r="AT58" s="71" t="str">
        <f t="shared" si="1"/>
        <v/>
      </c>
      <c r="AU58" s="40"/>
      <c r="AV58" s="40"/>
      <c r="AW58" s="40"/>
      <c r="AX58" s="40"/>
      <c r="AY58" s="40"/>
      <c r="AZ58" s="40"/>
      <c r="BA58" s="40"/>
      <c r="BB58" s="40"/>
      <c r="BC58" s="80"/>
      <c r="BD58" s="80"/>
      <c r="BE58" s="80"/>
      <c r="BF58" s="40"/>
      <c r="BG58" s="40"/>
      <c r="BH58" s="40"/>
      <c r="BI58" s="80"/>
      <c r="BJ58" s="80"/>
      <c r="BK58" s="80"/>
      <c r="BL58" s="40"/>
      <c r="BM58" s="40"/>
      <c r="BN58" s="40"/>
      <c r="BO58" s="40"/>
      <c r="BP58" s="79"/>
      <c r="BQ58" s="79"/>
      <c r="BR58" s="79"/>
      <c r="BS58" s="79"/>
      <c r="BT58" s="40"/>
      <c r="BU58" s="40"/>
      <c r="BV58" s="40"/>
      <c r="BW58" s="40"/>
      <c r="BX58" s="40"/>
      <c r="BY58" s="40"/>
      <c r="BZ58" s="40"/>
      <c r="CA58" s="40"/>
      <c r="CD58" s="56"/>
      <c r="CM58" s="23"/>
      <c r="CN58" s="25"/>
      <c r="CO58" s="25"/>
      <c r="CP58" s="25"/>
      <c r="CQ58" s="23"/>
      <c r="CR58" s="23"/>
      <c r="CS58" s="23"/>
      <c r="CT58" s="23"/>
    </row>
    <row r="59" spans="2:98">
      <c r="B59" s="23"/>
      <c r="C59" s="112"/>
      <c r="D59" s="32" t="str">
        <f t="shared" si="2"/>
        <v/>
      </c>
      <c r="E59" s="32"/>
      <c r="F59" s="66"/>
      <c r="G59" s="32"/>
      <c r="H59" s="79"/>
      <c r="I59" s="40"/>
      <c r="J59" s="40"/>
      <c r="K59" s="40"/>
      <c r="L59" s="40"/>
      <c r="M59" s="40"/>
      <c r="N59" s="67"/>
      <c r="O59" s="40"/>
      <c r="P59" s="40"/>
      <c r="Q59" s="40" t="str">
        <f t="shared" si="0"/>
        <v/>
      </c>
      <c r="R59" s="67" t="str">
        <f>IF(D59="","",_xll.TR($D59,R$7,"Curn=#2 scale=6",,$F59,$H$6))</f>
        <v/>
      </c>
      <c r="S59" s="68"/>
      <c r="T59" s="68" t="str">
        <f>_xll.TR(D59,T$7,"Curn=#2 Scale=6 Transpose=Y Null=BLANK",,$Q59,$H$6)</f>
        <v>No universe defined.</v>
      </c>
      <c r="U59" s="68" t="str">
        <f>IF($D59="","",IFERROR(_xll.TR($D59,U$7,"Curn=#2 Scale=6 Null=BLANK",,$Q59,$H$6),"-"))</f>
        <v/>
      </c>
      <c r="V59" s="68" t="str">
        <f>IF($D59="","",IFERROR(_xll.TR($D59,V$7,"Curn=#2 Scale=6 Null=BLANK",,$Q59,$H$6),"-"))</f>
        <v/>
      </c>
      <c r="W59" s="68"/>
      <c r="X59" s="68" t="str">
        <f>_xll.TR($D59,X$7,"Curn=#2 Scale=6 Transpose=Y Null=BLANK",,$Q59,$H$6)</f>
        <v>No universe defined.</v>
      </c>
      <c r="Y59" s="68" t="str">
        <f>IF($D59="","",IFERROR($Q59/_xll.TR($D59,Y$7,"Curn=#1 Scale=6 Null=BLANK",,$H$6),"-"))</f>
        <v/>
      </c>
      <c r="Z59" s="68" t="str">
        <f>IF($D59="","",IFERROR($Q59/_xll.TR($D59,Z$7,"Curn=#1 Scale=6 Null=BLANK",,$H$6),"-"))</f>
        <v/>
      </c>
      <c r="AA59" s="68"/>
      <c r="AB59" s="68" t="str">
        <f>_xll.TR($D59,AB$7,"Curn=#2 Scale=6 Period=FY1:FY3 Transpose=Y Null=BLANK",,$Q59,$H$6)</f>
        <v>No universe defined.</v>
      </c>
      <c r="AC59" s="68"/>
      <c r="AD59" s="68"/>
      <c r="AE59" s="68"/>
      <c r="AF59" s="68" t="str">
        <f>_xll.TR($D59,AF$7,"Curn=#2 Scale=6 Transpose=Y Null=BLANK",,$Q59,$H$6)</f>
        <v>No universe defined.</v>
      </c>
      <c r="AG59" s="68"/>
      <c r="AH59" s="68"/>
      <c r="AI59" s="69"/>
      <c r="AJ59" s="69"/>
      <c r="AK59" s="69"/>
      <c r="AL59" s="69"/>
      <c r="AM59" s="69"/>
      <c r="AN59" s="70"/>
      <c r="AO59" s="70"/>
      <c r="AP59" s="70"/>
      <c r="AQ59" s="70"/>
      <c r="AR59" s="70"/>
      <c r="AS59" s="70"/>
      <c r="AT59" s="71" t="str">
        <f t="shared" si="1"/>
        <v/>
      </c>
      <c r="AU59" s="40"/>
      <c r="AV59" s="40"/>
      <c r="AW59" s="40"/>
      <c r="AX59" s="40"/>
      <c r="AY59" s="40"/>
      <c r="AZ59" s="40"/>
      <c r="BA59" s="40"/>
      <c r="BB59" s="40"/>
      <c r="BC59" s="80"/>
      <c r="BD59" s="80"/>
      <c r="BE59" s="80"/>
      <c r="BF59" s="40"/>
      <c r="BG59" s="40"/>
      <c r="BH59" s="40"/>
      <c r="BI59" s="80"/>
      <c r="BJ59" s="80"/>
      <c r="BK59" s="80"/>
      <c r="BL59" s="40"/>
      <c r="BM59" s="40"/>
      <c r="BN59" s="40"/>
      <c r="BO59" s="40"/>
      <c r="BP59" s="79"/>
      <c r="BQ59" s="79"/>
      <c r="BR59" s="79"/>
      <c r="BS59" s="79"/>
      <c r="BT59" s="40"/>
      <c r="BU59" s="40"/>
      <c r="BV59" s="40"/>
      <c r="BW59" s="40"/>
      <c r="BX59" s="40"/>
      <c r="BY59" s="40"/>
      <c r="BZ59" s="40"/>
      <c r="CA59" s="40"/>
      <c r="CD59" s="56"/>
      <c r="CM59" s="23"/>
      <c r="CN59" s="25"/>
      <c r="CO59" s="25"/>
      <c r="CP59" s="25"/>
      <c r="CQ59" s="23"/>
      <c r="CR59" s="23"/>
      <c r="CS59" s="23"/>
      <c r="CT59" s="23"/>
    </row>
    <row r="60" spans="2:98">
      <c r="B60" s="23"/>
      <c r="C60" s="104"/>
      <c r="D60" s="32" t="str">
        <f t="shared" si="2"/>
        <v/>
      </c>
      <c r="E60" s="32"/>
      <c r="F60" s="66"/>
      <c r="G60" s="32"/>
      <c r="H60" s="79"/>
      <c r="I60" s="40"/>
      <c r="J60" s="40"/>
      <c r="K60" s="40"/>
      <c r="L60" s="40"/>
      <c r="M60" s="40"/>
      <c r="N60" s="67"/>
      <c r="O60" s="40"/>
      <c r="P60" s="40"/>
      <c r="Q60" s="40" t="str">
        <f t="shared" si="0"/>
        <v/>
      </c>
      <c r="R60" s="67" t="str">
        <f>IF(D60="","",_xll.TR($D60,R$7,"Curn=#2 scale=6",,$F60,$H$6))</f>
        <v/>
      </c>
      <c r="S60" s="68"/>
      <c r="T60" s="68" t="str">
        <f>_xll.TR(D60,T$7,"Curn=#2 Scale=6 Transpose=Y Null=BLANK",,$Q60,$H$6)</f>
        <v>No universe defined.</v>
      </c>
      <c r="U60" s="68" t="str">
        <f>IF($D60="","",IFERROR(_xll.TR($D60,U$7,"Curn=#2 Scale=6 Null=BLANK",,$Q60,$H$6),"-"))</f>
        <v/>
      </c>
      <c r="V60" s="68" t="str">
        <f>IF($D60="","",IFERROR(_xll.TR($D60,V$7,"Curn=#2 Scale=6 Null=BLANK",,$Q60,$H$6),"-"))</f>
        <v/>
      </c>
      <c r="W60" s="68"/>
      <c r="X60" s="68" t="str">
        <f>_xll.TR($D60,X$7,"Curn=#2 Scale=6 Transpose=Y Null=BLANK",,$Q60,$H$6)</f>
        <v>No universe defined.</v>
      </c>
      <c r="Y60" s="68" t="str">
        <f>IF($D60="","",IFERROR($Q60/_xll.TR($D60,Y$7,"Curn=#1 Scale=6 Null=BLANK",,$H$6),"-"))</f>
        <v/>
      </c>
      <c r="Z60" s="68" t="str">
        <f>IF($D60="","",IFERROR($Q60/_xll.TR($D60,Z$7,"Curn=#1 Scale=6 Null=BLANK",,$H$6),"-"))</f>
        <v/>
      </c>
      <c r="AA60" s="68"/>
      <c r="AB60" s="68" t="str">
        <f>_xll.TR($D60,AB$7,"Curn=#2 Scale=6 Period=FY1:FY3 Transpose=Y Null=BLANK",,$Q60,$H$6)</f>
        <v>No universe defined.</v>
      </c>
      <c r="AC60" s="68"/>
      <c r="AD60" s="68"/>
      <c r="AE60" s="68"/>
      <c r="AF60" s="68" t="str">
        <f>_xll.TR($D60,AF$7,"Curn=#2 Scale=6 Transpose=Y Null=BLANK",,$Q60,$H$6)</f>
        <v>No universe defined.</v>
      </c>
      <c r="AG60" s="68"/>
      <c r="AH60" s="68"/>
      <c r="AI60" s="69"/>
      <c r="AJ60" s="69"/>
      <c r="AK60" s="69"/>
      <c r="AL60" s="69"/>
      <c r="AM60" s="69"/>
      <c r="AN60" s="70"/>
      <c r="AO60" s="70"/>
      <c r="AP60" s="70"/>
      <c r="AQ60" s="70"/>
      <c r="AR60" s="70"/>
      <c r="AS60" s="70"/>
      <c r="AT60" s="71" t="str">
        <f t="shared" si="1"/>
        <v/>
      </c>
      <c r="AU60" s="40"/>
      <c r="AV60" s="40"/>
      <c r="AW60" s="40"/>
      <c r="AX60" s="40"/>
      <c r="AY60" s="40"/>
      <c r="AZ60" s="40"/>
      <c r="BA60" s="40"/>
      <c r="BB60" s="40"/>
      <c r="BC60" s="80"/>
      <c r="BD60" s="80"/>
      <c r="BE60" s="80"/>
      <c r="BF60" s="40"/>
      <c r="BG60" s="40"/>
      <c r="BH60" s="40"/>
      <c r="BI60" s="80"/>
      <c r="BJ60" s="80"/>
      <c r="BK60" s="80"/>
      <c r="BL60" s="40"/>
      <c r="BM60" s="40"/>
      <c r="BN60" s="40"/>
      <c r="BO60" s="40"/>
      <c r="BP60" s="79"/>
      <c r="BQ60" s="79"/>
      <c r="BR60" s="79"/>
      <c r="BS60" s="79"/>
      <c r="BT60" s="40"/>
      <c r="BU60" s="40"/>
      <c r="BV60" s="40"/>
      <c r="BW60" s="40"/>
      <c r="BX60" s="40"/>
      <c r="BY60" s="40"/>
      <c r="BZ60" s="40"/>
      <c r="CA60" s="40"/>
      <c r="CD60" s="56"/>
      <c r="CM60" s="23"/>
      <c r="CN60" s="25"/>
      <c r="CO60" s="25"/>
      <c r="CP60" s="25"/>
      <c r="CQ60" s="23"/>
      <c r="CR60" s="23"/>
      <c r="CS60" s="23"/>
      <c r="CT60" s="23"/>
    </row>
    <row r="61" spans="2:98">
      <c r="CD61" s="56"/>
      <c r="CS61" s="23"/>
      <c r="CT61" s="23"/>
    </row>
    <row r="62" spans="2:98">
      <c r="CS62" s="23"/>
      <c r="CT62" s="23"/>
    </row>
    <row r="63" spans="2:98">
      <c r="CS63" s="23"/>
      <c r="CT63" s="23"/>
    </row>
    <row r="64" spans="2:98">
      <c r="CS64" s="23"/>
      <c r="CT64" s="23"/>
    </row>
    <row r="65" spans="97:98">
      <c r="CS65" s="23"/>
      <c r="CT65" s="23"/>
    </row>
    <row r="66" spans="97:98">
      <c r="CS66" s="23"/>
      <c r="CT66" s="23"/>
    </row>
    <row r="67" spans="97:98">
      <c r="CS67" s="23"/>
      <c r="CT67" s="23"/>
    </row>
    <row r="68" spans="97:98">
      <c r="CS68" s="23"/>
      <c r="CT68" s="23"/>
    </row>
    <row r="69" spans="97:98">
      <c r="CS69" s="23"/>
      <c r="CT69" s="23"/>
    </row>
    <row r="70" spans="97:98">
      <c r="CS70" s="23"/>
      <c r="CT70" s="23"/>
    </row>
    <row r="71" spans="97:98">
      <c r="CS71" s="23"/>
      <c r="CT71" s="23"/>
    </row>
    <row r="72" spans="97:98">
      <c r="CS72" s="23"/>
      <c r="CT72" s="23"/>
    </row>
    <row r="73" spans="97:98">
      <c r="CS73" s="23"/>
      <c r="CT73" s="23"/>
    </row>
    <row r="74" spans="97:98">
      <c r="CS74" s="23"/>
      <c r="CT74" s="23"/>
    </row>
    <row r="75" spans="97:98">
      <c r="CS75" s="23"/>
      <c r="CT75" s="23"/>
    </row>
    <row r="76" spans="97:98">
      <c r="CS76" s="23"/>
      <c r="CT76" s="23"/>
    </row>
    <row r="77" spans="97:98">
      <c r="CS77" s="23"/>
      <c r="CT77" s="23"/>
    </row>
    <row r="78" spans="97:98">
      <c r="CS78" s="23"/>
      <c r="CT78" s="23"/>
    </row>
    <row r="79" spans="97:98">
      <c r="CS79" s="23"/>
      <c r="CT79" s="23"/>
    </row>
    <row r="80" spans="97:98">
      <c r="CS80" s="23"/>
      <c r="CT80" s="23"/>
    </row>
    <row r="81" spans="97:98">
      <c r="CS81" s="23"/>
      <c r="CT81" s="23"/>
    </row>
    <row r="82" spans="97:98">
      <c r="CS82" s="23"/>
      <c r="CT82" s="23"/>
    </row>
    <row r="83" spans="97:98">
      <c r="CS83" s="23"/>
      <c r="CT83" s="23"/>
    </row>
    <row r="84" spans="97:98">
      <c r="CS84" s="23"/>
      <c r="CT84" s="23"/>
    </row>
    <row r="85" spans="97:98">
      <c r="CS85" s="23"/>
      <c r="CT85" s="23"/>
    </row>
    <row r="86" spans="97:98">
      <c r="CS86" s="23"/>
      <c r="CT86" s="23"/>
    </row>
    <row r="87" spans="97:98">
      <c r="CS87" s="23"/>
      <c r="CT87" s="23"/>
    </row>
    <row r="88" spans="97:98">
      <c r="CS88" s="23"/>
      <c r="CT88" s="23"/>
    </row>
    <row r="89" spans="97:98">
      <c r="CS89" s="23"/>
      <c r="CT89" s="23"/>
    </row>
    <row r="90" spans="97:98">
      <c r="CS90" s="23"/>
      <c r="CT90" s="23"/>
    </row>
    <row r="91" spans="97:98">
      <c r="CS91" s="23"/>
      <c r="CT91" s="23"/>
    </row>
    <row r="92" spans="97:98">
      <c r="CS92" s="23"/>
      <c r="CT92" s="23"/>
    </row>
    <row r="93" spans="97:98">
      <c r="CS93" s="23"/>
      <c r="CT93" s="23"/>
    </row>
    <row r="94" spans="97:98">
      <c r="CS94" s="23"/>
      <c r="CT94" s="23"/>
    </row>
    <row r="95" spans="97:98">
      <c r="CS95" s="23"/>
      <c r="CT95" s="23"/>
    </row>
    <row r="96" spans="97:98">
      <c r="CS96" s="23"/>
      <c r="CT96" s="23"/>
    </row>
    <row r="97" spans="97:98">
      <c r="CS97" s="23"/>
      <c r="CT97" s="23"/>
    </row>
    <row r="98" spans="97:98">
      <c r="CS98" s="23"/>
      <c r="CT98" s="23"/>
    </row>
    <row r="99" spans="97:98">
      <c r="CS99" s="23"/>
      <c r="CT99" s="23"/>
    </row>
    <row r="100" spans="97:98">
      <c r="CS100" s="23"/>
      <c r="CT100" s="23"/>
    </row>
    <row r="101" spans="97:98">
      <c r="CS101" s="23"/>
      <c r="CT101" s="23"/>
    </row>
    <row r="102" spans="97:98">
      <c r="CS102" s="23"/>
      <c r="CT102" s="23"/>
    </row>
    <row r="103" spans="97:98">
      <c r="CS103" s="23"/>
      <c r="CT103" s="23"/>
    </row>
    <row r="104" spans="97:98">
      <c r="CS104" s="23"/>
      <c r="CT104" s="23"/>
    </row>
    <row r="105" spans="97:98">
      <c r="CS105" s="23"/>
      <c r="CT105" s="23"/>
    </row>
    <row r="106" spans="97:98">
      <c r="CS106" s="23"/>
      <c r="CT106" s="23"/>
    </row>
    <row r="107" spans="97:98">
      <c r="CS107" s="23"/>
      <c r="CT107" s="23"/>
    </row>
    <row r="108" spans="97:98">
      <c r="CS108" s="23"/>
      <c r="CT108" s="23"/>
    </row>
    <row r="109" spans="97:98">
      <c r="CS109" s="23"/>
      <c r="CT109" s="23"/>
    </row>
    <row r="110" spans="97:98">
      <c r="CS110" s="23"/>
      <c r="CT110" s="23"/>
    </row>
    <row r="111" spans="97:98">
      <c r="CS111" s="23"/>
      <c r="CT111" s="23"/>
    </row>
    <row r="112" spans="97:98">
      <c r="CS112" s="23"/>
      <c r="CT112" s="23"/>
    </row>
    <row r="113" spans="97:98">
      <c r="CS113" s="23"/>
      <c r="CT113" s="23"/>
    </row>
    <row r="114" spans="97:98">
      <c r="CS114" s="23"/>
      <c r="CT114" s="23"/>
    </row>
    <row r="115" spans="97:98">
      <c r="CS115" s="23"/>
      <c r="CT115" s="23"/>
    </row>
    <row r="116" spans="97:98">
      <c r="CS116" s="23"/>
      <c r="CT116" s="23"/>
    </row>
    <row r="117" spans="97:98">
      <c r="CS117" s="23"/>
      <c r="CT117" s="23"/>
    </row>
    <row r="118" spans="97:98">
      <c r="CS118" s="23"/>
      <c r="CT118" s="23"/>
    </row>
    <row r="119" spans="97:98">
      <c r="CS119" s="23"/>
      <c r="CT119" s="23"/>
    </row>
    <row r="120" spans="97:98">
      <c r="CS120" s="23"/>
      <c r="CT120" s="23"/>
    </row>
    <row r="121" spans="97:98">
      <c r="CS121" s="23"/>
      <c r="CT121" s="23"/>
    </row>
    <row r="122" spans="97:98">
      <c r="CS122" s="23"/>
      <c r="CT122" s="23"/>
    </row>
    <row r="123" spans="97:98">
      <c r="CS123" s="23"/>
      <c r="CT123" s="23"/>
    </row>
    <row r="124" spans="97:98">
      <c r="CS124" s="23"/>
      <c r="CT124" s="23"/>
    </row>
    <row r="125" spans="97:98">
      <c r="CS125" s="23"/>
      <c r="CT125" s="23"/>
    </row>
    <row r="126" spans="97:98">
      <c r="CS126" s="23"/>
      <c r="CT126" s="23"/>
    </row>
    <row r="127" spans="97:98">
      <c r="CS127" s="23"/>
      <c r="CT127" s="23"/>
    </row>
    <row r="128" spans="97:98">
      <c r="CS128" s="23"/>
      <c r="CT128" s="23"/>
    </row>
    <row r="129" spans="97:98">
      <c r="CS129" s="23"/>
      <c r="CT129" s="23"/>
    </row>
    <row r="130" spans="97:98">
      <c r="CS130" s="23"/>
      <c r="CT130" s="23"/>
    </row>
    <row r="131" spans="97:98">
      <c r="CS131" s="23"/>
      <c r="CT131" s="23"/>
    </row>
    <row r="132" spans="97:98">
      <c r="CS132" s="23"/>
      <c r="CT132" s="23"/>
    </row>
    <row r="133" spans="97:98">
      <c r="CS133" s="23"/>
      <c r="CT133" s="23"/>
    </row>
    <row r="134" spans="97:98">
      <c r="CS134" s="23"/>
      <c r="CT134" s="23"/>
    </row>
    <row r="135" spans="97:98">
      <c r="CS135" s="23"/>
      <c r="CT135" s="23"/>
    </row>
    <row r="136" spans="97:98">
      <c r="CS136" s="23"/>
      <c r="CT136" s="23"/>
    </row>
    <row r="137" spans="97:98">
      <c r="CS137" s="23"/>
      <c r="CT137" s="23"/>
    </row>
    <row r="138" spans="97:98">
      <c r="CS138" s="23"/>
      <c r="CT138" s="23"/>
    </row>
    <row r="139" spans="97:98">
      <c r="CS139" s="23"/>
      <c r="CT139" s="23"/>
    </row>
    <row r="140" spans="97:98">
      <c r="CS140" s="23"/>
      <c r="CT140" s="23"/>
    </row>
    <row r="141" spans="97:98">
      <c r="CS141" s="23"/>
      <c r="CT141" s="23"/>
    </row>
    <row r="142" spans="97:98">
      <c r="CS142" s="23"/>
      <c r="CT142" s="23"/>
    </row>
    <row r="143" spans="97:98">
      <c r="CS143" s="23"/>
      <c r="CT143" s="23"/>
    </row>
    <row r="144" spans="97:98">
      <c r="CS144" s="23"/>
      <c r="CT144" s="23"/>
    </row>
    <row r="145" spans="97:98">
      <c r="CS145" s="23"/>
      <c r="CT145" s="23"/>
    </row>
    <row r="146" spans="97:98">
      <c r="CS146" s="23"/>
      <c r="CT146" s="23"/>
    </row>
    <row r="147" spans="97:98">
      <c r="CS147" s="23"/>
      <c r="CT147" s="23"/>
    </row>
    <row r="148" spans="97:98">
      <c r="CS148" s="23"/>
      <c r="CT148" s="23"/>
    </row>
    <row r="149" spans="97:98">
      <c r="CS149" s="23"/>
      <c r="CT149" s="23"/>
    </row>
    <row r="150" spans="97:98">
      <c r="CS150" s="23"/>
      <c r="CT150" s="23"/>
    </row>
    <row r="151" spans="97:98">
      <c r="CS151" s="23"/>
      <c r="CT151" s="23"/>
    </row>
    <row r="152" spans="97:98">
      <c r="CS152" s="23"/>
      <c r="CT152" s="23"/>
    </row>
    <row r="153" spans="97:98">
      <c r="CS153" s="23"/>
      <c r="CT153" s="23"/>
    </row>
    <row r="154" spans="97:98">
      <c r="CS154" s="23"/>
      <c r="CT154" s="23"/>
    </row>
    <row r="155" spans="97:98">
      <c r="CS155" s="23"/>
      <c r="CT155" s="23"/>
    </row>
    <row r="156" spans="97:98">
      <c r="CS156" s="23"/>
      <c r="CT156" s="23"/>
    </row>
  </sheetData>
  <phoneticPr fontId="141" type="noConversion"/>
  <conditionalFormatting sqref="T11:CA60">
    <cfRule type="expression" dxfId="2" priority="6">
      <formula>ISTEXT(T11)</formula>
    </cfRule>
  </conditionalFormatting>
  <conditionalFormatting sqref="F4">
    <cfRule type="expression" dxfId="1" priority="3">
      <formula>$E$4="사용안함"</formula>
    </cfRule>
  </conditionalFormatting>
  <conditionalFormatting sqref="E4">
    <cfRule type="expression" dxfId="0" priority="2">
      <formula>$E$4="사용안함"</formula>
    </cfRule>
  </conditionalFormatting>
  <dataValidations disablePrompts="1" count="3">
    <dataValidation type="list" allowBlank="1" showInputMessage="1" showErrorMessage="1" sqref="E4" xr:uid="{3243126D-3379-4480-B3BE-699EAB3EFD30}">
      <formula1>"사용안함,&gt;=,&lt;="</formula1>
    </dataValidation>
    <dataValidation type="list" allowBlank="1" showInputMessage="1" showErrorMessage="1" sqref="C9" xr:uid="{AB49D5EF-88C0-43D5-BE09-8210B6FD1308}">
      <formula1>"User Input, Automatic"</formula1>
    </dataValidation>
    <dataValidation type="whole" allowBlank="1" showInputMessage="1" showErrorMessage="1" sqref="E6" xr:uid="{11B61413-0D42-4DB0-AFD1-1E8D268476CA}">
      <formula1>1</formula1>
      <formula2>50</formula2>
    </dataValidation>
  </dataValidations>
  <pageMargins left="0.7" right="0.7" top="0.75" bottom="0.75" header="0.3" footer="0.3"/>
  <pageSetup orientation="portrait" r:id="rId1"/>
  <headerFooter>
    <oddFooter>&amp;L&amp;1#&amp;"Calibri"&amp;8&amp;K000000Sensitivity: Confidential</oddFooter>
  </headerFooter>
  <drawing r:id="rId2"/>
  <legacyDrawing r:id="rId3"/>
  <extLst>
    <ext xmlns:x14="http://schemas.microsoft.com/office/spreadsheetml/2009/9/main" uri="{CCE6A557-97BC-4b89-ADB6-D9C93CAAB3DF}">
      <x14:dataValidations xmlns:xm="http://schemas.microsoft.com/office/excel/2006/main" disablePrompts="1" count="2">
        <x14:dataValidation type="list" allowBlank="1" showInputMessage="1" showErrorMessage="1" xr:uid="{A789BFF7-C2BA-4823-8D27-2CE9E975EEC6}">
          <x14:formula1>
            <xm:f>Index!$D$5:$D$9</xm:f>
          </x14:formula1>
          <xm:sqref>E3</xm:sqref>
        </x14:dataValidation>
        <x14:dataValidation type="list" allowBlank="1" showInputMessage="1" showErrorMessage="1" xr:uid="{8A4B2B65-46BF-4ADD-9064-5D731F184A7F}">
          <x14:formula1>
            <xm:f>Index!$C$15:$C$22</xm:f>
          </x14:formula1>
          <xm:sqref>E5</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C0EE98-D3EB-4A07-9F4C-E25318429ABA}">
  <sheetPr>
    <tabColor rgb="FFFFFF00"/>
  </sheetPr>
  <dimension ref="B2:I28"/>
  <sheetViews>
    <sheetView showGridLines="0" workbookViewId="0">
      <selection activeCell="J6" sqref="J6"/>
    </sheetView>
  </sheetViews>
  <sheetFormatPr defaultRowHeight="16.5"/>
  <cols>
    <col min="1" max="1" width="2.625" customWidth="1"/>
    <col min="2" max="2" width="4.375" customWidth="1"/>
    <col min="3" max="3" width="23.5" customWidth="1"/>
    <col min="4" max="4" width="26.125" bestFit="1" customWidth="1"/>
    <col min="5" max="5" width="27.625" bestFit="1" customWidth="1"/>
    <col min="6" max="6" width="28.375" bestFit="1" customWidth="1"/>
    <col min="7" max="7" width="18.75" customWidth="1"/>
    <col min="8" max="8" width="26.625" bestFit="1" customWidth="1"/>
    <col min="9" max="9" width="25" bestFit="1" customWidth="1"/>
  </cols>
  <sheetData>
    <row r="2" spans="2:9">
      <c r="B2" s="115" t="s">
        <v>539</v>
      </c>
    </row>
    <row r="3" spans="2:9" ht="5.0999999999999996" customHeight="1"/>
    <row r="4" spans="2:9">
      <c r="B4" s="132" t="s">
        <v>566</v>
      </c>
      <c r="C4" s="133" t="s">
        <v>558</v>
      </c>
      <c r="D4" s="134" t="s">
        <v>567</v>
      </c>
      <c r="E4" s="133" t="s">
        <v>544</v>
      </c>
      <c r="F4" s="133"/>
      <c r="G4" s="134"/>
      <c r="H4" s="133" t="s">
        <v>559</v>
      </c>
      <c r="I4" s="134"/>
    </row>
    <row r="5" spans="2:9">
      <c r="B5" s="123" t="s">
        <v>553</v>
      </c>
      <c r="C5" s="124" t="s">
        <v>568</v>
      </c>
      <c r="D5" s="125" t="str">
        <f>B5&amp;": "&amp;C5</f>
        <v>Lv1: TRBC Economic Sector</v>
      </c>
      <c r="E5" s="124" t="s">
        <v>543</v>
      </c>
      <c r="F5" s="124" t="s">
        <v>542</v>
      </c>
      <c r="G5" s="125" t="s">
        <v>545</v>
      </c>
      <c r="H5" s="123" t="s">
        <v>552</v>
      </c>
      <c r="I5" s="125" t="s">
        <v>576</v>
      </c>
    </row>
    <row r="6" spans="2:9">
      <c r="B6" s="126" t="s">
        <v>554</v>
      </c>
      <c r="C6" s="127" t="s">
        <v>569</v>
      </c>
      <c r="D6" s="128" t="str">
        <f t="shared" ref="D6:D9" si="0">B6&amp;": "&amp;C6</f>
        <v>Lv2: TRBC Business Sector</v>
      </c>
      <c r="E6" s="127" t="s">
        <v>561</v>
      </c>
      <c r="F6" s="127" t="s">
        <v>572</v>
      </c>
      <c r="G6" s="128" t="s">
        <v>560</v>
      </c>
      <c r="H6" s="126" t="s">
        <v>562</v>
      </c>
      <c r="I6" s="128" t="s">
        <v>577</v>
      </c>
    </row>
    <row r="7" spans="2:9">
      <c r="B7" s="126" t="s">
        <v>555</v>
      </c>
      <c r="C7" s="127" t="s">
        <v>550</v>
      </c>
      <c r="D7" s="128" t="str">
        <f t="shared" si="0"/>
        <v>Lv3: TRBC Industry Group</v>
      </c>
      <c r="E7" s="127" t="s">
        <v>547</v>
      </c>
      <c r="F7" s="127" t="s">
        <v>573</v>
      </c>
      <c r="G7" s="128" t="s">
        <v>546</v>
      </c>
      <c r="H7" s="126" t="s">
        <v>551</v>
      </c>
      <c r="I7" s="128" t="s">
        <v>578</v>
      </c>
    </row>
    <row r="8" spans="2:9">
      <c r="B8" s="126" t="s">
        <v>556</v>
      </c>
      <c r="C8" s="127" t="s">
        <v>570</v>
      </c>
      <c r="D8" s="128" t="str">
        <f t="shared" si="0"/>
        <v>Lv4: TRBC Industry</v>
      </c>
      <c r="E8" s="127" t="s">
        <v>538</v>
      </c>
      <c r="F8" s="127" t="s">
        <v>574</v>
      </c>
      <c r="G8" s="128" t="s">
        <v>548</v>
      </c>
      <c r="H8" s="126" t="s">
        <v>549</v>
      </c>
      <c r="I8" s="128" t="s">
        <v>579</v>
      </c>
    </row>
    <row r="9" spans="2:9">
      <c r="B9" s="129" t="s">
        <v>557</v>
      </c>
      <c r="C9" s="130" t="s">
        <v>571</v>
      </c>
      <c r="D9" s="131" t="str">
        <f t="shared" si="0"/>
        <v>Lv5: TRBC Activity</v>
      </c>
      <c r="E9" s="130" t="s">
        <v>565</v>
      </c>
      <c r="F9" s="130" t="s">
        <v>575</v>
      </c>
      <c r="G9" s="131" t="s">
        <v>563</v>
      </c>
      <c r="H9" s="129" t="s">
        <v>564</v>
      </c>
      <c r="I9" s="131" t="s">
        <v>580</v>
      </c>
    </row>
    <row r="12" spans="2:9">
      <c r="B12" s="115" t="s">
        <v>541</v>
      </c>
    </row>
    <row r="14" spans="2:9">
      <c r="C14" t="s">
        <v>541</v>
      </c>
      <c r="D14" t="s">
        <v>634</v>
      </c>
    </row>
    <row r="15" spans="2:9">
      <c r="C15" t="s">
        <v>612</v>
      </c>
      <c r="D15" t="str">
        <f>""</f>
        <v/>
      </c>
    </row>
    <row r="16" spans="2:9">
      <c r="C16" t="s">
        <v>622</v>
      </c>
      <c r="D16" t="s">
        <v>627</v>
      </c>
    </row>
    <row r="17" spans="3:6">
      <c r="C17" t="s">
        <v>623</v>
      </c>
      <c r="D17" t="s">
        <v>626</v>
      </c>
    </row>
    <row r="18" spans="3:6">
      <c r="C18" t="s">
        <v>624</v>
      </c>
      <c r="D18" t="s">
        <v>625</v>
      </c>
    </row>
    <row r="19" spans="3:6">
      <c r="C19" t="s">
        <v>628</v>
      </c>
      <c r="D19" t="s">
        <v>629</v>
      </c>
    </row>
    <row r="20" spans="3:6">
      <c r="C20" t="s">
        <v>630</v>
      </c>
      <c r="D20" t="s">
        <v>633</v>
      </c>
    </row>
    <row r="21" spans="3:6">
      <c r="C21" t="s">
        <v>631</v>
      </c>
      <c r="D21" t="s">
        <v>632</v>
      </c>
    </row>
    <row r="22" spans="3:6">
      <c r="C22" t="s">
        <v>635</v>
      </c>
      <c r="D22" t="s">
        <v>636</v>
      </c>
    </row>
    <row r="25" spans="3:6">
      <c r="F25" s="114"/>
    </row>
    <row r="28" spans="3:6">
      <c r="D28" s="114"/>
    </row>
  </sheetData>
  <phoneticPr fontId="141" type="noConversion"/>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6F7CA3-058A-4218-8BB6-72A799179C33}">
  <dimension ref="A2:F239"/>
  <sheetViews>
    <sheetView workbookViewId="0">
      <selection activeCell="N19" sqref="N19"/>
    </sheetView>
  </sheetViews>
  <sheetFormatPr defaultRowHeight="16.5"/>
  <cols>
    <col min="1" max="2" width="2.625" customWidth="1"/>
    <col min="3" max="3" width="13.25" customWidth="1"/>
    <col min="4" max="4" width="6" customWidth="1"/>
    <col min="5" max="5" width="2.625" customWidth="1"/>
    <col min="6" max="6" width="37.875" customWidth="1"/>
  </cols>
  <sheetData>
    <row r="2" spans="1:6">
      <c r="B2" s="115" t="s">
        <v>528</v>
      </c>
      <c r="C2" s="115"/>
      <c r="D2" s="115"/>
    </row>
    <row r="3" spans="1:6">
      <c r="C3" t="s">
        <v>604</v>
      </c>
      <c r="D3" t="s">
        <v>521</v>
      </c>
    </row>
    <row r="4" spans="1:6">
      <c r="E4" t="s">
        <v>527</v>
      </c>
    </row>
    <row r="5" spans="1:6">
      <c r="F5" s="116" t="s">
        <v>526</v>
      </c>
    </row>
    <row r="6" spans="1:6">
      <c r="C6" s="117" t="s">
        <v>605</v>
      </c>
      <c r="F6" s="117" t="s">
        <v>525</v>
      </c>
    </row>
    <row r="7" spans="1:6">
      <c r="F7" s="118" t="s">
        <v>524</v>
      </c>
    </row>
    <row r="8" spans="1:6">
      <c r="C8" s="119" t="s">
        <v>530</v>
      </c>
      <c r="E8" s="119" t="s">
        <v>522</v>
      </c>
    </row>
    <row r="9" spans="1:6">
      <c r="E9" s="120" t="s">
        <v>607</v>
      </c>
    </row>
    <row r="11" spans="1:6">
      <c r="C11" t="s">
        <v>613</v>
      </c>
      <c r="D11" s="114" t="s">
        <v>603</v>
      </c>
    </row>
    <row r="12" spans="1:6">
      <c r="E12" t="s">
        <v>609</v>
      </c>
    </row>
    <row r="13" spans="1:6">
      <c r="A13" s="114"/>
      <c r="C13" s="117" t="s">
        <v>614</v>
      </c>
      <c r="F13" t="s">
        <v>610</v>
      </c>
    </row>
    <row r="14" spans="1:6">
      <c r="A14" s="114"/>
      <c r="C14" s="114"/>
      <c r="F14" t="s">
        <v>524</v>
      </c>
    </row>
    <row r="15" spans="1:6">
      <c r="A15" s="114"/>
      <c r="C15" s="114"/>
      <c r="E15" s="119" t="s">
        <v>608</v>
      </c>
    </row>
    <row r="16" spans="1:6">
      <c r="A16" s="114"/>
      <c r="C16" s="114"/>
      <c r="E16" s="120" t="s">
        <v>606</v>
      </c>
    </row>
    <row r="17" spans="1:6">
      <c r="A17" s="114"/>
      <c r="B17" s="115"/>
      <c r="C17" s="114"/>
    </row>
    <row r="18" spans="1:6">
      <c r="A18" s="114"/>
      <c r="B18" s="115"/>
      <c r="C18" t="s">
        <v>616</v>
      </c>
      <c r="D18" s="114" t="s">
        <v>615</v>
      </c>
    </row>
    <row r="19" spans="1:6">
      <c r="A19" s="114"/>
      <c r="B19" s="115"/>
      <c r="C19" s="114"/>
      <c r="E19" t="s">
        <v>619</v>
      </c>
    </row>
    <row r="20" spans="1:6">
      <c r="A20" s="114"/>
      <c r="B20" s="115"/>
      <c r="C20" s="114"/>
    </row>
    <row r="21" spans="1:6">
      <c r="A21" s="114"/>
      <c r="B21" s="115"/>
      <c r="C21" s="114"/>
      <c r="F21" t="s">
        <v>620</v>
      </c>
    </row>
    <row r="22" spans="1:6">
      <c r="A22" s="114"/>
      <c r="B22" s="115"/>
      <c r="C22" s="114"/>
      <c r="F22" t="s">
        <v>523</v>
      </c>
    </row>
    <row r="23" spans="1:6">
      <c r="A23" s="114"/>
      <c r="B23" s="115"/>
      <c r="C23" s="114"/>
      <c r="E23" s="119" t="s">
        <v>618</v>
      </c>
    </row>
    <row r="24" spans="1:6">
      <c r="A24" s="114"/>
      <c r="B24" s="115"/>
      <c r="C24" s="114"/>
      <c r="E24" s="120" t="s">
        <v>617</v>
      </c>
    </row>
    <row r="25" spans="1:6">
      <c r="A25" s="114"/>
      <c r="B25" s="115"/>
      <c r="C25" s="114"/>
    </row>
    <row r="26" spans="1:6">
      <c r="A26" s="114"/>
      <c r="B26" s="115" t="s">
        <v>529</v>
      </c>
      <c r="C26" s="135"/>
      <c r="D26" s="114"/>
    </row>
    <row r="27" spans="1:6">
      <c r="A27" s="114"/>
      <c r="C27" s="114"/>
      <c r="E27" t="s">
        <v>584</v>
      </c>
    </row>
    <row r="28" spans="1:6">
      <c r="A28" s="114"/>
      <c r="C28" s="114"/>
      <c r="F28" s="116" t="s">
        <v>537</v>
      </c>
    </row>
    <row r="29" spans="1:6">
      <c r="A29" s="114"/>
      <c r="C29" s="114"/>
      <c r="F29" s="117" t="s">
        <v>536</v>
      </c>
    </row>
    <row r="30" spans="1:6">
      <c r="A30" s="114"/>
      <c r="C30" s="114"/>
      <c r="F30" s="122" t="s">
        <v>535</v>
      </c>
    </row>
    <row r="31" spans="1:6">
      <c r="A31" s="114"/>
      <c r="C31" s="114"/>
      <c r="F31" s="121" t="s">
        <v>534</v>
      </c>
    </row>
    <row r="32" spans="1:6">
      <c r="A32" s="114"/>
      <c r="C32" s="114"/>
      <c r="E32" t="s">
        <v>533</v>
      </c>
    </row>
    <row r="33" spans="1:5">
      <c r="A33" s="114"/>
      <c r="C33" s="114"/>
      <c r="E33" t="s">
        <v>532</v>
      </c>
    </row>
    <row r="34" spans="1:5">
      <c r="A34" s="114"/>
      <c r="C34" s="114"/>
      <c r="E34" t="s">
        <v>531</v>
      </c>
    </row>
    <row r="35" spans="1:5">
      <c r="A35" s="114"/>
      <c r="C35" s="114"/>
    </row>
    <row r="36" spans="1:5">
      <c r="A36" s="114"/>
      <c r="C36" s="114"/>
    </row>
    <row r="37" spans="1:5">
      <c r="A37" s="114"/>
      <c r="C37" s="114"/>
    </row>
    <row r="38" spans="1:5">
      <c r="A38" s="114"/>
      <c r="C38" s="114"/>
    </row>
    <row r="39" spans="1:5">
      <c r="A39" s="114"/>
      <c r="C39" s="114"/>
    </row>
    <row r="40" spans="1:5">
      <c r="A40" s="114"/>
      <c r="C40" s="114"/>
    </row>
    <row r="41" spans="1:5">
      <c r="A41" s="114"/>
      <c r="C41" s="114"/>
    </row>
    <row r="42" spans="1:5">
      <c r="A42" s="114"/>
      <c r="C42" s="114"/>
    </row>
    <row r="43" spans="1:5">
      <c r="A43" s="114"/>
      <c r="C43" s="114"/>
    </row>
    <row r="44" spans="1:5">
      <c r="A44" s="114"/>
      <c r="C44" s="114"/>
    </row>
    <row r="45" spans="1:5">
      <c r="A45" s="114"/>
      <c r="C45" s="114"/>
    </row>
    <row r="46" spans="1:5">
      <c r="A46" s="114"/>
      <c r="C46" s="114"/>
    </row>
    <row r="47" spans="1:5">
      <c r="A47" s="114"/>
      <c r="C47" s="114"/>
    </row>
    <row r="48" spans="1:5">
      <c r="A48" s="114"/>
      <c r="C48" s="114"/>
    </row>
    <row r="49" spans="1:3">
      <c r="A49" s="114"/>
      <c r="C49" s="114"/>
    </row>
    <row r="50" spans="1:3">
      <c r="A50" s="114"/>
      <c r="C50" s="114"/>
    </row>
    <row r="51" spans="1:3">
      <c r="A51" s="114"/>
      <c r="C51" s="114"/>
    </row>
    <row r="52" spans="1:3">
      <c r="A52" s="114"/>
      <c r="C52" s="114"/>
    </row>
    <row r="53" spans="1:3">
      <c r="A53" s="114"/>
      <c r="C53" s="114"/>
    </row>
    <row r="54" spans="1:3">
      <c r="A54" s="114"/>
      <c r="C54" s="114"/>
    </row>
    <row r="55" spans="1:3">
      <c r="A55" s="114"/>
      <c r="C55" s="114"/>
    </row>
    <row r="56" spans="1:3">
      <c r="A56" s="114"/>
      <c r="C56" s="114"/>
    </row>
    <row r="57" spans="1:3">
      <c r="A57" s="114"/>
      <c r="C57" s="114"/>
    </row>
    <row r="58" spans="1:3">
      <c r="A58" s="114"/>
      <c r="C58" s="114"/>
    </row>
    <row r="59" spans="1:3">
      <c r="A59" s="114"/>
      <c r="C59" s="114"/>
    </row>
    <row r="60" spans="1:3">
      <c r="A60" s="114"/>
      <c r="C60" s="114"/>
    </row>
    <row r="61" spans="1:3">
      <c r="A61" s="114"/>
      <c r="C61" s="114"/>
    </row>
    <row r="62" spans="1:3">
      <c r="A62" s="114"/>
      <c r="C62" s="114"/>
    </row>
    <row r="63" spans="1:3">
      <c r="A63" s="114"/>
      <c r="C63" s="114"/>
    </row>
    <row r="64" spans="1:3">
      <c r="A64" s="114"/>
      <c r="C64" s="114"/>
    </row>
    <row r="65" spans="1:3">
      <c r="A65" s="114"/>
      <c r="C65" s="114"/>
    </row>
    <row r="66" spans="1:3">
      <c r="A66" s="114"/>
      <c r="C66" s="114"/>
    </row>
    <row r="67" spans="1:3">
      <c r="A67" s="114"/>
      <c r="C67" s="114"/>
    </row>
    <row r="68" spans="1:3">
      <c r="A68" s="114"/>
      <c r="C68" s="114"/>
    </row>
    <row r="69" spans="1:3">
      <c r="A69" s="114"/>
      <c r="C69" s="114"/>
    </row>
    <row r="70" spans="1:3">
      <c r="A70" s="114"/>
      <c r="C70" s="114"/>
    </row>
    <row r="71" spans="1:3">
      <c r="A71" s="114"/>
      <c r="C71" s="114"/>
    </row>
    <row r="72" spans="1:3">
      <c r="A72" s="114"/>
      <c r="C72" s="114"/>
    </row>
    <row r="73" spans="1:3">
      <c r="A73" s="114"/>
      <c r="C73" s="114"/>
    </row>
    <row r="74" spans="1:3">
      <c r="A74" s="114"/>
      <c r="C74" s="114"/>
    </row>
    <row r="75" spans="1:3">
      <c r="A75" s="114"/>
      <c r="C75" s="114"/>
    </row>
    <row r="76" spans="1:3">
      <c r="A76" s="114"/>
      <c r="C76" s="114"/>
    </row>
    <row r="77" spans="1:3">
      <c r="A77" s="114"/>
      <c r="C77" s="114"/>
    </row>
    <row r="78" spans="1:3">
      <c r="A78" s="114"/>
      <c r="C78" s="114"/>
    </row>
    <row r="79" spans="1:3">
      <c r="A79" s="114"/>
      <c r="C79" s="114"/>
    </row>
    <row r="80" spans="1:3">
      <c r="A80" s="114"/>
      <c r="C80" s="114"/>
    </row>
    <row r="81" spans="1:3">
      <c r="A81" s="114"/>
      <c r="C81" s="114"/>
    </row>
    <row r="82" spans="1:3">
      <c r="A82" s="114"/>
      <c r="C82" s="114"/>
    </row>
    <row r="83" spans="1:3">
      <c r="A83" s="114"/>
      <c r="C83" s="114"/>
    </row>
    <row r="84" spans="1:3">
      <c r="A84" s="114"/>
      <c r="C84" s="114"/>
    </row>
    <row r="85" spans="1:3">
      <c r="A85" s="114"/>
      <c r="C85" s="114"/>
    </row>
    <row r="86" spans="1:3">
      <c r="A86" s="114"/>
      <c r="C86" s="114"/>
    </row>
    <row r="87" spans="1:3">
      <c r="A87" s="114"/>
      <c r="C87" s="114"/>
    </row>
    <row r="88" spans="1:3">
      <c r="A88" s="114"/>
      <c r="C88" s="114"/>
    </row>
    <row r="89" spans="1:3">
      <c r="A89" s="114"/>
      <c r="C89" s="114"/>
    </row>
    <row r="90" spans="1:3">
      <c r="A90" s="114"/>
      <c r="C90" s="114"/>
    </row>
    <row r="91" spans="1:3">
      <c r="A91" s="114"/>
      <c r="C91" s="114"/>
    </row>
    <row r="92" spans="1:3">
      <c r="A92" s="114"/>
      <c r="C92" s="114"/>
    </row>
    <row r="93" spans="1:3">
      <c r="A93" s="114"/>
      <c r="C93" s="114"/>
    </row>
    <row r="94" spans="1:3">
      <c r="A94" s="114"/>
      <c r="C94" s="114"/>
    </row>
    <row r="95" spans="1:3">
      <c r="A95" s="114"/>
      <c r="C95" s="114"/>
    </row>
    <row r="96" spans="1:3">
      <c r="A96" s="114"/>
      <c r="C96" s="114"/>
    </row>
    <row r="97" spans="1:3">
      <c r="A97" s="114"/>
      <c r="C97" s="114"/>
    </row>
    <row r="98" spans="1:3">
      <c r="A98" s="114"/>
      <c r="C98" s="114"/>
    </row>
    <row r="99" spans="1:3">
      <c r="A99" s="114"/>
      <c r="C99" s="114"/>
    </row>
    <row r="100" spans="1:3">
      <c r="A100" s="114"/>
      <c r="C100" s="114"/>
    </row>
    <row r="101" spans="1:3">
      <c r="A101" s="114"/>
      <c r="C101" s="114"/>
    </row>
    <row r="102" spans="1:3">
      <c r="A102" s="114"/>
      <c r="C102" s="114"/>
    </row>
    <row r="103" spans="1:3">
      <c r="A103" s="114"/>
      <c r="C103" s="114"/>
    </row>
    <row r="104" spans="1:3">
      <c r="A104" s="114"/>
      <c r="C104" s="114"/>
    </row>
    <row r="105" spans="1:3">
      <c r="A105" s="114"/>
      <c r="C105" s="114"/>
    </row>
    <row r="106" spans="1:3">
      <c r="A106" s="114"/>
      <c r="C106" s="114"/>
    </row>
    <row r="107" spans="1:3">
      <c r="A107" s="114"/>
      <c r="C107" s="114"/>
    </row>
    <row r="108" spans="1:3">
      <c r="A108" s="114"/>
      <c r="C108" s="114"/>
    </row>
    <row r="109" spans="1:3">
      <c r="A109" s="114"/>
      <c r="C109" s="114"/>
    </row>
    <row r="110" spans="1:3">
      <c r="A110" s="114"/>
      <c r="C110" s="114"/>
    </row>
    <row r="111" spans="1:3">
      <c r="A111" s="114"/>
      <c r="C111" s="114"/>
    </row>
    <row r="112" spans="1:3">
      <c r="A112" s="114"/>
      <c r="C112" s="114"/>
    </row>
    <row r="113" spans="1:3">
      <c r="A113" s="114"/>
      <c r="C113" s="114"/>
    </row>
    <row r="114" spans="1:3">
      <c r="A114" s="114"/>
      <c r="C114" s="114"/>
    </row>
    <row r="115" spans="1:3">
      <c r="A115" s="114"/>
      <c r="C115" s="114"/>
    </row>
    <row r="116" spans="1:3">
      <c r="A116" s="114"/>
      <c r="C116" s="114"/>
    </row>
    <row r="117" spans="1:3">
      <c r="A117" s="114"/>
      <c r="C117" s="114"/>
    </row>
    <row r="118" spans="1:3">
      <c r="A118" s="114"/>
      <c r="C118" s="114"/>
    </row>
    <row r="119" spans="1:3">
      <c r="A119" s="114"/>
      <c r="C119" s="114"/>
    </row>
    <row r="120" spans="1:3">
      <c r="A120" s="114"/>
      <c r="C120" s="114"/>
    </row>
    <row r="121" spans="1:3">
      <c r="A121" s="114"/>
      <c r="C121" s="114"/>
    </row>
    <row r="122" spans="1:3">
      <c r="A122" s="114"/>
      <c r="C122" s="114"/>
    </row>
    <row r="123" spans="1:3">
      <c r="A123" s="114"/>
      <c r="C123" s="114"/>
    </row>
    <row r="124" spans="1:3">
      <c r="A124" s="114"/>
      <c r="C124" s="114"/>
    </row>
    <row r="125" spans="1:3">
      <c r="A125" s="114"/>
      <c r="C125" s="114"/>
    </row>
    <row r="126" spans="1:3">
      <c r="A126" s="114"/>
      <c r="C126" s="114"/>
    </row>
    <row r="127" spans="1:3">
      <c r="A127" s="114"/>
      <c r="C127" s="114"/>
    </row>
    <row r="128" spans="1:3">
      <c r="A128" s="114"/>
      <c r="C128" s="114"/>
    </row>
    <row r="129" spans="1:3">
      <c r="A129" s="114"/>
      <c r="C129" s="114"/>
    </row>
    <row r="130" spans="1:3">
      <c r="A130" s="114"/>
      <c r="C130" s="114"/>
    </row>
    <row r="131" spans="1:3">
      <c r="A131" s="114"/>
      <c r="C131" s="114"/>
    </row>
    <row r="132" spans="1:3">
      <c r="A132" s="114"/>
      <c r="C132" s="114"/>
    </row>
    <row r="133" spans="1:3">
      <c r="A133" s="114"/>
      <c r="C133" s="114"/>
    </row>
    <row r="134" spans="1:3">
      <c r="A134" s="114"/>
      <c r="C134" s="114"/>
    </row>
    <row r="135" spans="1:3">
      <c r="A135" s="114"/>
      <c r="C135" s="114"/>
    </row>
    <row r="136" spans="1:3">
      <c r="A136" s="114"/>
      <c r="C136" s="114"/>
    </row>
    <row r="137" spans="1:3">
      <c r="A137" s="114"/>
      <c r="C137" s="114"/>
    </row>
    <row r="138" spans="1:3">
      <c r="A138" s="114"/>
      <c r="C138" s="114"/>
    </row>
    <row r="139" spans="1:3">
      <c r="A139" s="114"/>
      <c r="C139" s="114"/>
    </row>
    <row r="140" spans="1:3">
      <c r="A140" s="114"/>
      <c r="C140" s="114"/>
    </row>
    <row r="141" spans="1:3">
      <c r="A141" s="114"/>
      <c r="C141" s="114"/>
    </row>
    <row r="142" spans="1:3">
      <c r="A142" s="114"/>
      <c r="C142" s="114"/>
    </row>
    <row r="143" spans="1:3">
      <c r="A143" s="114"/>
      <c r="C143" s="114"/>
    </row>
    <row r="144" spans="1:3">
      <c r="A144" s="114"/>
      <c r="C144" s="114"/>
    </row>
    <row r="145" spans="1:3">
      <c r="A145" s="114"/>
      <c r="C145" s="114"/>
    </row>
    <row r="146" spans="1:3">
      <c r="A146" s="114"/>
      <c r="C146" s="114"/>
    </row>
    <row r="147" spans="1:3">
      <c r="A147" s="114"/>
      <c r="C147" s="114"/>
    </row>
    <row r="148" spans="1:3">
      <c r="A148" s="114"/>
      <c r="C148" s="114"/>
    </row>
    <row r="149" spans="1:3">
      <c r="A149" s="114"/>
      <c r="C149" s="114"/>
    </row>
    <row r="150" spans="1:3">
      <c r="A150" s="114"/>
      <c r="C150" s="114"/>
    </row>
    <row r="151" spans="1:3">
      <c r="A151" s="114"/>
      <c r="C151" s="114"/>
    </row>
    <row r="152" spans="1:3">
      <c r="A152" s="114"/>
      <c r="C152" s="114"/>
    </row>
    <row r="153" spans="1:3">
      <c r="A153" s="114"/>
      <c r="C153" s="114"/>
    </row>
    <row r="154" spans="1:3">
      <c r="A154" s="114"/>
      <c r="C154" s="114"/>
    </row>
    <row r="155" spans="1:3">
      <c r="A155" s="114"/>
      <c r="C155" s="114"/>
    </row>
    <row r="156" spans="1:3">
      <c r="A156" s="114"/>
      <c r="C156" s="114"/>
    </row>
    <row r="157" spans="1:3">
      <c r="A157" s="114"/>
      <c r="C157" s="114"/>
    </row>
    <row r="158" spans="1:3">
      <c r="A158" s="114"/>
      <c r="C158" s="114"/>
    </row>
    <row r="159" spans="1:3">
      <c r="A159" s="114"/>
      <c r="C159" s="114"/>
    </row>
    <row r="160" spans="1:3">
      <c r="A160" s="114"/>
      <c r="C160" s="114"/>
    </row>
    <row r="161" spans="1:3">
      <c r="A161" s="114"/>
      <c r="C161" s="114"/>
    </row>
    <row r="162" spans="1:3">
      <c r="A162" s="114"/>
      <c r="C162" s="114"/>
    </row>
    <row r="163" spans="1:3">
      <c r="A163" s="114"/>
      <c r="C163" s="114"/>
    </row>
    <row r="164" spans="1:3">
      <c r="A164" s="114"/>
      <c r="C164" s="114"/>
    </row>
    <row r="165" spans="1:3">
      <c r="A165" s="114"/>
      <c r="C165" s="114"/>
    </row>
    <row r="166" spans="1:3">
      <c r="A166" s="114"/>
      <c r="C166" s="114"/>
    </row>
    <row r="167" spans="1:3">
      <c r="A167" s="114"/>
      <c r="C167" s="114"/>
    </row>
    <row r="168" spans="1:3">
      <c r="A168" s="114"/>
      <c r="C168" s="114"/>
    </row>
    <row r="169" spans="1:3">
      <c r="A169" s="114"/>
      <c r="C169" s="114"/>
    </row>
    <row r="170" spans="1:3">
      <c r="A170" s="114"/>
      <c r="C170" s="114"/>
    </row>
    <row r="171" spans="1:3">
      <c r="A171" s="114"/>
      <c r="C171" s="114"/>
    </row>
    <row r="172" spans="1:3">
      <c r="A172" s="114"/>
      <c r="C172" s="114"/>
    </row>
    <row r="173" spans="1:3">
      <c r="A173" s="114"/>
      <c r="C173" s="114"/>
    </row>
    <row r="174" spans="1:3">
      <c r="A174" s="114"/>
      <c r="C174" s="114"/>
    </row>
    <row r="175" spans="1:3">
      <c r="A175" s="114"/>
      <c r="C175" s="114"/>
    </row>
    <row r="176" spans="1:3">
      <c r="A176" s="114"/>
      <c r="C176" s="114"/>
    </row>
    <row r="177" spans="1:3">
      <c r="A177" s="114"/>
      <c r="C177" s="114"/>
    </row>
    <row r="178" spans="1:3">
      <c r="A178" s="114"/>
      <c r="C178" s="114"/>
    </row>
    <row r="179" spans="1:3">
      <c r="A179" s="114"/>
      <c r="C179" s="114"/>
    </row>
    <row r="180" spans="1:3">
      <c r="A180" s="114"/>
      <c r="C180" s="114"/>
    </row>
    <row r="181" spans="1:3">
      <c r="A181" s="114"/>
      <c r="C181" s="114"/>
    </row>
    <row r="182" spans="1:3">
      <c r="A182" s="114"/>
      <c r="C182" s="114"/>
    </row>
    <row r="183" spans="1:3">
      <c r="A183" s="114"/>
      <c r="C183" s="114"/>
    </row>
    <row r="184" spans="1:3">
      <c r="A184" s="114"/>
      <c r="C184" s="114"/>
    </row>
    <row r="185" spans="1:3">
      <c r="A185" s="114"/>
      <c r="C185" s="114"/>
    </row>
    <row r="186" spans="1:3">
      <c r="A186" s="114"/>
      <c r="C186" s="114"/>
    </row>
    <row r="187" spans="1:3">
      <c r="A187" s="114"/>
      <c r="C187" s="114"/>
    </row>
    <row r="188" spans="1:3">
      <c r="A188" s="114"/>
      <c r="C188" s="114"/>
    </row>
    <row r="189" spans="1:3">
      <c r="A189" s="114"/>
      <c r="C189" s="114"/>
    </row>
    <row r="190" spans="1:3">
      <c r="A190" s="114"/>
      <c r="C190" s="114"/>
    </row>
    <row r="191" spans="1:3">
      <c r="A191" s="114"/>
      <c r="C191" s="114"/>
    </row>
    <row r="192" spans="1:3">
      <c r="A192" s="114"/>
      <c r="C192" s="114"/>
    </row>
    <row r="193" spans="1:3">
      <c r="A193" s="114"/>
      <c r="C193" s="114"/>
    </row>
    <row r="194" spans="1:3">
      <c r="A194" s="114"/>
      <c r="C194" s="114"/>
    </row>
    <row r="195" spans="1:3">
      <c r="A195" s="114"/>
      <c r="C195" s="114"/>
    </row>
    <row r="196" spans="1:3">
      <c r="A196" s="114"/>
      <c r="C196" s="114"/>
    </row>
    <row r="197" spans="1:3">
      <c r="A197" s="114"/>
      <c r="C197" s="114"/>
    </row>
    <row r="198" spans="1:3">
      <c r="A198" s="114"/>
      <c r="C198" s="114"/>
    </row>
    <row r="199" spans="1:3">
      <c r="A199" s="114"/>
      <c r="C199" s="114"/>
    </row>
    <row r="200" spans="1:3">
      <c r="A200" s="114"/>
      <c r="C200" s="114"/>
    </row>
    <row r="201" spans="1:3">
      <c r="A201" s="114"/>
      <c r="C201" s="114"/>
    </row>
    <row r="202" spans="1:3">
      <c r="A202" s="114"/>
      <c r="C202" s="114"/>
    </row>
    <row r="203" spans="1:3">
      <c r="A203" s="114"/>
      <c r="C203" s="114"/>
    </row>
    <row r="204" spans="1:3">
      <c r="A204" s="114"/>
      <c r="C204" s="114"/>
    </row>
    <row r="205" spans="1:3">
      <c r="A205" s="114"/>
      <c r="C205" s="114"/>
    </row>
    <row r="206" spans="1:3">
      <c r="A206" s="114"/>
      <c r="C206" s="114"/>
    </row>
    <row r="207" spans="1:3">
      <c r="A207" s="114"/>
      <c r="C207" s="114"/>
    </row>
    <row r="208" spans="1:3">
      <c r="A208" s="114"/>
      <c r="C208" s="114"/>
    </row>
    <row r="209" spans="1:3">
      <c r="A209" s="114"/>
      <c r="C209" s="114"/>
    </row>
    <row r="210" spans="1:3">
      <c r="A210" s="114"/>
      <c r="C210" s="114"/>
    </row>
    <row r="211" spans="1:3">
      <c r="A211" s="114"/>
      <c r="C211" s="114"/>
    </row>
    <row r="212" spans="1:3">
      <c r="A212" s="114"/>
      <c r="C212" s="114"/>
    </row>
    <row r="213" spans="1:3">
      <c r="A213" s="114"/>
      <c r="C213" s="114"/>
    </row>
    <row r="214" spans="1:3">
      <c r="A214" s="114"/>
      <c r="C214" s="114"/>
    </row>
    <row r="215" spans="1:3">
      <c r="A215" s="114"/>
      <c r="C215" s="114"/>
    </row>
    <row r="216" spans="1:3">
      <c r="A216" s="114"/>
      <c r="C216" s="114"/>
    </row>
    <row r="217" spans="1:3">
      <c r="A217" s="114"/>
      <c r="C217" s="114"/>
    </row>
    <row r="218" spans="1:3">
      <c r="A218" s="114"/>
      <c r="C218" s="114"/>
    </row>
    <row r="219" spans="1:3">
      <c r="A219" s="114"/>
      <c r="C219" s="114"/>
    </row>
    <row r="220" spans="1:3">
      <c r="A220" s="114"/>
      <c r="C220" s="114"/>
    </row>
    <row r="221" spans="1:3">
      <c r="A221" s="114"/>
      <c r="C221" s="114"/>
    </row>
    <row r="222" spans="1:3">
      <c r="A222" s="114"/>
      <c r="C222" s="114"/>
    </row>
    <row r="223" spans="1:3">
      <c r="A223" s="114"/>
      <c r="C223" s="114"/>
    </row>
    <row r="224" spans="1:3">
      <c r="A224" s="114"/>
      <c r="C224" s="114"/>
    </row>
    <row r="225" spans="1:3">
      <c r="A225" s="114"/>
      <c r="C225" s="114"/>
    </row>
    <row r="226" spans="1:3">
      <c r="A226" s="114"/>
      <c r="C226" s="114"/>
    </row>
    <row r="227" spans="1:3">
      <c r="A227" s="114"/>
      <c r="C227" s="114"/>
    </row>
    <row r="228" spans="1:3">
      <c r="A228" s="114"/>
      <c r="C228" s="114"/>
    </row>
    <row r="229" spans="1:3">
      <c r="A229" s="114"/>
      <c r="C229" s="114"/>
    </row>
    <row r="230" spans="1:3">
      <c r="A230" s="114"/>
      <c r="C230" s="114"/>
    </row>
    <row r="231" spans="1:3">
      <c r="A231" s="114"/>
      <c r="C231" s="114"/>
    </row>
    <row r="232" spans="1:3">
      <c r="A232" s="114"/>
      <c r="C232" s="114"/>
    </row>
    <row r="233" spans="1:3">
      <c r="A233" s="114"/>
      <c r="C233" s="114"/>
    </row>
    <row r="234" spans="1:3">
      <c r="A234" s="114"/>
      <c r="C234" s="114"/>
    </row>
    <row r="235" spans="1:3">
      <c r="A235" s="114"/>
      <c r="C235" s="114"/>
    </row>
    <row r="236" spans="1:3">
      <c r="A236" s="114"/>
      <c r="C236" s="114"/>
    </row>
    <row r="237" spans="1:3">
      <c r="A237" s="114"/>
      <c r="C237" s="114"/>
    </row>
    <row r="238" spans="1:3">
      <c r="A238" s="114"/>
      <c r="C238" s="114"/>
    </row>
    <row r="239" spans="1:3">
      <c r="A239" s="114"/>
      <c r="C239" s="114"/>
    </row>
  </sheetData>
  <phoneticPr fontId="14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CEAF373E6EC0C47AECC05DDE6E9A99F" ma:contentTypeVersion="2" ma:contentTypeDescription="Create a new document." ma:contentTypeScope="" ma:versionID="a1e7c1ceb862c8fdbc1a5cc3d62cd2c4">
  <xsd:schema xmlns:xsd="http://www.w3.org/2001/XMLSchema" xmlns:xs="http://www.w3.org/2001/XMLSchema" xmlns:p="http://schemas.microsoft.com/office/2006/metadata/properties" xmlns:ns2="759bca23-16e0-495f-b3b9-e1e39bd2c142" targetNamespace="http://schemas.microsoft.com/office/2006/metadata/properties" ma:root="true" ma:fieldsID="09bb805da4883aba3c9e0a9f6849ee05" ns2:_="">
    <xsd:import namespace="759bca23-16e0-495f-b3b9-e1e39bd2c142"/>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59bca23-16e0-495f-b3b9-e1e39bd2c14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B0CFDA1-B7EC-47A7-A691-0510DD9A61AE}">
  <ds:schemaRefs>
    <ds:schemaRef ds:uri="http://schemas.microsoft.com/sharepoint/v3/contenttype/forms"/>
  </ds:schemaRefs>
</ds:datastoreItem>
</file>

<file path=customXml/itemProps2.xml><?xml version="1.0" encoding="utf-8"?>
<ds:datastoreItem xmlns:ds="http://schemas.openxmlformats.org/officeDocument/2006/customXml" ds:itemID="{5A9A1829-FF7C-4E35-8C39-7D03A9359B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59bca23-16e0-495f-b3b9-e1e39bd2c14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5AE0D61-27E1-44F8-B87E-BC3B374AAC9A}">
  <ds:schemaRefs>
    <ds:schemaRef ds:uri="http://schemas.microsoft.com/office/2006/metadata/properties"/>
    <ds:schemaRef ds:uri="http://schemas.microsoft.com/office/infopath/2007/PartnerControls"/>
  </ds:schemaRefs>
</ds:datastoreItem>
</file>

<file path=docMetadata/LabelInfo.xml><?xml version="1.0" encoding="utf-8"?>
<clbl:labelList xmlns:clbl="http://schemas.microsoft.com/office/2020/mipLabelMetadata">
  <clbl:label id="{deff24bb-2089-4400-8c8e-f71e680378b2}" enabled="0" method="" siteId="{deff24bb-2089-4400-8c8e-f71e680378b2}"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 지정된 범위</vt:lpstr>
      </vt:variant>
      <vt:variant>
        <vt:i4>1</vt:i4>
      </vt:variant>
    </vt:vector>
  </HeadingPairs>
  <TitlesOfParts>
    <vt:vector size="7" baseType="lpstr">
      <vt:lpstr>Instructions</vt:lpstr>
      <vt:lpstr>Valuation</vt:lpstr>
      <vt:lpstr>Peers</vt:lpstr>
      <vt:lpstr>Peers_customized</vt:lpstr>
      <vt:lpstr>Index</vt:lpstr>
      <vt:lpstr>Sheet3</vt:lpstr>
      <vt:lpstr>Geograph_code</vt:lpstr>
    </vt:vector>
  </TitlesOfParts>
  <Company>Refinitiv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Refinitiv</dc:creator>
  <cp:lastModifiedBy>Jung, Sang-Jee (KR/Deal Adv1)</cp:lastModifiedBy>
  <dcterms:created xsi:type="dcterms:W3CDTF">2014-11-25T02:58:14Z</dcterms:created>
  <dcterms:modified xsi:type="dcterms:W3CDTF">2023-10-12T08:47:36Z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60cf5d0-3195-495b-8e47-6fd80127629b_Enabled">
    <vt:lpwstr>True</vt:lpwstr>
  </property>
  <property fmtid="{D5CDD505-2E9C-101B-9397-08002B2CF9AE}" pid="3" name="MSIP_Label_160cf5d0-3195-495b-8e47-6fd80127629b_SiteId">
    <vt:lpwstr>62ccb864-6a1a-4b5d-8e1c-397dec1a8258</vt:lpwstr>
  </property>
  <property fmtid="{D5CDD505-2E9C-101B-9397-08002B2CF9AE}" pid="4" name="MSIP_Label_160cf5d0-3195-495b-8e47-6fd80127629b_Owner">
    <vt:lpwstr>eric.havrilla@thomsonreuters.com</vt:lpwstr>
  </property>
  <property fmtid="{D5CDD505-2E9C-101B-9397-08002B2CF9AE}" pid="5" name="MSIP_Label_160cf5d0-3195-495b-8e47-6fd80127629b_SetDate">
    <vt:lpwstr>2019-08-22T17:51:51.8077476Z</vt:lpwstr>
  </property>
  <property fmtid="{D5CDD505-2E9C-101B-9397-08002B2CF9AE}" pid="6" name="MSIP_Label_160cf5d0-3195-495b-8e47-6fd80127629b_Name">
    <vt:lpwstr>Confidential</vt:lpwstr>
  </property>
  <property fmtid="{D5CDD505-2E9C-101B-9397-08002B2CF9AE}" pid="7" name="MSIP_Label_160cf5d0-3195-495b-8e47-6fd80127629b_Application">
    <vt:lpwstr>Microsoft Azure Information Protection</vt:lpwstr>
  </property>
  <property fmtid="{D5CDD505-2E9C-101B-9397-08002B2CF9AE}" pid="8" name="MSIP_Label_160cf5d0-3195-495b-8e47-6fd80127629b_Extended_MSFT_Method">
    <vt:lpwstr>Automatic</vt:lpwstr>
  </property>
  <property fmtid="{D5CDD505-2E9C-101B-9397-08002B2CF9AE}" pid="9" name="Sensitivity">
    <vt:lpwstr>Confidential</vt:lpwstr>
  </property>
  <property fmtid="{D5CDD505-2E9C-101B-9397-08002B2CF9AE}" pid="10" name="ContentTypeId">
    <vt:lpwstr>0x0101005CEAF373E6EC0C47AECC05DDE6E9A99F</vt:lpwstr>
  </property>
</Properties>
</file>