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LKT\Dropbox\KPMG\Engagement\2018-07 AIP, 호주 Albury 리파이낸싱\"/>
    </mc:Choice>
  </mc:AlternateContent>
  <bookViews>
    <workbookView xWindow="23250" yWindow="0" windowWidth="27870" windowHeight="13080"/>
  </bookViews>
  <sheets>
    <sheet name="report작성" sheetId="16" r:id="rId1"/>
    <sheet name="A&amp;R" sheetId="4" r:id="rId2"/>
    <sheet name="Property(Y)" sheetId="19" r:id="rId3"/>
    <sheet name="Property(M)" sheetId="6" r:id="rId4"/>
    <sheet name="preiod" sheetId="9" state="hidden" r:id="rId5"/>
    <sheet name="CF(M)" sheetId="5" r:id="rId6"/>
    <sheet name="Rentroll2" sheetId="17" r:id="rId7"/>
    <sheet name="PBC&gt;" sheetId="15" r:id="rId8"/>
    <sheet name="actual3yr" sheetId="20" r:id="rId9"/>
    <sheet name="RP- Profit &amp; Loss 2016" sheetId="21" r:id="rId10"/>
    <sheet name="RP- Profit &amp; Loss 2018" sheetId="22" r:id="rId11"/>
    <sheet name="RP- Profit &amp; Loss 2017" sheetId="23" r:id="rId12"/>
    <sheet name="최초3개년추정" sheetId="24" r:id="rId13"/>
    <sheet name="3yr forecast" sheetId="18" r:id="rId14"/>
    <sheet name="조견표" sheetId="14" r:id="rId15"/>
    <sheet name="Rentroll" sheetId="13" state="hidden" r:id="rId16"/>
    <sheet name="note" sheetId="7" state="hidden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_______________a1" hidden="1">{"Assump",#N/A,TRUE,"Proforma";"first",#N/A,TRUE,"Proforma";"second",#N/A,TRUE,"Proforma";"lease1",#N/A,TRUE,"Proforma";"lease2",#N/A,TRUE,"Proforma"}</definedName>
    <definedName name="______________a1" hidden="1">{"Assump",#N/A,TRUE,"Proforma";"first",#N/A,TRUE,"Proforma";"second",#N/A,TRUE,"Proforma";"lease1",#N/A,TRUE,"Proforma";"lease2",#N/A,TRUE,"Proforma"}</definedName>
    <definedName name="_____________a1" hidden="1">{"Assump",#N/A,TRUE,"Proforma";"first",#N/A,TRUE,"Proforma";"second",#N/A,TRUE,"Proforma";"lease1",#N/A,TRUE,"Proforma";"lease2",#N/A,TRUE,"Proforma"}</definedName>
    <definedName name="____________a1" hidden="1">{"Assump",#N/A,TRUE,"Proforma";"first",#N/A,TRUE,"Proforma";"second",#N/A,TRUE,"Proforma";"lease1",#N/A,TRUE,"Proforma";"lease2",#N/A,TRUE,"Proforma"}</definedName>
    <definedName name="___________a1" hidden="1">{"Assump",#N/A,TRUE,"Proforma";"first",#N/A,TRUE,"Proforma";"second",#N/A,TRUE,"Proforma";"lease1",#N/A,TRUE,"Proforma";"lease2",#N/A,TRUE,"Proforma"}</definedName>
    <definedName name="__________a1" hidden="1">{"Assump",#N/A,TRUE,"Proforma";"first",#N/A,TRUE,"Proforma";"second",#N/A,TRUE,"Proforma";"lease1",#N/A,TRUE,"Proforma";"lease2",#N/A,TRUE,"Proforma"}</definedName>
    <definedName name="________a1" hidden="1">{"Assump",#N/A,TRUE,"Proforma";"first",#N/A,TRUE,"Proforma";"second",#N/A,TRUE,"Proforma";"lease1",#N/A,TRUE,"Proforma";"lease2",#N/A,TRUE,"Proforma"}</definedName>
    <definedName name="_______a1" hidden="1">{"Assump",#N/A,TRUE,"Proforma";"first",#N/A,TRUE,"Proforma";"second",#N/A,TRUE,"Proforma";"lease1",#N/A,TRUE,"Proforma";"lease2",#N/A,TRUE,"Proforma"}</definedName>
    <definedName name="_____a1" hidden="1">{"Assump",#N/A,TRUE,"Proforma";"first",#N/A,TRUE,"Proforma";"second",#N/A,TRUE,"Proforma";"lease1",#N/A,TRUE,"Proforma";"lease2",#N/A,TRUE,"Proforma"}</definedName>
    <definedName name="____a1" hidden="1">{"Assump",#N/A,TRUE,"Proforma";"first",#N/A,TRUE,"Proforma";"second",#N/A,TRUE,"Proforma";"lease1",#N/A,TRUE,"Proforma";"lease2",#N/A,TRUE,"Proforma"}</definedName>
    <definedName name="___a1" hidden="1">{"Assump",#N/A,TRUE,"Proforma";"first",#N/A,TRUE,"Proforma";"second",#N/A,TRUE,"Proforma";"lease1",#N/A,TRUE,"Proforma";"lease2",#N/A,TRUE,"Proforma"}</definedName>
    <definedName name="__123Graph_A" hidden="1">[1]tables_graphs!$H$12:$H$22</definedName>
    <definedName name="__123Graph_A그래프2" localSheetId="2" hidden="1">#REF!</definedName>
    <definedName name="__123Graph_A그래프2" localSheetId="12" hidden="1">#REF!</definedName>
    <definedName name="__123Graph_A그래프2" hidden="1">#REF!</definedName>
    <definedName name="__123Graph_B" hidden="1">[1]tables_graphs!$K$12:$K$22</definedName>
    <definedName name="__123Graph_B그래프2" localSheetId="2" hidden="1">#REF!</definedName>
    <definedName name="__123Graph_B그래프2" localSheetId="12" hidden="1">#REF!</definedName>
    <definedName name="__123Graph_B그래프2" hidden="1">#REF!</definedName>
    <definedName name="__123Graph_X" hidden="1">[1]tables_graphs!$A$12:$A$22</definedName>
    <definedName name="__123Graph_X그래프2" localSheetId="2" hidden="1">#REF!</definedName>
    <definedName name="__123Graph_X그래프2" localSheetId="12" hidden="1">#REF!</definedName>
    <definedName name="__123Graph_X그래프2" hidden="1">#REF!</definedName>
    <definedName name="__a1" hidden="1">{"Assump",#N/A,TRUE,"Proforma";"first",#N/A,TRUE,"Proforma";"second",#N/A,TRUE,"Proforma";"lease1",#N/A,TRUE,"Proforma";"lease2",#N/A,TRUE,"Proforma"}</definedName>
    <definedName name="__IntlFixup" hidden="1">TRUE</definedName>
    <definedName name="_1__123Graph_ACHART_1" localSheetId="2" hidden="1">'[2]Rent Roll'!#REF!</definedName>
    <definedName name="_1__123Graph_ACHART_1" hidden="1">'[2]Rent Roll'!#REF!</definedName>
    <definedName name="_10__123Graph_XCHART_2" hidden="1">[3]A!$D$171:$D$177</definedName>
    <definedName name="_12__123Graph_BCHART_2A" hidden="1">'[4]WATER RATES'!$E$9:$E$29</definedName>
    <definedName name="_15__123Graph_XCHART_1A" hidden="1">'[4]WATER RATES'!$B$9:$B$31</definedName>
    <definedName name="_18__123Graph_XCHART_2A" hidden="1">'[4]WATER RATES'!$A$9:$A$28</definedName>
    <definedName name="_2__123Graph_ACHART_1" localSheetId="2" hidden="1">'[2]Rent Roll'!#REF!</definedName>
    <definedName name="_2__123Graph_ACHART_1" hidden="1">'[2]Rent Roll'!#REF!</definedName>
    <definedName name="_2__123Graph_ACHART_2" hidden="1">[3]A!$E$171:$E$177</definedName>
    <definedName name="_3__123Graph_ACHART_1A" hidden="1">'[4]WATER RATES'!$C$9:$C$31</definedName>
    <definedName name="_3__123Graph_BCHART_1" hidden="1">[5]A!$E$135:$E$141</definedName>
    <definedName name="_4__123Graph_ACHART_2" hidden="1">[3]A!$E$171:$E$177</definedName>
    <definedName name="_4__123Graph_XCHART_1" hidden="1">'[6]REITs &amp; S&amp;P'!$D$11:$D$31</definedName>
    <definedName name="_5__123Graph_XCHART_2" hidden="1">[3]A!$D$171:$D$177</definedName>
    <definedName name="_6__123Graph_ACHART_2A" hidden="1">'[4]WATER RATES'!$C$9:$C$29</definedName>
    <definedName name="_6__123Graph_BCHART_1" hidden="1">[5]A!$E$135:$E$141</definedName>
    <definedName name="_8__123Graph_XCHART_1" hidden="1">'[6]REITs &amp; S&amp;P'!$D$11:$D$31</definedName>
    <definedName name="_9__123Graph_BCHART_1A" hidden="1">'[4]WATER RATES'!$E$9:$E$31</definedName>
    <definedName name="_a1" hidden="1">{"Assump",#N/A,TRUE,"Proforma";"first",#N/A,TRUE,"Proforma";"second",#N/A,TRUE,"Proforma";"lease1",#N/A,TRUE,"Proforma";"lease2",#N/A,TRUE,"Proforma"}</definedName>
    <definedName name="_Dist_Bin" localSheetId="2" hidden="1">#REF!</definedName>
    <definedName name="_Dist_Bin" localSheetId="12" hidden="1">#REF!</definedName>
    <definedName name="_Dist_Bin" hidden="1">#REF!</definedName>
    <definedName name="_Dist_Values" localSheetId="2" hidden="1">'[7]MN T.B.'!#REF!</definedName>
    <definedName name="_Dist_Values" localSheetId="12" hidden="1">#REF!</definedName>
    <definedName name="_Dist_Values" hidden="1">'[7]MN T.B.'!#REF!</definedName>
    <definedName name="_Fill" localSheetId="2" hidden="1">#REF!</definedName>
    <definedName name="_Fill" localSheetId="12" hidden="1">#REF!</definedName>
    <definedName name="_Fill" hidden="1">#REF!</definedName>
    <definedName name="_xlnm._FilterDatabase" localSheetId="5" hidden="1">'CF(M)'!$A$8:$AE$8</definedName>
    <definedName name="_xlnm._FilterDatabase" localSheetId="3" hidden="1">'Property(M)'!$A$8:$CD$9</definedName>
    <definedName name="_xlnm._FilterDatabase" localSheetId="2" hidden="1">'Property(Y)'!$A$8:$P$9</definedName>
    <definedName name="_xlnm._FilterDatabase" localSheetId="12" hidden="1">#REF!</definedName>
    <definedName name="_xlnm._FilterDatabase" hidden="1">#REF!</definedName>
    <definedName name="_Key1" localSheetId="2" hidden="1">[8]RENTROLL!#REF!</definedName>
    <definedName name="_Key1" localSheetId="12" hidden="1">#REF!</definedName>
    <definedName name="_Key1" hidden="1">[8]RENTROLL!#REF!</definedName>
    <definedName name="_Key2" localSheetId="2" hidden="1">#REF!</definedName>
    <definedName name="_Key2" localSheetId="12" hidden="1">#REF!</definedName>
    <definedName name="_Key2" hidden="1">#REF!</definedName>
    <definedName name="_kfkf" localSheetId="2" hidden="1">#REF!</definedName>
    <definedName name="_kfkf" localSheetId="12" hidden="1">#REF!</definedName>
    <definedName name="_kfkf" hidden="1">#REF!</definedName>
    <definedName name="_mg3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Order1" localSheetId="12" hidden="1">255</definedName>
    <definedName name="_Order1" hidden="1">0</definedName>
    <definedName name="_Order2" hidden="1">255</definedName>
    <definedName name="_Regression_Int" hidden="1">1</definedName>
    <definedName name="_Sort" localSheetId="2" hidden="1">[8]RENTROLL!#REF!</definedName>
    <definedName name="_Sort" localSheetId="12" hidden="1">#REF!</definedName>
    <definedName name="_Sort" hidden="1">[8]RENTROLL!#REF!</definedName>
    <definedName name="_Table1_In1" localSheetId="12" hidden="1">#REF!</definedName>
    <definedName name="_Table1_In1" hidden="1">[5]A!$F$60</definedName>
    <definedName name="_Table1_Out" localSheetId="12" hidden="1">#REF!</definedName>
    <definedName name="_Table1_Out" hidden="1">[5]A!$C$134:$E$141</definedName>
    <definedName name="_Table2_Out" localSheetId="2" hidden="1">#REF!</definedName>
    <definedName name="_Table2_Out" hidden="1">#REF!</definedName>
    <definedName name="_woogi" localSheetId="2" hidden="1">#REF!</definedName>
    <definedName name="_woogi" localSheetId="12" hidden="1">#REF!</definedName>
    <definedName name="_woogi" hidden="1">#REF!</definedName>
    <definedName name="_woogi2" localSheetId="2" hidden="1">#REF!</definedName>
    <definedName name="_woogi2" localSheetId="12" hidden="1">#REF!</definedName>
    <definedName name="_woogi2" hidden="1">#REF!</definedName>
    <definedName name="_woogi24" localSheetId="2" hidden="1">#REF!</definedName>
    <definedName name="_woogi24" localSheetId="12" hidden="1">#REF!</definedName>
    <definedName name="_woogi24" hidden="1">#REF!</definedName>
    <definedName name="_woogi3" localSheetId="2" hidden="1">#REF!</definedName>
    <definedName name="_woogi3" localSheetId="12" hidden="1">#REF!</definedName>
    <definedName name="_woogi3" hidden="1">#REF!</definedName>
    <definedName name="_재ㅐ햐" localSheetId="2" hidden="1">#REF!</definedName>
    <definedName name="_재ㅐ햐" localSheetId="12" hidden="1">#REF!</definedName>
    <definedName name="_재ㅐ햐" hidden="1">#REF!</definedName>
    <definedName name="a" localSheetId="12" hidden="1">{"AJD",#N/A,TRUE,"Summary";"AJD",#N/A,TRUE,"CFCONC-outputs";"AJD",#N/A,TRUE,"P&amp;LCONC-outputs";"AJD",#N/A,TRUE,"BSCONC-outputs";"AJD",#N/A,TRUE,"FSCONC-outputs"}</definedName>
    <definedName name="a" hidden="1">{"Output-BaseYear",#N/A,FALSE,"Output"}</definedName>
    <definedName name="aa" hidden="1">'[9]Projected Occupancy'!$A$280:$L$385</definedName>
    <definedName name="AAA_DOCTOPS" hidden="1">"AAA_SET"</definedName>
    <definedName name="AAA_duser" hidden="1">"OFF"</definedName>
    <definedName name="aaaaa" localSheetId="12" hidden="1">{#N/A,#N/A,FALSE,"조골재"}</definedName>
    <definedName name="aaaaa" hidden="1">{#N/A,#N/A,FALSE,"조골재"}</definedName>
    <definedName name="aaaaaaaaaa" localSheetId="12" hidden="1">{#N/A,#N/A,FALSE,"운반시간"}</definedName>
    <definedName name="aaaaaaaaaa" hidden="1">{#N/A,#N/A,FALSE,"운반시간"}</definedName>
    <definedName name="AAB_Addin5" hidden="1">"AAB_Description for addin 5,Description for addin 5,Description for addin 5,Description for addin 5,Description for addin 5,Description for addin 5"</definedName>
    <definedName name="ab" hidden="1">{#N/A,#N/A,TRUE,"Ericsson Stadium PCD ";#N/A,#N/A,TRUE,"Ericsson Stadium IOR"}</definedName>
    <definedName name="ab_condo" hidden="1">{#N/A,#N/A,TRUE,"Ericsson Stadium PCD ";#N/A,#N/A,TRUE,"Ericsson Stadium IOR"}</definedName>
    <definedName name="Access_Button" hidden="1">"Loan_Front_End_Input_List"</definedName>
    <definedName name="AccessDatabase" hidden="1">"\\Tc-atl-2\investment\Office &amp; Industrial\Principal Capital\Southhall\Southhall Center.mdb"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DC" localSheetId="2" hidden="1">#REF!</definedName>
    <definedName name="ADC" localSheetId="12" hidden="1">#REF!</definedName>
    <definedName name="ADC" hidden="1">#REF!</definedName>
    <definedName name="anscount" hidden="1">1</definedName>
    <definedName name="AS2DocOpenMode" hidden="1">"AS2DocumentBrowse"</definedName>
    <definedName name="asd" localSheetId="2" hidden="1">#REF!</definedName>
    <definedName name="asd" hidden="1">#REF!</definedName>
    <definedName name="asdfasdfs" hidden="1">{#N/A,#N/A,FALSE,"Matrix";#N/A,#N/A,FALSE,"Cash Flow";#N/A,#N/A,FALSE,"10 Year Cost Analysis"}</definedName>
    <definedName name="AssumptionsA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aveparkcopy" hidden="1">{"View1",#N/A,FALSE,"Sheet1";"View2",#N/A,FALSE,"Sheet1"}</definedName>
    <definedName name="b" hidden="1">{"Assump",#N/A,TRUE,"Proforma";"first",#N/A,TRUE,"Proforma";"second",#N/A,TRUE,"Proforma";"lease1",#N/A,TRUE,"Proforma";"lease2",#N/A,TRUE,"Proforma"}</definedName>
    <definedName name="BadLink" localSheetId="2" hidden="1">#REF!</definedName>
    <definedName name="BadLink" hidden="1">#REF!</definedName>
    <definedName name="bdcopy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bdinvestor" hidden="1">{"View1",#N/A,FALSE,"Sheet1";"View2",#N/A,FALSE,"Sheet1"}</definedName>
    <definedName name="Capital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cb_sChart41E9A35_opts" hidden="1">"1, 9, 1, False, 2, False, False, , 0, False, True, 1, 1"</definedName>
    <definedName name="copyall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copymondayjv" hidden="1">{"View1",#N/A,FALSE,"Sheet1";"View2",#N/A,FALSE,"Sheet1"}</definedName>
    <definedName name="D" localSheetId="12" hidden="1">{#N/A,#N/A,TRUE,"토적및재료집계";#N/A,#N/A,TRUE,"토적및재료집계";#N/A,#N/A,TRUE,"단위량"}</definedName>
    <definedName name="D" hidden="1">{#N/A,#N/A,TRUE,"토적및재료집계";#N/A,#N/A,TRUE,"토적및재료집계";#N/A,#N/A,TRUE,"단위량"}</definedName>
    <definedName name="data" hidden="1">{"data",#N/A,FALSE,"INPUT"}</definedName>
    <definedName name="DATA_01" localSheetId="2" hidden="1">#REF!</definedName>
    <definedName name="DATA_01" hidden="1">#REF!</definedName>
    <definedName name="DATA_01_a" localSheetId="2" hidden="1">#REF!</definedName>
    <definedName name="DATA_01_a" hidden="1">#REF!</definedName>
    <definedName name="dataww" localSheetId="2" hidden="1">#REF!</definedName>
    <definedName name="dataww" localSheetId="12" hidden="1">#REF!</definedName>
    <definedName name="dataww" hidden="1">#REF!</definedName>
    <definedName name="dddd" localSheetId="12" hidden="1">{#N/A,#N/A,FALSE,"조골재"}</definedName>
    <definedName name="dddd" hidden="1">{#N/A,#N/A,FALSE,"조골재"}</definedName>
    <definedName name="ddddd" localSheetId="2" hidden="1">#REF!</definedName>
    <definedName name="ddddd" localSheetId="12" hidden="1">#REF!</definedName>
    <definedName name="ddddd" hidden="1">#REF!</definedName>
    <definedName name="dddddd" hidden="1">{#N/A,#N/A,FALSE,"CAPREIT"}</definedName>
    <definedName name="ddddddd" hidden="1">{#N/A,#N/A,FALSE,"CAPREIT"}</definedName>
    <definedName name="DELME" hidden="1">{#N/A,#N/A,FALSE,"A";#N/A,#N/A,FALSE,"C"}</definedName>
    <definedName name="DELME_condo" hidden="1">{#N/A,#N/A,FALSE,"A";#N/A,#N/A,FALSE,"C"}</definedName>
    <definedName name="DELME2" hidden="1">{#N/A,#N/A,FALSE,"Expense Detail";#N/A,#N/A,FALSE,"Worksheet";#N/A,#N/A,FALSE,"Audit";#N/A,#N/A,FALSE,"Exclusions";#N/A,#N/A,FALSE,"Variance";#N/A,#N/A,FALSE,"Average Occupancy";#N/A,#N/A,FALSE,"Maintenance &amp; Repairs Occ. Adj.";#N/A,#N/A,FALSE,"Cleaning Occupancy Adj.";#N/A,#N/A,FALSE,"Escalatable Expenses 95";#N/A,#N/A,FALSE,"Rec 95";#N/A,#N/A,FALSE,"Statements"}</definedName>
    <definedName name="DELME2_Condo" hidden="1">{#N/A,#N/A,FALSE,"Expense Detail";#N/A,#N/A,FALSE,"Worksheet";#N/A,#N/A,FALSE,"Audit";#N/A,#N/A,FALSE,"Exclusions";#N/A,#N/A,FALSE,"Variance";#N/A,#N/A,FALSE,"Average Occupancy";#N/A,#N/A,FALSE,"Maintenance &amp; Repairs Occ. Adj.";#N/A,#N/A,FALSE,"Cleaning Occupancy Adj.";#N/A,#N/A,FALSE,"Escalatable Expenses 95";#N/A,#N/A,FALSE,"Rec 95";#N/A,#N/A,FALSE,"Statements"}</definedName>
    <definedName name="DELME3" hidden="1">{#N/A,#N/A,FALSE,"Common Area Accrual";#N/A,#N/A,FALSE,"Unit One LaSalle";#N/A,#N/A,FALSE,"Unit One CW";#N/A,#N/A,FALSE,"Unit One LaSallle + C &amp; W";#N/A,#N/A,FALSE,"Consolidated Accrual"}</definedName>
    <definedName name="DELME3_Condo" hidden="1">{#N/A,#N/A,FALSE,"Common Area Accrual";#N/A,#N/A,FALSE,"Unit One LaSalle";#N/A,#N/A,FALSE,"Unit One CW";#N/A,#N/A,FALSE,"Unit One LaSallle + C &amp; W";#N/A,#N/A,FALSE,"Consolidated Accrual"}</definedName>
    <definedName name="DELME4" hidden="1">{#N/A,#N/A,FALSE,"399 Park Var";#N/A,#N/A,FALSE,"PK NOTES"}</definedName>
    <definedName name="DELME4_Condo" hidden="1">{#N/A,#N/A,FALSE,"399 Park Var";#N/A,#N/A,FALSE,"PK NOTES"}</definedName>
    <definedName name="DELME5" hidden="1">{#N/A,#N/A,FALSE,"Expense Detail ";#N/A,#N/A,FALSE,"Worksheet";#N/A,#N/A,FALSE,"Audit";#N/A,#N/A,FALSE,"Exclusions";#N/A,#N/A,FALSE,"Variance";#N/A,#N/A,FALSE,"Reconciliation"}</definedName>
    <definedName name="DELME5_Condo" hidden="1">{#N/A,#N/A,FALSE,"Expense Detail ";#N/A,#N/A,FALSE,"Worksheet";#N/A,#N/A,FALSE,"Audit";#N/A,#N/A,FALSE,"Exclusions";#N/A,#N/A,FALSE,"Variance";#N/A,#N/A,FALSE,"Reconciliation"}</definedName>
    <definedName name="DELME7" hidden="1">{#N/A,#N/A,FALSE,"399 ACC Budget";#N/A,#N/A,FALSE,"Variance";#N/A,#N/A,FALSE,"399 Park RPSF";#N/A,#N/A,FALSE,"399 Rent Detail";#N/A,#N/A,FALSE,"Common";#N/A,#N/A,FALSE,"RH";#N/A,#N/A,FALSE,"R&amp;H";#N/A,#N/A,FALSE,"399 Opex Detail";#N/A,#N/A,FALSE,"399 RE Tax Detail";#N/A,#N/A,FALSE,"399 Electric Inclusion";#N/A,#N/A,FALSE,"Subelect";#N/A,#N/A,FALSE,"Wtr";#N/A,#N/A,FALSE,"OTHVAC"}</definedName>
    <definedName name="DELME7_Condo" hidden="1">{#N/A,#N/A,FALSE,"399 ACC Budget";#N/A,#N/A,FALSE,"Variance";#N/A,#N/A,FALSE,"399 Park RPSF";#N/A,#N/A,FALSE,"399 Rent Detail";#N/A,#N/A,FALSE,"Common";#N/A,#N/A,FALSE,"RH";#N/A,#N/A,FALSE,"R&amp;H";#N/A,#N/A,FALSE,"399 Opex Detail";#N/A,#N/A,FALSE,"399 RE Tax Detail";#N/A,#N/A,FALSE,"399 Electric Inclusion";#N/A,#N/A,FALSE,"Subelect";#N/A,#N/A,FALSE,"Wtr";#N/A,#N/A,FALSE,"OTHVAC"}</definedName>
    <definedName name="dlwodud" localSheetId="12" hidden="1">{#N/A,#N/A,FALSE,"조골재"}</definedName>
    <definedName name="dlwodud" hidden="1">{#N/A,#N/A,FALSE,"조골재"}</definedName>
    <definedName name="dn" localSheetId="12" hidden="1">{#N/A,#N/A,FALSE,"혼합골재"}</definedName>
    <definedName name="dn" hidden="1">{#N/A,#N/A,FALSE,"혼합골재"}</definedName>
    <definedName name="dsaf" localSheetId="12" hidden="1">{#N/A,#N/A,FALSE,"조골재"}</definedName>
    <definedName name="dsaf" hidden="1">{#N/A,#N/A,FALSE,"조골재"}</definedName>
    <definedName name="DSF" localSheetId="12" hidden="1">{#N/A,#N/A,FALSE,"골재소요량";#N/A,#N/A,FALSE,"골재소요량"}</definedName>
    <definedName name="DSF" hidden="1">{#N/A,#N/A,FALSE,"골재소요량";#N/A,#N/A,FALSE,"골재소요량"}</definedName>
    <definedName name="e" localSheetId="2" hidden="1">'[2]Rent Roll'!#REF!</definedName>
    <definedName name="e" hidden="1">'[2]Rent Roll'!#REF!</definedName>
    <definedName name="ee" localSheetId="12" hidden="1">{#N/A,#N/A,FALSE,"단가표지"}</definedName>
    <definedName name="ee" hidden="1">{"Assump",#N/A,TRUE,"Proforma";"first",#N/A,TRUE,"Proforma";"second",#N/A,TRUE,"Proforma";"lease1",#N/A,TRUE,"Proforma";"lease2",#N/A,TRUE,"Proforma"}</definedName>
    <definedName name="eee" localSheetId="12" hidden="1">{#N/A,#N/A,FALSE,"2~8번"}</definedName>
    <definedName name="eee" hidden="1">{#N/A,#N/A,FALSE,"2~8번"}</definedName>
    <definedName name="EK" localSheetId="2" hidden="1">#REF!</definedName>
    <definedName name="EK" localSheetId="12" hidden="1">#REF!</definedName>
    <definedName name="EK" hidden="1">#REF!</definedName>
    <definedName name="erasdf" hidden="1">{"Assump",#N/A,TRUE,"Proforma";"first",#N/A,TRUE,"Proforma";"second",#N/A,TRUE,"Proforma";"lease1",#N/A,TRUE,"Proforma";"lease2",#N/A,TRUE,"Proforma"}</definedName>
    <definedName name="ererg" hidden="1">{"Investor",#N/A,FALSE,"Model";"Property",#N/A,FALSE,"Model";"Incentive Taxes",#N/A,FALSE,"Model"}</definedName>
    <definedName name="erterg" localSheetId="2" hidden="1">#REF!</definedName>
    <definedName name="erterg" hidden="1">#REF!</definedName>
    <definedName name="fdfdfd" hidden="1">{#N/A,#N/A,FALSE,"CAPREIT"}</definedName>
    <definedName name="fdfdfdf" hidden="1">{#N/A,#N/A,FALSE,"CAPREIT"}</definedName>
    <definedName name="fill" localSheetId="2" hidden="1">#REF!</definedName>
    <definedName name="fill" hidden="1">#REF!</definedName>
    <definedName name="fldfjlsd" localSheetId="2" hidden="1">#REF!</definedName>
    <definedName name="fldfjlsd" hidden="1">#REF!</definedName>
    <definedName name="fx" localSheetId="12" hidden="1">{#N/A,#N/A,FALSE,"조골재"}</definedName>
    <definedName name="fx" hidden="1">{#N/A,#N/A,FALSE,"조골재"}</definedName>
    <definedName name="gdfga" localSheetId="2" hidden="1">#REF!</definedName>
    <definedName name="gdfga" hidden="1">#REF!</definedName>
    <definedName name="GEMCO" localSheetId="2" hidden="1">#REF!</definedName>
    <definedName name="GEMCO" localSheetId="12" hidden="1">#REF!</definedName>
    <definedName name="GEMCO" hidden="1">#REF!</definedName>
    <definedName name="grew" localSheetId="2" hidden="1">#REF!</definedName>
    <definedName name="grew" localSheetId="12" hidden="1">#REF!</definedName>
    <definedName name="grew" hidden="1">#REF!</definedName>
    <definedName name="han" localSheetId="2" hidden="1">#REF!</definedName>
    <definedName name="han" localSheetId="12" hidden="1">#REF!</definedName>
    <definedName name="han" hidden="1">#REF!</definedName>
    <definedName name="hardwar" localSheetId="2" hidden="1">#REF!</definedName>
    <definedName name="hardwar" localSheetId="12" hidden="1">#REF!</definedName>
    <definedName name="hardwar" hidden="1">#REF!</definedName>
    <definedName name="HMLkUp" hidden="1">'[10]Historic Market'!$BD$6:$BD$12</definedName>
    <definedName name="HMSeek" hidden="1">'[10]Historic Market'!$BD$13:$BD$13</definedName>
    <definedName name="hope" hidden="1">{#N/A,#N/A,FALSE,"LP Exp";#N/A,#N/A,FALSE,"Salary";#N/A,#N/A,FALSE,"Admin Exp";#N/A,#N/A,FALSE,"QTS Bud";#N/A,#N/A,FALSE,"Marketing"}</definedName>
    <definedName name="hope_condo" hidden="1">{#N/A,#N/A,FALSE,"LP Exp";#N/A,#N/A,FALSE,"Salary";#N/A,#N/A,FALSE,"Admin Exp";#N/A,#N/A,FALSE,"QTS Bud";#N/A,#N/A,FALSE,"Marketing"}</definedName>
    <definedName name="HTML_CodePage" hidden="1">949</definedName>
    <definedName name="HTML_Control" localSheetId="12" hidden="1">{"'PIARC'!$A$1:$L$23"}</definedName>
    <definedName name="HTML_Control" hidden="1">{"'PIARC'!$A$1:$L$23"}</definedName>
    <definedName name="HTML_Description" hidden="1">""</definedName>
    <definedName name="HTML_Email" hidden="1">""</definedName>
    <definedName name="HTML_Header" hidden="1">"장비"</definedName>
    <definedName name="HTML_LastUpdate" hidden="1">"97-08-05"</definedName>
    <definedName name="HTML_LineAfter" hidden="1">FALSE</definedName>
    <definedName name="HTML_LineBefore" hidden="1">FALSE</definedName>
    <definedName name="HTML_Name" hidden="1">"이진화"</definedName>
    <definedName name="HTML_OBDlg2" hidden="1">TRUE</definedName>
    <definedName name="HTML_OBDlg4" hidden="1">TRUE</definedName>
    <definedName name="HTML_OS" hidden="1">0</definedName>
    <definedName name="HTML_PathFile" hidden="1">"C:\My Documents\6.htm"</definedName>
    <definedName name="HTML_Title" hidden="1">"가산동미라보"</definedName>
    <definedName name="IHMConsultant" hidden="1">[10]Project!$C$15:$C$15</definedName>
    <definedName name="IHMFirstProjected" hidden="1">[10]Project!$C$10:$C$10</definedName>
    <definedName name="IHMLastHistoric" hidden="1">[10]Project!$C$12:$C$12</definedName>
    <definedName name="IHMLocation" hidden="1">[10]Project!$C$22:$C$22</definedName>
    <definedName name="IHMModelVersion" hidden="1">[10]Project!$C$19:$C$19</definedName>
    <definedName name="IHMNumRooms" hidden="1">[10]Project!$C$9:$C$9</definedName>
    <definedName name="IHMPrintCF1" localSheetId="2" hidden="1">#REF!</definedName>
    <definedName name="IHMPrintCF1" hidden="1">#REF!</definedName>
    <definedName name="IHMPrintMR1" localSheetId="2" hidden="1">#REF!</definedName>
    <definedName name="IHMPrintMR1" hidden="1">#REF!</definedName>
    <definedName name="IHMPrintMR2" localSheetId="2" hidden="1">#REF!</definedName>
    <definedName name="IHMPrintMR2" hidden="1">#REF!</definedName>
    <definedName name="IHMPrintPO1" hidden="1">'[10]Projected Occupancy'!$A$5:$M$97</definedName>
    <definedName name="IHMPrintPO2" hidden="1">'[10]Projected Occupancy'!$A$99:$AW$277</definedName>
    <definedName name="IHMPrintPO3" hidden="1">'[10]Projected Occupancy'!$A$280:$L$385</definedName>
    <definedName name="IHMPrintPR1" hidden="1">'[10]Projected Rate'!$A$3:$M$47</definedName>
    <definedName name="IHMPrintVAL1" localSheetId="2" hidden="1">#REF!</definedName>
    <definedName name="IHMPrintVAL1" hidden="1">#REF!</definedName>
    <definedName name="IHMPrintVAL2" localSheetId="2" hidden="1">#REF!</definedName>
    <definedName name="IHMPrintVAL2" hidden="1">#REF!</definedName>
    <definedName name="IHMProjectCity" hidden="1">[10]Project!$C$7:$C$7</definedName>
    <definedName name="IHMProjectName" hidden="1">[10]Project!$C$6:$C$6</definedName>
    <definedName name="IHMProjectState" hidden="1">[10]Project!$C$8:$C$8</definedName>
    <definedName name="IHMPropertyLocation" hidden="1">[10]Project!$C$21:$C$21</definedName>
    <definedName name="IHMReviewer" hidden="1">[10]Project!$C$14:$C$14</definedName>
    <definedName name="ilghd" hidden="1">{"Investor",#N/A,FALSE,"Model";"Property",#N/A,FALSE,"Model";"Incentive Taxes",#N/A,FALSE,"Model"}</definedName>
    <definedName name="IntroPrintArea" localSheetId="2" hidden="1">#REF!</definedName>
    <definedName name="IntroPrintArea" hidden="1">#REF!</definedName>
    <definedName name="IntroPrintArea_b" localSheetId="2" hidden="1">#REF!</definedName>
    <definedName name="IntroPrintArea_b" hidden="1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EMPLOYEES" hidden="1">"c6019"</definedName>
    <definedName name="IQ_AVG_INDUSTRY_REC" hidden="1">"c4455"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ROKERED_DEPOSITS_FDIC" hidden="1">"c6486"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REUT" hidden="1">"c6800"</definedName>
    <definedName name="IQ_CAL_Y" hidden="1">"c102"</definedName>
    <definedName name="IQ_CAL_Y_EST" hidden="1">"c6797"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FLOW_ACT_OR_EST" hidden="1">"c4154"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OPER" hidden="1">"c122"</definedName>
    <definedName name="IQ_CASH_OPER_ACT_OR_EST" hidden="1">"c4164"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ARNINGS_COVERAGE_NET_CHARGE_OFFS_FDIC" hidden="1">"c6735"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GW_ACT_OR_EST" hidden="1">"c4306"</definedName>
    <definedName name="IQ_EBIT_INT" hidden="1">"c360"</definedName>
    <definedName name="IQ_EBIT_MARGIN" hidden="1">"c359"</definedName>
    <definedName name="IQ_EBIT_OVER_IE" hidden="1">"c1369"</definedName>
    <definedName name="IQ_EBIT_SBC_ACT_OR_EST" hidden="1">"c4316"</definedName>
    <definedName name="IQ_EBIT_SBC_GW_ACT_OR_EST" hidden="1">"c4320"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HIGH_EST" hidden="1">"c370"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GW_ACT_OR_EST" hidden="1">"c4354"</definedName>
    <definedName name="IQ_EBT_UTI" hidden="1">"c390"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EST" hidden="1">"c399"</definedName>
    <definedName name="IQ_EPS_EST_REUT" hidden="1">"c5453"</definedName>
    <definedName name="IQ_EPS_GW_EST" hidden="1">"c1737"</definedName>
    <definedName name="IQ_EPS_GW_EST_REUT" hidden="1">"c5389"</definedName>
    <definedName name="IQ_EPS_GW_HIGH_EST" hidden="1">"c1739"</definedName>
    <definedName name="IQ_EPS_GW_HIGH_EST_REUT" hidden="1">"c5391"</definedName>
    <definedName name="IQ_EPS_GW_LOW_EST" hidden="1">"c1740"</definedName>
    <definedName name="IQ_EPS_GW_LOW_EST_REUT" hidden="1">"c5392"</definedName>
    <definedName name="IQ_EPS_GW_MEDIAN_EST" hidden="1">"c1738"</definedName>
    <definedName name="IQ_EPS_GW_MEDIAN_EST_REUT" hidden="1">"c5390"</definedName>
    <definedName name="IQ_EPS_GW_NUM_EST" hidden="1">"c1741"</definedName>
    <definedName name="IQ_EPS_GW_NUM_EST_REUT" hidden="1">"c5393"</definedName>
    <definedName name="IQ_EPS_GW_STDDEV_EST" hidden="1">"c1742"</definedName>
    <definedName name="IQ_EPS_GW_STDDEV_EST_REUT" hidden="1">"c5394"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ORM_EST" hidden="1">"c2226"</definedName>
    <definedName name="IQ_EPS_NORM_EST_REUT" hidden="1">"c5326"</definedName>
    <definedName name="IQ_EPS_NORM_HIGH_EST" hidden="1">"c2228"</definedName>
    <definedName name="IQ_EPS_NORM_HIGH_EST_REUT" hidden="1">"c5328"</definedName>
    <definedName name="IQ_EPS_NORM_LOW_EST" hidden="1">"c2229"</definedName>
    <definedName name="IQ_EPS_NORM_LOW_EST_REUT" hidden="1">"c5329"</definedName>
    <definedName name="IQ_EPS_NORM_MEDIAN_EST" hidden="1">"c2227"</definedName>
    <definedName name="IQ_EPS_NORM_MEDIAN_EST_REUT" hidden="1">"c5327"</definedName>
    <definedName name="IQ_EPS_NORM_NUM_EST" hidden="1">"c2230"</definedName>
    <definedName name="IQ_EPS_NORM_NUM_EST_REUT" hidden="1">"c5330"</definedName>
    <definedName name="IQ_EPS_NORM_STDDEV_EST" hidden="1">"c2231"</definedName>
    <definedName name="IQ_EPS_NORM_STDDEV_EST_REUT" hidden="1">"c5331"</definedName>
    <definedName name="IQ_EPS_NUM_EST" hidden="1">"c402"</definedName>
    <definedName name="IQ_EPS_NUM_EST_REUT" hidden="1">"c5451"</definedName>
    <definedName name="IQ_EPS_REPORTED_EST" hidden="1">"c1744"</definedName>
    <definedName name="IQ_EPS_REPORTED_EST_REUT" hidden="1">"c5396"</definedName>
    <definedName name="IQ_EPS_REPORTED_HIGH_EST" hidden="1">"c1746"</definedName>
    <definedName name="IQ_EPS_REPORTED_HIGH_EST_REUT" hidden="1">"c5398"</definedName>
    <definedName name="IQ_EPS_REPORTED_LOW_EST" hidden="1">"c1747"</definedName>
    <definedName name="IQ_EPS_REPORTED_LOW_EST_REUT" hidden="1">"c5399"</definedName>
    <definedName name="IQ_EPS_REPORTED_MEDIAN_EST" hidden="1">"c1745"</definedName>
    <definedName name="IQ_EPS_REPORTED_MEDIAN_EST_REUT" hidden="1">"c5397"</definedName>
    <definedName name="IQ_EPS_REPORTED_NUM_EST" hidden="1">"c1748"</definedName>
    <definedName name="IQ_EPS_REPORTED_NUM_EST_REUT" hidden="1">"c5400"</definedName>
    <definedName name="IQ_EPS_REPORTED_STDDEV_EST" hidden="1">"c1749"</definedName>
    <definedName name="IQ_EPS_REPORTED_STDDEV_EST_REUT" hidden="1">"c5401"</definedName>
    <definedName name="IQ_EPS_SBC_ACT_OR_EST" hidden="1">"c4376"</definedName>
    <definedName name="IQ_EPS_SBC_GW_ACT_OR_EST" hidden="1">"c4380"</definedName>
    <definedName name="IQ_EPS_STDDEV_EST" hidden="1">"c403"</definedName>
    <definedName name="IQ_EPS_STDDEV_EST_REUT" hidden="1">"c5452"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ACT_EPS_GW" hidden="1">"c1743"</definedName>
    <definedName name="IQ_EST_ACT_EPS_GW_REUT" hidden="1">"c5395"</definedName>
    <definedName name="IQ_EST_ACT_EPS_NORM" hidden="1">"c2232"</definedName>
    <definedName name="IQ_EST_ACT_EPS_NORM_REUT" hidden="1">"c5332"</definedName>
    <definedName name="IQ_EST_ACT_EPS_REPORTED" hidden="1">"c1750"</definedName>
    <definedName name="IQ_EST_ACT_EPS_REPORTED_REUT" hidden="1">"c5402"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EPS_DIFF" hidden="1">"c1864"</definedName>
    <definedName name="IQ_EST_EPS_GROWTH_1YR" hidden="1">"c1636"</definedName>
    <definedName name="IQ_EST_EPS_GROWTH_1YR_REUT" hidden="1">"c3646"</definedName>
    <definedName name="IQ_EST_EPS_GROWTH_5YR" hidden="1">"c1655"</definedName>
    <definedName name="IQ_EST_EPS_GROWTH_5YR_REUT" hidden="1">"c3633"</definedName>
    <definedName name="IQ_EST_EPS_GROWTH_Q_1YR" hidden="1">"c1641"</definedName>
    <definedName name="IQ_EST_EPS_GROWTH_Q_1YR_REUT" hidden="1">"c5410"</definedName>
    <definedName name="IQ_EST_EPS_GW_DIFF" hidden="1">"c1891"</definedName>
    <definedName name="IQ_EST_EPS_GW_DIFF_REUT" hidden="1">"c5429"</definedName>
    <definedName name="IQ_EST_EPS_GW_SURPRISE_PERCENT" hidden="1">"c1892"</definedName>
    <definedName name="IQ_EST_EPS_GW_SURPRISE_PERCENT_REUT" hidden="1">"c5430"</definedName>
    <definedName name="IQ_EST_EPS_NORM_DIFF" hidden="1">"c2247"</definedName>
    <definedName name="IQ_EST_EPS_NORM_DIFF_REUT" hidden="1">"c5411"</definedName>
    <definedName name="IQ_EST_EPS_NORM_SURPRISE_PERCENT" hidden="1">"c2248"</definedName>
    <definedName name="IQ_EST_EPS_NORM_SURPRISE_PERCENT_REUT" hidden="1">"c5412"</definedName>
    <definedName name="IQ_EST_EPS_REPORT_DIFF" hidden="1">"c1893"</definedName>
    <definedName name="IQ_EST_EPS_REPORT_DIFF_REUT" hidden="1">"c5431"</definedName>
    <definedName name="IQ_EST_EPS_REPORT_SURPRISE_PERCENT" hidden="1">"c1894"</definedName>
    <definedName name="IQ_EST_EPS_REPORT_SURPRISE_PERCENT_REUT" hidden="1">"c5432"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ACT_OR_EST" hidden="1">"c4435"</definedName>
    <definedName name="IQ_FFO_PAYOUT_RATIO" hidden="1">"c3492"</definedName>
    <definedName name="IQ_FFO_SHARE_ACT_OR_EST" hidden="1">"c4446"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"c6190"</definedName>
    <definedName name="IQ_FINANCING_OBLIG_NON_CURRENT" hidden="1">"c6191"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REUT" hidden="1">"c6798"</definedName>
    <definedName name="IQ_FISCAL_Y" hidden="1">"c441"</definedName>
    <definedName name="IQ_FISCAL_Y_EST" hidden="1">"c6795"</definedName>
    <definedName name="IQ_FISCAL_Y_EST_REUT" hidden="1">"c6799"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DAYS_REV_OUT" hidden="1">"c5993"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SALARIES_PCT_REV" hidden="1">"c5970"</definedName>
    <definedName name="IQ_HC_SUPPLIES_PCT_REV" hidden="1">"c5971"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IGH_TARGET_PRICE" hidden="1">"c1651"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42437.9699884259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BC_ACT_OR_EST" hidden="1">"c4474"</definedName>
    <definedName name="IQ_NI_SBC_GW_ACT_OR_EST" hidden="1">"c4478"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" hidden="1">"c6240"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REUT" hidden="1">"c3631"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T_DATE_SCHEDULE" hidden="1">"c2483"</definedName>
    <definedName name="IQ_PUT_NOTIFICATION" hidden="1">"c2485"</definedName>
    <definedName name="IQ_PUT_PRICE_SCHEDULE" hidden="1">"c2484"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SHARE_ACT_OR_EST" hidden="1">"c4508"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EST_REUT" hidden="1">"c3634"</definedName>
    <definedName name="IQ_REVENUE_HIGH_EST" hidden="1">"c1127"</definedName>
    <definedName name="IQ_REVENUE_HIGH_EST_REUT" hidden="1">"c3636"</definedName>
    <definedName name="IQ_REVENUE_LOW_EST" hidden="1">"c1128"</definedName>
    <definedName name="IQ_REVENUE_LOW_EST_REUT" hidden="1">"c3637"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ISION_DATE_" hidden="1">39638.781712963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j" localSheetId="2" hidden="1">#REF!</definedName>
    <definedName name="j" localSheetId="12" hidden="1">#REF!</definedName>
    <definedName name="j" hidden="1">#REF!</definedName>
    <definedName name="j5r6yju" hidden="1">{"Investor",#N/A,FALSE,"Model";"Property",#N/A,FALSE,"Model";"Incentive Taxes",#N/A,FALSE,"Model"}</definedName>
    <definedName name="jdstryj" hidden="1">{"Investor",#N/A,FALSE,"Model";"Property",#N/A,FALSE,"Model";"Incentive Taxes",#N/A,FALSE,"Model"}</definedName>
    <definedName name="jdtyjs" hidden="1">{"Investor",#N/A,FALSE,"Model";"Property",#N/A,FALSE,"Model";"Incentive Taxes",#N/A,FALSE,"Model"}</definedName>
    <definedName name="jrtyhdf" hidden="1">{"Investor",#N/A,FALSE,"Model";"Property",#N/A,FALSE,"Model";"Incentive Taxes",#N/A,FALSE,"Model"}</definedName>
    <definedName name="jsrj" hidden="1">{"Investor",#N/A,FALSE,"Model";"Property",#N/A,FALSE,"Model";"Incentive Taxes",#N/A,FALSE,"Model"}</definedName>
    <definedName name="jtyt" hidden="1">{"Investor",#N/A,FALSE,"Model";"Property",#N/A,FALSE,"Model";"Incentive Taxes",#N/A,FALSE,"Model"}</definedName>
    <definedName name="JUNK" hidden="1">{"SCHEDULE",#N/A,FALSE,"Fin_sched"}</definedName>
    <definedName name="Junk_condo" hidden="1">{"SCHEDULE",#N/A,FALSE,"Fin_sched"}</definedName>
    <definedName name="JUNK2" hidden="1">{"SUMMARY",#N/A,FALSE,"Fin_sched"}</definedName>
    <definedName name="ktf" localSheetId="2" hidden="1">#REF!</definedName>
    <definedName name="ktf" localSheetId="12" hidden="1">#REF!</definedName>
    <definedName name="ktf" hidden="1">#REF!</definedName>
    <definedName name="kty" localSheetId="2" hidden="1">#REF!</definedName>
    <definedName name="kty" localSheetId="12" hidden="1">#REF!</definedName>
    <definedName name="kty" hidden="1">#REF!</definedName>
    <definedName name="ktyk" hidden="1">{"Investor",#N/A,FALSE,"Model";"Property",#N/A,FALSE,"Model";"Incentive Taxes",#N/A,FALSE,"Model"}</definedName>
    <definedName name="lfyu" hidden="1">{"Investor",#N/A,FALSE,"Model";"Property",#N/A,FALSE,"Model";"Incentive Taxes",#N/A,FALSE,"Model"}</definedName>
    <definedName name="lisa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lisa2" hidden="1">{"View1",#N/A,FALSE,"Sheet1";"View2",#N/A,FALSE,"Sheet1"}</definedName>
    <definedName name="lisa3" hidden="1">{"View1",#N/A,FALSE,"Sheet1";"View2",#N/A,FALSE,"Sheet1"}</definedName>
    <definedName name="ll" localSheetId="12" hidden="1">{"AJD",#N/A,TRUE,"Summary";"AJD",#N/A,TRUE,"CFCONC-outputs";"AJD",#N/A,TRUE,"P&amp;LCONC-outputs";"AJD",#N/A,TRUE,"BSCONC-outputs";"AJD",#N/A,TRUE,"FSCONC-outputs"}</definedName>
    <definedName name="ll" hidden="1">{#N/A,#N/A,TRUE,"Maritime Park Arena PCD";#N/A,#N/A,TRUE,"Maritime Park Arena IOR"}</definedName>
    <definedName name="Louvers" hidden="1">{#N/A,#N/A,TRUE,"Ericsson Stadium PCD ";#N/A,#N/A,TRUE,"Ericsson Stadium IOR"}</definedName>
    <definedName name="Louversa" hidden="1">{#N/A,#N/A,TRUE,"Ericsson Stadium PCD ";#N/A,#N/A,TRUE,"Ericsson Stadium IOR"}</definedName>
    <definedName name="MLNK091bc687f4134f5c8a99a8ce10f77c2b" localSheetId="2" hidden="1">#REF!</definedName>
    <definedName name="MLNK091bc687f4134f5c8a99a8ce10f77c2b" hidden="1">#REF!</definedName>
    <definedName name="MLNK2492e1935b644f4ba7439b455712a585" localSheetId="2" hidden="1">#REF!</definedName>
    <definedName name="MLNK2492e1935b644f4ba7439b455712a585" hidden="1">#REF!</definedName>
    <definedName name="MLNK2632fe41c4834ad7b8e6e3c7a5e0ce2a" localSheetId="2" hidden="1">#REF!</definedName>
    <definedName name="MLNK2632fe41c4834ad7b8e6e3c7a5e0ce2a" hidden="1">#REF!</definedName>
    <definedName name="MLNK3bfc3cd076f24aba9294b6c15fac9643" localSheetId="2" hidden="1">#REF!</definedName>
    <definedName name="MLNK3bfc3cd076f24aba9294b6c15fac9643" hidden="1">#REF!</definedName>
    <definedName name="MLNK45277f0221fc4612af7596f79411595b" localSheetId="2" hidden="1">#REF!</definedName>
    <definedName name="MLNK45277f0221fc4612af7596f79411595b" hidden="1">#REF!</definedName>
    <definedName name="MLNK79db0e8d7572485983252416fe48c547" localSheetId="2" hidden="1">#REF!</definedName>
    <definedName name="MLNK79db0e8d7572485983252416fe48c547" hidden="1">#REF!</definedName>
    <definedName name="MLNKb5e2b67269e84eecba493add0ae753d2" localSheetId="2" hidden="1">#REF!</definedName>
    <definedName name="MLNKb5e2b67269e84eecba493add0ae753d2" hidden="1">#REF!</definedName>
    <definedName name="mm" localSheetId="12" hidden="1">{#N/A,#N/A,TRUE,"토적및재료집계";#N/A,#N/A,TRUE,"토적및재료집계";#N/A,#N/A,TRUE,"단위량"}</definedName>
    <definedName name="mm" hidden="1">{#N/A,#N/A,TRUE,"토적및재료집계";#N/A,#N/A,TRUE,"토적및재료집계";#N/A,#N/A,TRUE,"단위량"}</definedName>
    <definedName name="mmmmm" localSheetId="2" hidden="1">'[11]2004 Op Exp'!#REF!</definedName>
    <definedName name="mmmmm" hidden="1">'[11]2004 Op Exp'!#REF!</definedName>
    <definedName name="monday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mondayjvcopy" hidden="1">{"View1",#N/A,FALSE,"Sheet1";"View2",#N/A,FALSE,"Sheet1"}</definedName>
    <definedName name="mondaypark" hidden="1">{"View1",#N/A,FALSE,"Sheet1";"View2",#N/A,FALSE,"Sheet1"}</definedName>
    <definedName name="mondaytest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olp" localSheetId="12" hidden="1">{"AJD",#N/A,TRUE,"Summary";"AJD",#N/A,TRUE,"CFCONC-outputs";"AJD",#N/A,TRUE,"P&amp;LCONC-outputs";"AJD",#N/A,TRUE,"BSCONC-outputs";"AJD",#N/A,TRUE,"FSCONC-outputs"}</definedName>
    <definedName name="olp" hidden="1">{"AJD",#N/A,TRUE,"Summary";"AJD",#N/A,TRUE,"CFCONC-outputs";"AJD",#N/A,TRUE,"P&amp;LCONC-outputs";"AJD",#N/A,TRUE,"BSCONC-outputs";"AJD",#N/A,TRUE,"FSCONC-outputs"}</definedName>
    <definedName name="One" hidden="1">{#N/A,#N/A,FALSE,"Consol CF";#N/A,#N/A,FALSE,"matx B4 DS";#N/A,#N/A,FALSE,"Hacienda CF";#N/A,#N/A,FALSE,"matx B4 DS Hac";#N/A,#N/A,FALSE,"Chabot CF";#N/A,#N/A,FALSE,"matx B4 DS Chabot";#N/A,#N/A,FALSE,"Diablo CF";#N/A,#N/A,FALSE,"matx B4 DS Diablo";#N/A,#N/A,FALSE,"HAC2-CF";#N/A,#N/A,FALSE,"HAC3-CF";#N/A,#N/A,FALSE,"HAC4-CF";#N/A,#N/A,FALSE,"HAC5-CF";#N/A,#N/A,FALSE,"HAC6-CF";#N/A,#N/A,FALSE,"HAC7-CF";#N/A,#N/A,FALSE,"HAC8-CF";#N/A,#N/A,FALSE,"HAC9-CF";#N/A,#N/A,FALSE,"HA10-CF"}</definedName>
    <definedName name="output" hidden="1">{#N/A,#N/A,FALSE,"Matrix";#N/A,#N/A,FALSE,"Cash Flow";#N/A,#N/A,FALSE,"10 Year Cost Analysis"}</definedName>
    <definedName name="parkavecopy" hidden="1">{"View1",#N/A,FALSE,"Sheet1";"View2",#N/A,FALSE,"Sheet1"}</definedName>
    <definedName name="parkcopy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parkjvcopy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parktest" hidden="1">{"View1",#N/A,FALSE,"Sheet1";"View2",#N/A,FALSE,"Sheet1"}</definedName>
    <definedName name="parktestave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pier90" hidden="1">{"excavation",#N/A,FALSE,"DETAIL.XLS"}</definedName>
    <definedName name="platform" hidden="1">{#N/A,#N/A,TRUE,"Ericsson Stadium PCD ";#N/A,#N/A,TRUE,"Ericsson Stadium IOR"}</definedName>
    <definedName name="platforma" hidden="1">{#N/A,#N/A,TRUE,"Ericsson Stadium PCD ";#N/A,#N/A,TRUE,"Ericsson Stadium IOR"}</definedName>
    <definedName name="problem" hidden="1">{"View1",#N/A,FALSE,"Sheet1";"View2",#N/A,FALSE,"Sheet1"}</definedName>
    <definedName name="promote" hidden="1">{"Investor",#N/A,FALSE,"Model";"Property",#N/A,FALSE,"Model";"Incentive Taxes",#N/A,FALSE,"Model"}</definedName>
    <definedName name="q" localSheetId="2" hidden="1">#REF!</definedName>
    <definedName name="q" localSheetId="12" hidden="1">#REF!</definedName>
    <definedName name="q" hidden="1">#REF!</definedName>
    <definedName name="Q3WEE" localSheetId="12" hidden="1">{#N/A,#N/A,FALSE,"조골재"}</definedName>
    <definedName name="Q3WEE" hidden="1">{#N/A,#N/A,FALSE,"조골재"}</definedName>
    <definedName name="QQ" localSheetId="12" hidden="1">{#N/A,#N/A,FALSE,"2~8번"}</definedName>
    <definedName name="QQ" hidden="1">{#N/A,#N/A,FALSE,"2~8번"}</definedName>
    <definedName name="qw" localSheetId="12" hidden="1">{#N/A,#N/A,FALSE,"단가표지"}</definedName>
    <definedName name="qw" hidden="1">{#N/A,#N/A,FALSE,"단가표지"}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tha" localSheetId="2" hidden="1">#REF!</definedName>
    <definedName name="retha" hidden="1">#REF!</definedName>
    <definedName name="rgdhgsrt" hidden="1">{"Assump",#N/A,TRUE,"Proforma";"first",#N/A,TRUE,"Proforma";"second",#N/A,TRUE,"Proforma";"lease1",#N/A,TRUE,"Proforma";"lease2",#N/A,TRUE,"Proforma"}</definedName>
    <definedName name="rgerg" hidden="1">{"Investor",#N/A,FALSE,"Model";"Property",#N/A,FALSE,"Model";"Incentive Taxes",#N/A,FALSE,"Model"}</definedName>
    <definedName name="rtha" localSheetId="2" hidden="1">#REF!</definedName>
    <definedName name="rtha" hidden="1">#REF!</definedName>
    <definedName name="rther" hidden="1">{"Investor",#N/A,FALSE,"Model";"Property",#N/A,FALSE,"Model";"Incentive Taxes",#N/A,FALSE,"Model"}</definedName>
    <definedName name="rthsrth" localSheetId="2" hidden="1">#REF!</definedName>
    <definedName name="rthsrth" hidden="1">#REF!</definedName>
    <definedName name="rtxfdgth" localSheetId="2" hidden="1">#REF!</definedName>
    <definedName name="rtxfdgth" hidden="1">#REF!</definedName>
    <definedName name="saery" hidden="1">{"Investor",#N/A,FALSE,"Model";"Property",#N/A,FALSE,"Model";"Incentive Taxes",#N/A,FALSE,"Model"}</definedName>
    <definedName name="sd" hidden="1">{"Assump",#N/A,TRUE,"Proforma";"first",#N/A,TRUE,"Proforma";"second",#N/A,TRUE,"Proforma";"lease1",#N/A,TRUE,"Proforma";"lease2",#N/A,TRUE,"Proforma"}</definedName>
    <definedName name="sdf" hidden="1">{"Assump",#N/A,TRUE,"Proforma";"first",#N/A,TRUE,"Proforma";"second",#N/A,TRUE,"Proforma";"lease1",#N/A,TRUE,"Proforma";"lease2",#N/A,TRUE,"Proforma"}</definedName>
    <definedName name="sdg" localSheetId="2" hidden="1">#REF!</definedName>
    <definedName name="sdg" localSheetId="12" hidden="1">#REF!</definedName>
    <definedName name="sdg" hidden="1">#REF!</definedName>
    <definedName name="SDS" localSheetId="12" hidden="1">{#N/A,#N/A,FALSE,"2~8번"}</definedName>
    <definedName name="SDS" hidden="1">{#N/A,#N/A,FALSE,"2~8번"}</definedName>
    <definedName name="sencount" hidden="1">1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localSheetId="2" hidden="1">'[12]14-2010'!#REF!</definedName>
    <definedName name="solver_opt" hidden="1">'[12]14-2010'!#REF!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s" localSheetId="12" hidden="1">{"AJD",#N/A,TRUE,"Summary";"AJD",#N/A,TRUE,"CFCONC-outputs";"AJD",#N/A,TRUE,"P&amp;LCONC-outputs";"AJD",#N/A,TRUE,"BSCONC-outputs";"AJD",#N/A,TRUE,"FSCONC-outputs"}</definedName>
    <definedName name="ss" hidden="1">{"AJD",#N/A,TRUE,"Summary";"AJD",#N/A,TRUE,"CFCONC-outputs";"AJD",#N/A,TRUE,"P&amp;LCONC-outputs";"AJD",#N/A,TRUE,"BSCONC-outputs";"AJD",#N/A,TRUE,"FSCONC-outputs"}</definedName>
    <definedName name="SSS" localSheetId="12" hidden="1">{#N/A,#N/A,FALSE,"2~8번"}</definedName>
    <definedName name="SSS" hidden="1">{#N/A,#N/A,FALSE,"2~8번"}</definedName>
    <definedName name="Stadium" hidden="1">{#N/A,#N/A,TRUE,"Ericsson Stadium PCD ";#N/A,#N/A,TRUE,"Ericsson Stadium IOR"}</definedName>
    <definedName name="stadiuma" hidden="1">{#N/A,#N/A,TRUE,"Ericsson Stadium PCD ";#N/A,#N/A,TRUE,"Ericsson Stadium IOR"}</definedName>
    <definedName name="tables" hidden="1">[13]Project!$C$21:$C$21</definedName>
    <definedName name="tdyjdtyj" hidden="1">{"Investor",#N/A,FALSE,"Model";"Property",#N/A,FALSE,"Model";"Incentive Taxes",#N/A,FALSE,"Model"}</definedName>
    <definedName name="test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test100" hidden="1">{"View1",#N/A,FALSE,"Sheet1";"View2",#N/A,FALSE,"Sheet1"}</definedName>
    <definedName name="test2" hidden="1">{"View1",#N/A,FALSE,"Sheet1";"View2",#N/A,FALSE,"Sheet1"}</definedName>
    <definedName name="testcopy3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testing2" hidden="1">{"View1",#N/A,FALSE,"Sheet1";"View2",#N/A,FALSE,"Sheet1"}</definedName>
    <definedName name="testparkave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TextRefCopyRangeCount" hidden="1">15</definedName>
    <definedName name="TI" hidden="1">[14]BASE!$A$18:$C$98</definedName>
    <definedName name="tr" localSheetId="2" hidden="1">#REF!</definedName>
    <definedName name="tr" localSheetId="12" hidden="1">#REF!</definedName>
    <definedName name="tr" hidden="1">#REF!</definedName>
    <definedName name="tyjsrty" hidden="1">{"Investor",#N/A,FALSE,"Model";"Property",#N/A,FALSE,"Model";"Incentive Taxes",#N/A,FALSE,"Model"}</definedName>
    <definedName name="tykjthk" hidden="1">{"Investor",#N/A,FALSE,"Model";"Property",#N/A,FALSE,"Model";"Incentive Taxes",#N/A,FALSE,"Model"}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w4u" hidden="1">{"Investor",#N/A,FALSE,"Model";"Property",#N/A,FALSE,"Model";"Incentive Taxes",#N/A,FALSE,"Model"}</definedName>
    <definedName name="v" hidden="1">'[9]Projected Occupancy'!$A$5:$M$97</definedName>
    <definedName name="viasat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" localSheetId="2" hidden="1">#REF!</definedName>
    <definedName name="w" hidden="1">#REF!</definedName>
    <definedName name="wer" localSheetId="12" hidden="1">{#N/A,#N/A,FALSE,"골재소요량";#N/A,#N/A,FALSE,"골재소요량"}</definedName>
    <definedName name="wer" hidden="1">{#N/A,#N/A,FALSE,"골재소요량";#N/A,#N/A,FALSE,"골재소요량"}</definedName>
    <definedName name="wetadf" hidden="1">{"Assump",#N/A,TRUE,"Proforma";"first",#N/A,TRUE,"Proforma";"second",#N/A,TRUE,"Proforma";"lease1",#N/A,TRUE,"Proforma";"lease2",#N/A,TRUE,"Proforma"}</definedName>
    <definedName name="wm.조골재1" localSheetId="12" hidden="1">{#N/A,#N/A,FALSE,"조골재"}</definedName>
    <definedName name="wm.조골재1" hidden="1">{#N/A,#N/A,FALSE,"조골재"}</definedName>
    <definedName name="wrn.10._.Year._.Analysis." hidden="1">{"Data Input",#N/A,TRUE,"Data Input";"10-Yr Cash Flow",#N/A,TRUE,"Cash Flow";"10-Yr Value",#N/A,TRUE,"Value "}</definedName>
    <definedName name="wrn.120W45." hidden="1">{#N/A,#N/A,FALSE,"1";#N/A,#N/A,FALSE,"1x";#N/A,#N/A,FALSE,"2";#N/A,#N/A,FALSE,"2x";#N/A,#N/A,FALSE,"3";#N/A,#N/A,FALSE,"3x"}</definedName>
    <definedName name="wrn.15._.Year._.Analysis." hidden="1">{"Data Input",#N/A,TRUE,"Data Input";"15-Yr Cash Flow",#N/A,TRUE,"Cash Flow";"15-Yr Value",#N/A,TRUE,"Value "}</definedName>
    <definedName name="wrn.2번." localSheetId="12" hidden="1">{#N/A,#N/A,FALSE,"2~8번"}</definedName>
    <definedName name="wrn.2번." hidden="1">{#N/A,#N/A,FALSE,"2~8번"}</definedName>
    <definedName name="wrn.399." hidden="1">{#N/A,#N/A,FALSE,"A";#N/A,#N/A,FALSE,"C"}</definedName>
    <definedName name="wrn.Aging._.and._.Trend._.Analysis." localSheetId="11" hidden="1">{#N/A,#N/A,FALSE,"Aging Summary";#N/A,#N/A,FALSE,"Ratio Analysis";#N/A,#N/A,FALSE,"Test 120 Day Accts";#N/A,#N/A,FALSE,"Tickmarks"}</definedName>
    <definedName name="wrn.Aging._.and._.Trend._.Analysis." localSheetId="1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JDSuite." localSheetId="12" hidden="1">{"AJD",#N/A,TRUE,"Summary";"AJD",#N/A,TRUE,"CFCONC-outputs";"AJD",#N/A,TRUE,"P&amp;LCONC-outputs";"AJD",#N/A,TRUE,"BSCONC-outputs";"AJD",#N/A,TRUE,"FSCONC-outputs"}</definedName>
    <definedName name="wrn.AJDSuite." hidden="1">{"AJD",#N/A,TRUE,"Summary";"AJD",#N/A,TRUE,"CFCONC-outputs";"AJD",#N/A,TRUE,"P&amp;LCONC-outputs";"AJD",#N/A,TRUE,"BSCONC-outputs";"AJD",#N/A,TRUE,"FSCONC-outputs"}</definedName>
    <definedName name="wrn.ALL." hidden="1">{#N/A,#N/A,TRUE,"3-Gateway";#N/A,#N/A,TRUE,"4-ByrkitAve.Bus.Ctr.";#N/A,#N/A,TRUE,"5- 851 Marietta Assoc.";#N/A,#N/A,TRUE,"6-Fesslers";#N/A,#N/A,TRUE,"7- 3300 Sample";#N/A,#N/A,TRUE,"8-Blackthorn-Wells";#N/A,#N/A,TRUE,"9-BlackthornNimtz";#N/A,#N/A,TRUE,"10-Willow Trace II";#N/A,#N/A,TRUE,"11-Homeland";#N/A,#N/A,TRUE,"12-Dugdale";#N/A,#N/A,TRUE,"13-Park Center";#N/A,#N/A,TRUE,"14-Michiana";#N/A,#N/A,TRUE,"15-LTV (Niles)";#N/A,#N/A,TRUE,"16-Niles-Colfax";#N/A,#N/A,TRUE,"17-Colfax Place";#N/A,#N/A,TRUE,"18-Pru Office"}</definedName>
    <definedName name="wrn.All._.Schedules.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wrn.Arena._.PCD." hidden="1">{#N/A,#N/A,TRUE,"Maritime Park Arena PCD";#N/A,#N/A,TRUE,"Maritime Park Arena IOR"}</definedName>
    <definedName name="wrn.Atrium." hidden="1">{"Atrium-Investor",#N/A,FALSE,"Atrium";"Atrium-Property",#N/A,FALSE,"Atrium"}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leu4." hidden="1">{#N/A,#N/A,FALSE}</definedName>
    <definedName name="wrn.bleu5" hidden="1">{#N/A,#N/A,FALSE}</definedName>
    <definedName name="wrn.BofA." hidden="1">{"BofA-Investor",#N/A,FALSE,"BofA Tower";"BofA-Property",#N/A,FALSE,"BofA Tower"}</definedName>
    <definedName name="wrn.Both._.Outputs." hidden="1">{"LTV Output",#N/A,FALSE,"Output";"DCR Output",#N/A,FALSE,"Output"}</definedName>
    <definedName name="wrn.CAPREIT." hidden="1">{#N/A,#N/A,FALSE,"CAPREIT"}</definedName>
    <definedName name="wrn.CAPREIT2" hidden="1">{#N/A,#N/A,FALSE,"CAPREIT"}</definedName>
    <definedName name="wrn.Cash._.Flow._.and._.Matrix." hidden="1">{#N/A,#N/A,FALSE,"Matrix";#N/A,#N/A,FALSE,"Cash Flow";#N/A,#N/A,FALSE,"10 Year Cost Analysis"}</definedName>
    <definedName name="wrn.CASH._.FLOWS._.ONLY." hidden="1">{#N/A,#N/A,FALSE,"Assumptions";#N/A,#N/A,FALSE,"Consol CF";#N/A,#N/A,FALSE,"Hacienda CF";#N/A,#N/A,FALSE,"Chabot CF";#N/A,#N/A,FALSE,"Diablo CF"}</definedName>
    <definedName name="wrn.CCC." hidden="1">{#N/A,#N/A,FALSE,"A";#N/A,#N/A,FALSE,"B"}</definedName>
    <definedName name="wrn.CCC._.OPEX." hidden="1">{#N/A,#N/A,FALSE,"Expense Detail";#N/A,#N/A,FALSE,"Worksheet";#N/A,#N/A,FALSE,"Audit";#N/A,#N/A,FALSE,"Exclusions";#N/A,#N/A,FALSE,"Variance";#N/A,#N/A,FALSE,"Average Occupancy";#N/A,#N/A,FALSE,"Maintenance &amp; Repairs Occ. Adj.";#N/A,#N/A,FALSE,"Cleaning Occupancy Adj.";#N/A,#N/A,FALSE,"Escalatable Expenses 95";#N/A,#N/A,FALSE,"Rec 95";#N/A,#N/A,FALSE,"Statements"}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struction._.Costs." localSheetId="12" hidden="1">{"Const Costs Dev",#N/A,FALSE,"Construction Cost Inputs";"Const Costs orig ccy",#N/A,FALSE,"Construction Cost Inputs";"Const Costs USD",#N/A,FALSE,"Construction Cost Inputs"}</definedName>
    <definedName name="wrn.Construction._.Costs." hidden="1">{"Const Costs Dev",#N/A,FALSE,"Construction Cost Inputs";"Const Costs orig ccy",#N/A,FALSE,"Construction Cost Inputs";"Const Costs USD",#N/A,FALSE,"Construction Cost Inputs"}</definedName>
    <definedName name="wrn.Core." hidden="1">{#N/A,#N/A,FALSE,"Summary";#N/A,#N/A,FALSE,"Summary (2)";#N/A,#N/A,FALSE,"100 Wall (ll)";#N/A,#N/A,FALSE,"100 Wall (pj)";#N/A,#N/A,FALSE,"88 Pine (ll)";#N/A,#N/A,FALSE,"88 Pine (pj)";#N/A,#N/A,FALSE,"1 WTC (ll)";#N/A,#N/A,FALSE,"1 WTC (pj)"}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data." hidden="1">{"data",#N/A,FALSE,"INPUT"}</definedName>
    <definedName name="wrn.DCR._.Output." hidden="1">{"DCR Output",#N/A,FALSE,"Output"}</definedName>
    <definedName name="wrn.Excavation." hidden="1">{"excavation",#N/A,FALSE,"DETAIL.XLS"}</definedName>
    <definedName name="wrn.EXPENSE." hidden="1">{#N/A,#N/A,FALSE,"Common Area Accrual";#N/A,#N/A,FALSE,"Unit One LaSalle";#N/A,#N/A,FALSE,"Unit One CW";#N/A,#N/A,FALSE,"Unit One LaSallle + C &amp; W";#N/A,#N/A,FALSE,"Consolidated Accrual"}</definedName>
    <definedName name="wrn.Expense._.Detail." hidden="1">{#N/A,#N/A,FALSE,"Common Area Accrual";#N/A,#N/A,FALSE,"Unit One LaSalle";#N/A,#N/A,FALSE,"Unit One CW";#N/A,#N/A,FALSE,"Unit One LaSalle + C &amp; W";#N/A,#N/A,FALSE,"Consolidated Accrual"}</definedName>
    <definedName name="wrn.Exterior._.Wall." hidden="1">{#N/A,#N/A,FALSE,"Paramters";"print range",#N/A,FALSE,"GSF.XLS";"exterior wall",#N/A,FALSE,"DETAIL.XLS"}</definedName>
    <definedName name="wrn.fci1cd" hidden="1">{#N/A,#N/A,FALSE,"NO.1"}</definedName>
    <definedName name="wrn.FCI1CF." hidden="1">{#N/A,#N/A,FALSE,"NO.1"}</definedName>
    <definedName name="wrn.Financing._.Inputs." localSheetId="12" hidden="1">{"BuildIn 2 Funding Assump",#N/A,FALSE,"Building Inputs";"BuildIn Capex plus Extras",#N/A,FALSE,"Building Inputs"}</definedName>
    <definedName name="wrn.Financing._.Inputs." hidden="1">{"BuildIn 2 Funding Assump",#N/A,FALSE,"Building Inputs";"BuildIn Capex plus Extras",#N/A,FALSE,"Building Inputs"}</definedName>
    <definedName name="wrn.Full." hidden="1">{#N/A,#N/A,FALSE,"Summary";#N/A,#N/A,FALSE,"Entire 27th";#N/A,#N/A,FALSE,"Entire 31st Floor";#N/A,#N/A,FALSE,"Entire 44th Floor";#N/A,#N/A,FALSE,"48th Floor";#N/A,#N/A,FALSE,"Part 45 &amp; 46th Floor"}</definedName>
    <definedName name="wrn.Full._.Run." hidden="1">{#N/A,#N/A,FALSE,"Summary";#N/A,#N/A,FALSE,"Remaining Obligation";#N/A,#N/A,FALSE,"Sublease Income";#N/A,#N/A,FALSE,"New Lease"}</definedName>
    <definedName name="wrn.Garage." hidden="1">{#N/A,#N/A,FALSE,"Garage Assumpt 1";#N/A,#N/A,FALSE,"Garage Op Proj";#N/A,#N/A,FALSE,"Hist I&amp;E";#N/A,#N/A,FALSE,"Garage Lease"}</definedName>
    <definedName name="wrn.GSA._.PRINT." hidden="1">{#N/A,#N/A,FALSE,"DEV COSTS";#N/A,#N/A,FALSE,"10-YR C. F."}</definedName>
    <definedName name="wrn.Gund._.Arena._.PCD." hidden="1">{#N/A,#N/A,TRUE,"Gund Arena PCD";#N/A,#N/A,TRUE,"Gund Arena IOR"}</definedName>
    <definedName name="wrn.Hightower." hidden="1">{"Hightower-Investor",#N/A,FALSE,"Hightower";"Hightower-Property",#N/A,FALSE,"Hightower"}</definedName>
    <definedName name="wrn.Income._.Statements." hidden="1">{#N/A,#N/A,FALSE,"Consol CF";#N/A,#N/A,FALSE,"matx B4 DS";#N/A,#N/A,FALSE,"Hacienda CF";#N/A,#N/A,FALSE,"matx B4 DS Hac";#N/A,#N/A,FALSE,"Chabot CF";#N/A,#N/A,FALSE,"matx B4 DS Chabot";#N/A,#N/A,FALSE,"Diablo CF";#N/A,#N/A,FALSE,"matx B4 DS Diablo";#N/A,#N/A,FALSE,"HAC2-CF";#N/A,#N/A,FALSE,"HAC3-CF";#N/A,#N/A,FALSE,"HAC4-CF";#N/A,#N/A,FALSE,"HAC5-CF";#N/A,#N/A,FALSE,"HAC6-CF";#N/A,#N/A,FALSE,"HAC7-CF";#N/A,#N/A,FALSE,"HAC8-CF";#N/A,#N/A,FALSE,"HAC9-CF";#N/A,#N/A,FALSE,"HA10-CF"}</definedName>
    <definedName name="wrn.Income._.Statements.1" hidden="1">{#N/A,#N/A,FALSE,"Consol CF";#N/A,#N/A,FALSE,"matx B4 DS";#N/A,#N/A,FALSE,"Hacienda CF";#N/A,#N/A,FALSE,"matx B4 DS Hac";#N/A,#N/A,FALSE,"Chabot CF";#N/A,#N/A,FALSE,"matx B4 DS Chabot";#N/A,#N/A,FALSE,"Diablo CF";#N/A,#N/A,FALSE,"matx B4 DS Diablo";#N/A,#N/A,FALSE,"HAC2-CF";#N/A,#N/A,FALSE,"HAC3-CF";#N/A,#N/A,FALSE,"HAC4-CF";#N/A,#N/A,FALSE,"HAC5-CF";#N/A,#N/A,FALSE,"HAC6-CF";#N/A,#N/A,FALSE,"HAC7-CF";#N/A,#N/A,FALSE,"HAC8-CF";#N/A,#N/A,FALSE,"HAC9-CF";#N/A,#N/A,FALSE,"HA10-CF"}</definedName>
    <definedName name="wrn.Inputs." hidden="1">{#N/A,#N/A,FALSE,"Input"}</definedName>
    <definedName name="wrn.Interior._.finishes." hidden="1">{"interior finishes",#N/A,FALSE,"DETAIL.XLS"}</definedName>
    <definedName name="wrn.Investment._.Review." hidden="1">{#N/A,#N/A,FALSE,"Proforma Five Yr";#N/A,#N/A,FALSE,"Capital Input";#N/A,#N/A,FALSE,"Calculations";#N/A,#N/A,FALSE,"Transaction Summary-DTW"}</definedName>
    <definedName name="wrn.LTV._.Output." hidden="1">{"LTV Output",#N/A,FALSE,"Output"}</definedName>
    <definedName name="wrn.Master." hidden="1">{#N/A,#N/A,FALSE,"Master Summary 1";#N/A,#N/A,FALSE,"245 Park-Rem. Obl.";#N/A,#N/A,FALSE,"245 Park-N, Lse";#N/A,#N/A,FALSE,"245 Park-N, Lse (2)";#N/A,#N/A,FALSE,"245 Park- SL";#N/A,#N/A,FALSE,"250 Park";#N/A,#N/A,FALSE,"1285 6th";#N/A,#N/A,FALSE,"101 Park";#N/A,#N/A,FALSE,"Sublease Commission"}</definedName>
    <definedName name="wrn.MATRICES._.and._.CFs." hidden="1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wrn.MATRICIES._.ONLY." hidden="1">{#N/A,#N/A,FALSE,"matx B4 DS";#N/A,#N/A,FALSE,"matx B4 DS Hac";#N/A,#N/A,FALSE,"matx B4 DS Chabot";#N/A,#N/A,FALSE,"matx B4 DS Diablo"}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2." hidden="1">{"Investor",#N/A,FALSE,"Model";"Property",#N/A,FALSE,"Model";"Incentive Taxes",#N/A,FALSE,"Model"}</definedName>
    <definedName name="wrn.ODB." hidden="1">{"ODB",#N/A,FALSE,"Hold Scenario"}</definedName>
    <definedName name="wrn.OFFICE._.BUDGET." hidden="1">{#N/A,#N/A,FALSE,"LP Exp";#N/A,#N/A,FALSE,"Salary";#N/A,#N/A,FALSE,"Admin Exp";#N/A,#N/A,FALSE,"QTS Bud";#N/A,#N/A,FALSE,"Marketing"}</definedName>
    <definedName name="wrn.OpCostIn." localSheetId="12" hidden="1">{"OpCostIn Technical",#N/A,FALSE,"Operations Cost Inputs";"OpCostIn V plus F",#N/A,FALSE,"Operations Cost Inputs";"OpCostIn Maint",#N/A,FALSE,"Operations Cost Inputs";"OpCostIn LDs Add Cost",#N/A,FALSE,"Operations Cost Inputs"}</definedName>
    <definedName name="wrn.OpCostIn." hidden="1">{"OpCostIn Technical",#N/A,FALSE,"Operations Cost Inputs";"OpCostIn V plus F",#N/A,FALSE,"Operations Cost Inputs";"OpCostIn Maint",#N/A,FALSE,"Operations Cost Inputs";"OpCostIn LDs Add Cost",#N/A,FALSE,"Operations Cost Inputs"}</definedName>
    <definedName name="wrn.Operations._.Review." hidden="1">{#N/A,#N/A,FALSE,"Proforma Five Yr";#N/A,#N/A,FALSE,"Occ and Rate";#N/A,#N/A,FALSE,"PF Input";#N/A,#N/A,FALSE,"Hotcomps"}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Pavilion." hidden="1">{"Pavilion-Investor",#N/A,FALSE,"Pavilion";"Pavilion-Property",#N/A,FALSE,"Pavilion"}</definedName>
    <definedName name="wrn.Phase._.I." hidden="1">{#N/A,#N/A,FALSE,"Transaction Summary-DTW";#N/A,#N/A,FALSE,"Proforma Five Yr";#N/A,#N/A,FALSE,"Occ and Rate"}</definedName>
    <definedName name="wrn.Phil." hidden="1">{#N/A,#N/A,FALSE,"Summary";#N/A,#N/A,FALSE,"41 Mad (Our)";#N/A,#N/A,FALSE,"41 Mad (Comp)";#N/A,#N/A,FALSE,"41 Mad (Rudin's)";#N/A,#N/A,FALSE,"41 Mad (7,354)"}</definedName>
    <definedName name="wrn.PK._.Variance." hidden="1">{#N/A,#N/A,FALSE,"399 Park Var";#N/A,#N/A,FALSE,"PK NOTES"}</definedName>
    <definedName name="wrn.print." hidden="1">{"Assump",#N/A,TRUE,"Proforma";"first",#N/A,TRUE,"Proforma";"second",#N/A,TRUE,"Proforma";"lease1",#N/A,TRUE,"Proforma";"lease2",#N/A,TRUE,"Proforma"}</definedName>
    <definedName name="wrn.PRINT._.ALL." hidden="1">{#N/A,#N/A,FALSE,"Expense Detail ";#N/A,#N/A,FALSE,"Worksheet";#N/A,#N/A,FALSE,"Audit";#N/A,#N/A,FALSE,"Exclusions";#N/A,#N/A,FALSE,"Variance";#N/A,#N/A,FALSE,"Reconciliation"}</definedName>
    <definedName name="wrn.PrintAll." hidden="1">{#N/A,#N/A,FALSE,"OpEx (PP)";#N/A,#N/A,FALSE,"Lease Comps (O)-BT";#N/A,#N/A,FALSE,"OpEx (CC)";#N/A,#N/A,FALSE,"Value (PP-Base)";#N/A,#N/A,FALSE,"Value (CC-Base)";#N/A,#N/A,FALSE,"Sales Comps (R)";#N/A,#N/A,FALSE,"Sales Comps (O)"}</definedName>
    <definedName name="wrn.Prints._.All.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oforma._.Review." hidden="1">{#N/A,#N/A,FALSE,"Occ and Rate";#N/A,#N/A,FALSE,"PF Input";#N/A,#N/A,FALSE,"Proforma Five Yr";#N/A,#N/A,FALSE,"Hotcomps"}</definedName>
    <definedName name="wrn.Remaining._.Obligation." hidden="1">{#N/A,#N/A,FALSE,"Summary (Oblg)";#N/A,#N/A,FALSE,"41 Mad (27&amp;28)";#N/A,#N/A,FALSE,"41 Mad (29-1)";#N/A,#N/A,FALSE,"41 Mad (29-2A)";#N/A,#N/A,FALSE,"41 Mad (29-2B)";#N/A,#N/A,FALSE,"41 Mad (30)";#N/A,#N/A,FALSE,"41 Mad (42)"}</definedName>
    <definedName name="wrn.report" hidden="1">{#N/A,#N/A,FALSE,"Project Summary";#N/A,#N/A,FALSE,"Parameter Summary";#N/A,#N/A,FALSE,"Budget Control Report";#N/A,#N/A,FALSE,"DETAIL.XLS"}</definedName>
    <definedName name="wrn.Report." hidden="1">{#N/A,#N/A,FALSE,"Loan Summary";#N/A,#N/A,FALSE,"NOI";"RR and Expir",#N/A,FALSE,"Rental";"Sales History",#N/A,FALSE,"Rental";#N/A,#N/A,FALSE,"Reserves"}</definedName>
    <definedName name="wrn.reports." hidden="1">{#N/A,#N/A,FALSE,"Project Summary";#N/A,#N/A,FALSE,"Parameter Summary";#N/A,#N/A,FALSE,"Budget Control Report";#N/A,#N/A,FALSE,"DETAIL.XLS"}</definedName>
    <definedName name="wrn.SCHEDULE" hidden="1">{"SCHEDULE",#N/A,FALSE,"Fin_sched"}</definedName>
    <definedName name="wrn.SCHEDULE." hidden="1">{"SCHEDULE",#N/A,FALSE,"Fin_sched"}</definedName>
    <definedName name="wrn.SouthTrust." hidden="1">{"SouthTrust-Investor",#N/A,FALSE,"SouthTrust";"SouthTrust-Property",#N/A,FALSE,"SouthTrust"}</definedName>
    <definedName name="wrn.Stadium._.PCD." hidden="1">{#N/A,#N/A,TRUE,"Ericsson Stadium PCD ";#N/A,#N/A,TRUE,"Ericsson Stadium IOR"}</definedName>
    <definedName name="wrn.Structural._.Frame." hidden="1">{"structural",#N/A,FALSE,"DETAIL.XLS"}</definedName>
    <definedName name="wrn.Sugar." hidden="1">{"Sugar-Investor",#N/A,FALSE,"Sugar";"Sugar-Property",#N/A,FALSE,"Sugar"}</definedName>
    <definedName name="wrn.SUM._.ONLY." hidden="1">{"SUMMARY",#N/A,FALSE,"BIDSUM"}</definedName>
    <definedName name="wrn.SUM._.WITH._.GC." hidden="1">{"SUMMARY",#N/A,FALSE,"BIDSUM";"SUMALTS",#N/A,FALSE,"BIDSUM";#N/A,#N/A,FALSE,"GCOND"}</definedName>
    <definedName name="wrn.SUMMARY." hidden="1">{"SUMMARY",#N/A,FALSE,"Fin_sched"}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hidden="1">{#N/A,#N/A,FALSE,"DEV COSTS";#N/A,#N/A,FALSE,"10-YR C. F."}</definedName>
    <definedName name="wrn.TownPoint." hidden="1">{"Townpoint-Investor",#N/A,FALSE,"TownPoint";"Townpoint-Property",#N/A,FALSE,"TownPoint"}</definedName>
    <definedName name="wrn.Variance." hidden="1">{#N/A,#N/A,FALSE,"CCC Variance";#N/A,#N/A,FALSE,"CCC Notes"}</definedName>
    <definedName name="wrn.건설기계사업소._.상반기보고." localSheetId="12" hidden="1">{#N/A,#N/A,FALSE,"사업총괄";#N/A,#N/A,FALSE,"장비사업";#N/A,#N/A,FALSE,"철구사업";#N/A,#N/A,FALSE,"준설사업"}</definedName>
    <definedName name="wrn.건설기계사업소._.상반기보고." hidden="1">{#N/A,#N/A,FALSE,"사업총괄";#N/A,#N/A,FALSE,"장비사업";#N/A,#N/A,FALSE,"철구사업";#N/A,#N/A,FALSE,"준설사업"}</definedName>
    <definedName name="wrn.골재소요량." localSheetId="12" hidden="1">{#N/A,#N/A,FALSE,"골재소요량";#N/A,#N/A,FALSE,"골재소요량"}</definedName>
    <definedName name="wrn.골재소요량." hidden="1">{#N/A,#N/A,FALSE,"골재소요량";#N/A,#N/A,FALSE,"골재소요량"}</definedName>
    <definedName name="wrn.교육청." localSheetId="12" hidden="1">{#N/A,#N/A,FALSE,"전력간선"}</definedName>
    <definedName name="wrn.교육청." hidden="1">{#N/A,#N/A,FALSE,"전력간선"}</definedName>
    <definedName name="wrn.단가표지." localSheetId="12" hidden="1">{#N/A,#N/A,FALSE,"단가표지"}</definedName>
    <definedName name="wrn.단가표지." hidden="1">{#N/A,#N/A,FALSE,"단가표지"}</definedName>
    <definedName name="wrn.변경예산." localSheetId="12" hidden="1">{#N/A,#N/A,FALSE,"변경관리예산";#N/A,#N/A,FALSE,"변경장비예산";#N/A,#N/A,FALSE,"변경준설예산";#N/A,#N/A,FALSE,"변경철구예산"}</definedName>
    <definedName name="wrn.변경예산." hidden="1">{#N/A,#N/A,FALSE,"변경관리예산";#N/A,#N/A,FALSE,"변경장비예산";#N/A,#N/A,FALSE,"변경준설예산";#N/A,#N/A,FALSE,"변경철구예산"}</definedName>
    <definedName name="wrn.부산주경기장." localSheetId="1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사업현황." localSheetId="12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설계내역서." localSheetId="12" hidden="1">{#N/A,#N/A,FALSE,"설계내억서"}</definedName>
    <definedName name="wrn.설계내역서." hidden="1">{#N/A,#N/A,FALSE,"설계내억서"}</definedName>
    <definedName name="wrn.신용찬." localSheetId="12" hidden="1">{#N/A,#N/A,TRUE,"토적및재료집계";#N/A,#N/A,TRUE,"토적및재료집계";#N/A,#N/A,TRUE,"단위량"}</definedName>
    <definedName name="wrn.신용찬." hidden="1">{#N/A,#N/A,TRUE,"토적및재료집계";#N/A,#N/A,TRUE,"토적및재료집계";#N/A,#N/A,TRUE,"단위량"}</definedName>
    <definedName name="wrn.양북터널전압강하." localSheetId="12" hidden="1">{#N/A,#N/A,TRUE,"전압강하-경주방향";#N/A,#N/A,TRUE,"전압강하-감포방향"}</definedName>
    <definedName name="wrn.양북터널전압강하." hidden="1">{#N/A,#N/A,TRUE,"전압강하-경주방향";#N/A,#N/A,TRUE,"전압강하-감포방향"}</definedName>
    <definedName name="wrn.예상손익." localSheetId="12" hidden="1">{#N/A,#N/A,FALSE,"예상손익";#N/A,#N/A,FALSE,"관리분석";#N/A,#N/A,FALSE,"장비분석";#N/A,#N/A,FALSE,"준설분석";#N/A,#N/A,FALSE,"철구분석"}</definedName>
    <definedName name="wrn.예상손익." hidden="1">{#N/A,#N/A,FALSE,"예상손익";#N/A,#N/A,FALSE,"관리분석";#N/A,#N/A,FALSE,"장비분석";#N/A,#N/A,FALSE,"준설분석";#N/A,#N/A,FALSE,"철구분석"}</definedName>
    <definedName name="wrn.운반시간." localSheetId="12" hidden="1">{#N/A,#N/A,FALSE,"운반시간"}</definedName>
    <definedName name="wrn.운반시간." hidden="1">{#N/A,#N/A,FALSE,"운반시간"}</definedName>
    <definedName name="wrn.조골재." localSheetId="12" hidden="1">{#N/A,#N/A,FALSE,"조골재"}</definedName>
    <definedName name="wrn.조골재." hidden="1">{#N/A,#N/A,FALSE,"조골재"}</definedName>
    <definedName name="wrn.표지목차." localSheetId="12" hidden="1">{#N/A,#N/A,FALSE,"표지목차"}</definedName>
    <definedName name="wrn.표지목차." hidden="1">{#N/A,#N/A,FALSE,"표지목차"}</definedName>
    <definedName name="wrn.혼합골재." localSheetId="12" hidden="1">{#N/A,#N/A,FALSE,"혼합골재"}</definedName>
    <definedName name="wrn.혼합골재." hidden="1">{#N/A,#N/A,FALSE,"혼합골재"}</definedName>
    <definedName name="xryjxtjnx" hidden="1">{"Investor",#N/A,FALSE,"Model";"Property",#N/A,FALSE,"Model";"Incentive Taxes",#N/A,FALSE,"Model"}</definedName>
    <definedName name="xx" localSheetId="2" hidden="1">#REF!</definedName>
    <definedName name="xx" localSheetId="12" hidden="1">#REF!</definedName>
    <definedName name="xx" hidden="1">#REF!</definedName>
    <definedName name="ydfbgeartg" localSheetId="2" hidden="1">#REF!</definedName>
    <definedName name="ydfbgeartg" hidden="1">#REF!</definedName>
    <definedName name="Z_893D3CDD_E6EC_4FBE_9F4B_7C063AADDAA3_.wvu.Rows" localSheetId="2" hidden="1">#REF!</definedName>
    <definedName name="Z_893D3CDD_E6EC_4FBE_9F4B_7C063AADDAA3_.wvu.Rows" hidden="1">#REF!</definedName>
    <definedName name="ㄱ" localSheetId="12" hidden="1">{"'별표'!$N$220"}</definedName>
    <definedName name="ㄱ" hidden="1">{"'별표'!$N$220"}</definedName>
    <definedName name="ㄱㅈㅎ" localSheetId="2" hidden="1">#REF!</definedName>
    <definedName name="ㄱㅈㅎ" localSheetId="12" hidden="1">#REF!</definedName>
    <definedName name="ㄱㅈㅎ" hidden="1">#REF!</definedName>
    <definedName name="건축" localSheetId="12" hidden="1">{"'별표'!$N$220"}</definedName>
    <definedName name="건축" hidden="1">{"'별표'!$N$220"}</definedName>
    <definedName name="건축평단가" localSheetId="12" hidden="1">{"'별표'!$N$220"}</definedName>
    <definedName name="건축평단가" hidden="1">{"'별표'!$N$220"}</definedName>
    <definedName name="견적2" localSheetId="1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1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1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경비1" localSheetId="2" hidden="1">#REF!</definedName>
    <definedName name="경비1" localSheetId="12" hidden="1">#REF!</definedName>
    <definedName name="경비1" hidden="1">#REF!</definedName>
    <definedName name="공사비4KM이상" localSheetId="12" hidden="1">{"'PIARC'!$A$1:$L$23"}</definedName>
    <definedName name="공사비4KM이상" hidden="1">{"'PIARC'!$A$1:$L$23"}</definedName>
    <definedName name="공사원가계산서" localSheetId="12" hidden="1">{#N/A,#N/A,TRUE,"토적및재료집계";#N/A,#N/A,TRUE,"토적및재료집계";#N/A,#N/A,TRUE,"단위량"}</definedName>
    <definedName name="공사원가계산서" hidden="1">{#N/A,#N/A,TRUE,"토적및재료집계";#N/A,#N/A,TRUE,"토적및재료집계";#N/A,#N/A,TRUE,"단위량"}</definedName>
    <definedName name="교굑" localSheetId="1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구산갑지" localSheetId="2" hidden="1">#REF!</definedName>
    <definedName name="구산갑지" localSheetId="12" hidden="1">#REF!</definedName>
    <definedName name="구산갑지" hidden="1">#REF!</definedName>
    <definedName name="ㄴ" localSheetId="12" hidden="1">{"'별표'!$N$220"}</definedName>
    <definedName name="ㄴ" hidden="1">{"'별표'!$N$220"}</definedName>
    <definedName name="ㄴㄱㄹ" localSheetId="2" hidden="1">#REF!</definedName>
    <definedName name="ㄴㄱㄹ" localSheetId="12" hidden="1">#REF!</definedName>
    <definedName name="ㄴㄱㄹ" hidden="1">#REF!</definedName>
    <definedName name="ㄴㄴㄴ" localSheetId="12" hidden="1">{#N/A,#N/A,FALSE,"골재소요량";#N/A,#N/A,FALSE,"골재소요량"}</definedName>
    <definedName name="ㄴㄴㄴ" hidden="1">{#N/A,#N/A,FALSE,"골재소요량";#N/A,#N/A,FALSE,"골재소요량"}</definedName>
    <definedName name="ㄴㅁ" localSheetId="2" hidden="1">#REF!</definedName>
    <definedName name="ㄴㅁ" localSheetId="12" hidden="1">#REF!</definedName>
    <definedName name="ㄴㅁ" hidden="1">#REF!</definedName>
    <definedName name="ㄴㅇㄹ" localSheetId="12" hidden="1">{#N/A,#N/A,FALSE,"2~8번"}</definedName>
    <definedName name="ㄴㅇㄹ" hidden="1">{#N/A,#N/A,FALSE,"2~8번"}</definedName>
    <definedName name="낙산1" localSheetId="12" hidden="1">{"'별표'!$N$220"}</definedName>
    <definedName name="낙산1" hidden="1">{"'별표'!$N$220"}</definedName>
    <definedName name="노원문화" localSheetId="1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1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ㄷ" localSheetId="12" hidden="1">{"'별표'!$N$220"}</definedName>
    <definedName name="ㄷ" hidden="1">{"'별표'!$N$220"}</definedName>
    <definedName name="ㄷㅈㄷㅇㄻ" localSheetId="12" hidden="1">{#N/A,#N/A,FALSE,"2~8번"}</definedName>
    <definedName name="ㄷㅈㄷㅇㄻ" hidden="1">{#N/A,#N/A,FALSE,"2~8번"}</definedName>
    <definedName name="ㄷㅎㄹㅇ" localSheetId="2" hidden="1">#REF!</definedName>
    <definedName name="ㄷㅎㄹㅇ" localSheetId="12" hidden="1">#REF!</definedName>
    <definedName name="ㄷㅎㄹㅇ" hidden="1">#REF!</definedName>
    <definedName name="대관공사비" localSheetId="12" hidden="1">{"'건축내역'!$A$1:$L$413"}</definedName>
    <definedName name="대관공사비" hidden="1">{"'건축내역'!$A$1:$L$413"}</definedName>
    <definedName name="대구신당동" localSheetId="12" hidden="1">{"'별표'!$N$220"}</definedName>
    <definedName name="대구신당동" hidden="1">{"'별표'!$N$220"}</definedName>
    <definedName name="대동터널" localSheetId="12" hidden="1">{"'PIARC'!$A$1:$L$23"}</definedName>
    <definedName name="대동터널" hidden="1">{"'PIARC'!$A$1:$L$23"}</definedName>
    <definedName name="동은" localSheetId="1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동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" localSheetId="12" hidden="1">{"AJD",#N/A,TRUE,"Summary";"AJD",#N/A,TRUE,"CFCONC-outputs";"AJD",#N/A,TRUE,"P&amp;LCONC-outputs";"AJD",#N/A,TRUE,"BSCONC-outputs";"AJD",#N/A,TRUE,"FSCONC-outputs"}</definedName>
    <definedName name="ㄹ" hidden="1">{"AJD",#N/A,TRUE,"Summary";"AJD",#N/A,TRUE,"CFCONC-outputs";"AJD",#N/A,TRUE,"P&amp;LCONC-outputs";"AJD",#N/A,TRUE,"BSCONC-outputs";"AJD",#N/A,TRUE,"FSCONC-outputs"}</definedName>
    <definedName name="ㄹㄹ" localSheetId="1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ㄹ" localSheetId="2" hidden="1">#REF!</definedName>
    <definedName name="ㄹㄹㄹ" localSheetId="12" hidden="1">#REF!</definedName>
    <definedName name="ㄹㄹㄹ" hidden="1">#REF!</definedName>
    <definedName name="ㄹㅇ퓨ㅓㅜㅏㅗㅜㅠㅅ퐇휴ㅗㅎ" localSheetId="12" hidden="1">{#N/A,#N/A,FALSE,"조골재"}</definedName>
    <definedName name="ㄹㅇ퓨ㅓㅜㅏㅗㅜㅠㅅ퐇휴ㅗㅎ" hidden="1">{#N/A,#N/A,FALSE,"조골재"}</definedName>
    <definedName name="ㄹ호" localSheetId="2" hidden="1">#REF!</definedName>
    <definedName name="ㄹ호" localSheetId="12" hidden="1">#REF!</definedName>
    <definedName name="ㄹ호" hidden="1">#REF!</definedName>
    <definedName name="ㅀ" localSheetId="12" hidden="1">{#N/A,#N/A,TRUE,"토적및재료집계";#N/A,#N/A,TRUE,"토적및재료집계";#N/A,#N/A,TRUE,"단위량"}</definedName>
    <definedName name="ㅀ" hidden="1">{#N/A,#N/A,TRUE,"토적및재료집계";#N/A,#N/A,TRUE,"토적및재료집계";#N/A,#N/A,TRUE,"단위량"}</definedName>
    <definedName name="ㅁ" localSheetId="12" hidden="1">{"AJD",#N/A,TRUE,"Summary";"AJD",#N/A,TRUE,"CFCONC-outputs";"AJD",#N/A,TRUE,"P&amp;LCONC-outputs";"AJD",#N/A,TRUE,"BSCONC-outputs";"AJD",#N/A,TRUE,"FSCONC-outputs"}</definedName>
    <definedName name="ㅁ" hidden="1">{"AJD",#N/A,TRUE,"Summary";"AJD",#N/A,TRUE,"CFCONC-outputs";"AJD",#N/A,TRUE,"P&amp;LCONC-outputs";"AJD",#N/A,TRUE,"BSCONC-outputs";"AJD",#N/A,TRUE,"FSCONC-outputs"}</definedName>
    <definedName name="ㅁㄴ" localSheetId="2" hidden="1">#REF!</definedName>
    <definedName name="ㅁㄴ" localSheetId="12" hidden="1">#REF!</definedName>
    <definedName name="ㅁㄴ" hidden="1">#REF!</definedName>
    <definedName name="ㅁㄴㅇ" localSheetId="12" hidden="1">{#N/A,#N/A,FALSE,"운반시간"}</definedName>
    <definedName name="ㅁㄴㅇ" hidden="1">{#N/A,#N/A,FALSE,"운반시간"}</definedName>
    <definedName name="ㅁㅁ" localSheetId="12" hidden="1">{#N/A,#N/A,FALSE,"조골재"}</definedName>
    <definedName name="ㅁㅁ" hidden="1">{#N/A,#N/A,FALSE,"조골재"}</definedName>
    <definedName name="ㅁㅁㅁㅁㅁ" localSheetId="12" hidden="1">{#N/A,#N/A,FALSE,"2~8번"}</definedName>
    <definedName name="ㅁㅁㅁㅁㅁ" hidden="1">{#N/A,#N/A,FALSE,"2~8번"}</definedName>
    <definedName name="ㅁㅁㅁㅁㅁㅁ" localSheetId="2" hidden="1">#REF!</definedName>
    <definedName name="ㅁㅁㅁㅁㅁㅁ" localSheetId="12" hidden="1">#REF!</definedName>
    <definedName name="ㅁㅁㅁㅁㅁㅁ" hidden="1">#REF!</definedName>
    <definedName name="ㅁㅇㄴㄴㄴ" localSheetId="12" hidden="1">{#N/A,#N/A,FALSE,"운반시간"}</definedName>
    <definedName name="ㅁㅇㄴㄴㄴ" hidden="1">{#N/A,#N/A,FALSE,"운반시간"}</definedName>
    <definedName name="ㅁㅈㄴㅇ" localSheetId="12" hidden="1">{#N/A,#N/A,FALSE,"조골재"}</definedName>
    <definedName name="ㅁㅈㄴㅇ" hidden="1">{#N/A,#N/A,FALSE,"조골재"}</definedName>
    <definedName name="ㅁㅈㅇㅁㅇㅇㅇ" localSheetId="12" hidden="1">{#N/A,#N/A,FALSE,"골재소요량";#N/A,#N/A,FALSE,"골재소요량"}</definedName>
    <definedName name="ㅁㅈㅇㅁㅇㅇㅇ" hidden="1">{#N/A,#N/A,FALSE,"골재소요량";#N/A,#N/A,FALSE,"골재소요량"}</definedName>
    <definedName name="ㅁㅈㅈㅈㅈ" localSheetId="12" hidden="1">{#N/A,#N/A,FALSE,"조골재"}</definedName>
    <definedName name="ㅁㅈㅈㅈㅈ" hidden="1">{#N/A,#N/A,FALSE,"조골재"}</definedName>
    <definedName name="미" localSheetId="1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미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ㅂ" localSheetId="12" hidden="1">{#N/A,#N/A,TRUE,"토적및재료집계";#N/A,#N/A,TRUE,"토적및재료집계";#N/A,#N/A,TRUE,"단위량"}</definedName>
    <definedName name="ㅂ" hidden="1">{#N/A,#N/A,TRUE,"토적및재료집계";#N/A,#N/A,TRUE,"토적및재료집계";#N/A,#N/A,TRUE,"단위량"}</definedName>
    <definedName name="ㅂㅂㅂ" localSheetId="12" hidden="1">{#N/A,#N/A,FALSE,"골재소요량";#N/A,#N/A,FALSE,"골재소요량"}</definedName>
    <definedName name="ㅂㅂㅂ" hidden="1">{#N/A,#N/A,FALSE,"골재소요량";#N/A,#N/A,FALSE,"골재소요량"}</definedName>
    <definedName name="ㅂㅈ" localSheetId="12" hidden="1">{#N/A,#N/A,FALSE,"2~8번"}</definedName>
    <definedName name="ㅂㅈ" hidden="1">{#N/A,#N/A,FALSE,"2~8번"}</definedName>
    <definedName name="ㅂㅈㄷ" localSheetId="12" hidden="1">{#N/A,#N/A,FALSE,"골재소요량";#N/A,#N/A,FALSE,"골재소요량"}</definedName>
    <definedName name="ㅂㅈㄷ" hidden="1">{#N/A,#N/A,FALSE,"골재소요량";#N/A,#N/A,FALSE,"골재소요량"}</definedName>
    <definedName name="분전반제조총괄표" localSheetId="12" hidden="1">{"'건축내역'!$A$1:$L$413"}</definedName>
    <definedName name="분전반제조총괄표" hidden="1">{"'건축내역'!$A$1:$L$413"}</definedName>
    <definedName name="ㅅ" localSheetId="12" hidden="1">{#N/A,#N/A,TRUE,"토적및재료집계";#N/A,#N/A,TRUE,"토적및재료집계";#N/A,#N/A,TRUE,"단위량"}</definedName>
    <definedName name="ㅅ" hidden="1">{#N/A,#N/A,TRUE,"토적및재료집계";#N/A,#N/A,TRUE,"토적및재료집계";#N/A,#N/A,TRUE,"단위량"}</definedName>
    <definedName name="사" localSheetId="2" hidden="1">#REF!</definedName>
    <definedName name="사" localSheetId="12" hidden="1">#REF!</definedName>
    <definedName name="사" hidden="1">#REF!</definedName>
    <definedName name="설계내역서" localSheetId="12" hidden="1">{"'별표'!$N$220"}</definedName>
    <definedName name="설계내역서" hidden="1">{"'별표'!$N$220"}</definedName>
    <definedName name="설서" localSheetId="12" hidden="1">{"'별표'!$N$220"}</definedName>
    <definedName name="설서" hidden="1">{"'별표'!$N$220"}</definedName>
    <definedName name="손영주" localSheetId="12" hidden="1">{#N/A,#N/A,FALSE,"조골재"}</definedName>
    <definedName name="손영주" hidden="1">{#N/A,#N/A,FALSE,"조골재"}</definedName>
    <definedName name="수" localSheetId="2" hidden="1">#REF!</definedName>
    <definedName name="수" localSheetId="12" hidden="1">#REF!</definedName>
    <definedName name="수" hidden="1">#REF!</definedName>
    <definedName name="ㅇㄹ" localSheetId="2" hidden="1">#REF!</definedName>
    <definedName name="ㅇㄹ" localSheetId="12" hidden="1">#REF!</definedName>
    <definedName name="ㅇㄹ" hidden="1">#REF!</definedName>
    <definedName name="ㅇㄹㄹ" localSheetId="2" hidden="1">#REF!</definedName>
    <definedName name="ㅇㄹㄹ" localSheetId="12" hidden="1">#REF!</definedName>
    <definedName name="ㅇㄹㄹ" hidden="1">#REF!</definedName>
    <definedName name="ㅇㅇ" localSheetId="1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ㅇㅇ" localSheetId="2" hidden="1">#REF!</definedName>
    <definedName name="ㅇㅇㅇㅇ" localSheetId="12" hidden="1">#REF!</definedName>
    <definedName name="ㅇㅇㅇㅇ" hidden="1">#REF!</definedName>
    <definedName name="ㅇㅎ" localSheetId="2" hidden="1">#REF!</definedName>
    <definedName name="ㅇㅎ" localSheetId="12" hidden="1">#REF!</definedName>
    <definedName name="ㅇㅎ" hidden="1">#REF!</definedName>
    <definedName name="아" localSheetId="12" hidden="1">{"'별표'!$N$220"}</definedName>
    <definedName name="아" hidden="1">{"'별표'!$N$220"}</definedName>
    <definedName name="아무거나" localSheetId="2" hidden="1">#REF!</definedName>
    <definedName name="아무거나" localSheetId="12" hidden="1">#REF!</definedName>
    <definedName name="아무거나" hidden="1">#REF!</definedName>
    <definedName name="아안녕" localSheetId="12" hidden="1">{"'별표'!$N$220"}</definedName>
    <definedName name="아안녕" hidden="1">{"'별표'!$N$220"}</definedName>
    <definedName name="안녕" localSheetId="12" hidden="1">{"'별표'!$N$220"}</definedName>
    <definedName name="안녕" hidden="1">{"'별표'!$N$220"}</definedName>
    <definedName name="억이상" localSheetId="12" hidden="1">{#N/A,#N/A,FALSE,"2~8번"}</definedName>
    <definedName name="억이상" hidden="1">{#N/A,#N/A,FALSE,"2~8번"}</definedName>
    <definedName name="업체" localSheetId="2" hidden="1">#REF!</definedName>
    <definedName name="업체" localSheetId="12" hidden="1">#REF!</definedName>
    <definedName name="업체" hidden="1">#REF!</definedName>
    <definedName name="의" localSheetId="12" hidden="1">{#N/A,#N/A,FALSE,"운반시간"}</definedName>
    <definedName name="의" hidden="1">{#N/A,#N/A,FALSE,"운반시간"}</definedName>
    <definedName name="이동" localSheetId="12" hidden="1">{#N/A,#N/A,FALSE,"조골재"}</definedName>
    <definedName name="이동" hidden="1">{#N/A,#N/A,FALSE,"조골재"}</definedName>
    <definedName name="이름모름" localSheetId="12" hidden="1">{"'별표'!$N$220"}</definedName>
    <definedName name="이름모름" hidden="1">{"'별표'!$N$220"}</definedName>
    <definedName name="일반부" localSheetId="12" hidden="1">{#N/A,#N/A,FALSE,"조골재"}</definedName>
    <definedName name="일반부" hidden="1">{#N/A,#N/A,FALSE,"조골재"}</definedName>
    <definedName name="ㅈㄱ" localSheetId="12" hidden="1">{#N/A,#N/A,FALSE,"조골재"}</definedName>
    <definedName name="ㅈㄱ" hidden="1">{#N/A,#N/A,FALSE,"조골재"}</definedName>
    <definedName name="ㅈㅁㅈㅂㅂ" localSheetId="12" hidden="1">{#N/A,#N/A,FALSE,"단가표지"}</definedName>
    <definedName name="ㅈㅁㅈㅂㅂ" hidden="1">{#N/A,#N/A,FALSE,"단가표지"}</definedName>
    <definedName name="ㅈㅈ" localSheetId="2" hidden="1">#REF!</definedName>
    <definedName name="ㅈㅈ" localSheetId="12" hidden="1">#REF!</definedName>
    <definedName name="ㅈㅈ" hidden="1">#REF!</definedName>
    <definedName name="ㅈㅈㅈㅈ" localSheetId="12" hidden="1">{#N/A,#N/A,FALSE,"2~8번"}</definedName>
    <definedName name="ㅈㅈㅈㅈ" hidden="1">{#N/A,#N/A,FALSE,"2~8번"}</definedName>
    <definedName name="ㅈㅈㅈㅈㅈㅈㅈ" localSheetId="12" hidden="1">{#N/A,#N/A,FALSE,"2~8번"}</definedName>
    <definedName name="ㅈㅈㅈㅈㅈㅈㅈ" hidden="1">{#N/A,#N/A,FALSE,"2~8번"}</definedName>
    <definedName name="재료노무합계" localSheetId="12" hidden="1">{"'건축내역'!$A$1:$L$413"}</definedName>
    <definedName name="재료노무합계" hidden="1">{"'건축내역'!$A$1:$L$413"}</definedName>
    <definedName name="전철" hidden="1">0</definedName>
    <definedName name="전체제조총괄표" localSheetId="12" hidden="1">{"'건축내역'!$A$1:$L$413"}</definedName>
    <definedName name="전체제조총괄표" hidden="1">{"'건축내역'!$A$1:$L$413"}</definedName>
    <definedName name="제출2" localSheetId="1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사가" localSheetId="2" hidden="1">[15]입찰안!#REF!</definedName>
    <definedName name="조사가" localSheetId="12" hidden="1">[15]입찰안!#REF!</definedName>
    <definedName name="조사가" hidden="1">[15]입찰안!#REF!</definedName>
    <definedName name="직매54P" localSheetId="12" hidden="1">{#N/A,#N/A,TRUE,"토적및재료집계";#N/A,#N/A,TRUE,"토적및재료집계";#N/A,#N/A,TRUE,"단위량"}</definedName>
    <definedName name="직매54P" hidden="1">{#N/A,#N/A,TRUE,"토적및재료집계";#N/A,#N/A,TRUE,"토적및재료집계";#N/A,#N/A,TRUE,"단위량"}</definedName>
    <definedName name="철2" localSheetId="12" hidden="1">{#N/A,#N/A,FALSE,"혼합골재"}</definedName>
    <definedName name="철2" hidden="1">{#N/A,#N/A,FALSE,"혼합골재"}</definedName>
    <definedName name="총공" localSheetId="12" hidden="1">{#N/A,#N/A,FALSE,"운반시간"}</definedName>
    <definedName name="총공" hidden="1">{#N/A,#N/A,FALSE,"운반시간"}</definedName>
    <definedName name="최종실행" localSheetId="1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최종실행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ㅋ" localSheetId="12" hidden="1">{#N/A,#N/A,FALSE,"조골재"}</definedName>
    <definedName name="ㅋ" hidden="1">{#N/A,#N/A,FALSE,"조골재"}</definedName>
    <definedName name="ㅋㅋㅋㅋㅋ" localSheetId="12" hidden="1">{#N/A,#N/A,FALSE,"골재소요량";#N/A,#N/A,FALSE,"골재소요량"}</definedName>
    <definedName name="ㅋㅋㅋㅋㅋ" hidden="1">{#N/A,#N/A,FALSE,"골재소요량";#N/A,#N/A,FALSE,"골재소요량"}</definedName>
    <definedName name="ㅋㅌ" localSheetId="12" hidden="1">{#N/A,#N/A,FALSE,"조골재"}</definedName>
    <definedName name="ㅋㅌ" hidden="1">{#N/A,#N/A,FALSE,"조골재"}</definedName>
    <definedName name="케이블간지" localSheetId="12" hidden="1">{#N/A,#N/A,TRUE,"토적및재료집계";#N/A,#N/A,TRUE,"토적및재료집계";#N/A,#N/A,TRUE,"단위량"}</definedName>
    <definedName name="케이블간지" hidden="1">{#N/A,#N/A,TRUE,"토적및재료집계";#N/A,#N/A,TRUE,"토적및재료집계";#N/A,#N/A,TRUE,"단위량"}</definedName>
    <definedName name="ㅌ" localSheetId="12" hidden="1">{#N/A,#N/A,FALSE,"2~8번"}</definedName>
    <definedName name="ㅌ" hidden="1">{#N/A,#N/A,FALSE,"2~8번"}</definedName>
    <definedName name="토" localSheetId="2" hidden="1">#REF!</definedName>
    <definedName name="토" localSheetId="12" hidden="1">#REF!</definedName>
    <definedName name="토" hidden="1">#REF!</definedName>
    <definedName name="토공2" localSheetId="12" hidden="1">{#N/A,#N/A,FALSE,"2~8번"}</definedName>
    <definedName name="토공2" hidden="1">{#N/A,#N/A,FALSE,"2~8번"}</definedName>
    <definedName name="토공전체" localSheetId="12" hidden="1">{#N/A,#N/A,FALSE,"운반시간"}</definedName>
    <definedName name="토공전체" hidden="1">{#N/A,#N/A,FALSE,"운반시간"}</definedName>
    <definedName name="토목설계" localSheetId="12" hidden="1">{#N/A,#N/A,FALSE,"골재소요량";#N/A,#N/A,FALSE,"골재소요량"}</definedName>
    <definedName name="토목설계" hidden="1">{#N/A,#N/A,FALSE,"골재소요량";#N/A,#N/A,FALSE,"골재소요량"}</definedName>
    <definedName name="ㅍ" localSheetId="12" hidden="1">{#N/A,#N/A,FALSE,"2~8번"}</definedName>
    <definedName name="ㅍ" hidden="1">{#N/A,#N/A,FALSE,"2~8번"}</definedName>
    <definedName name="ㅍㅍ" localSheetId="12" hidden="1">{#N/A,#N/A,TRUE,"토적및재료집계";#N/A,#N/A,TRUE,"토적및재료집계";#N/A,#N/A,TRUE,"단위량"}</definedName>
    <definedName name="ㅍㅍ" hidden="1">{#N/A,#N/A,TRUE,"토적및재료집계";#N/A,#N/A,TRUE,"토적및재료집계";#N/A,#N/A,TRUE,"단위량"}</definedName>
    <definedName name="파일" localSheetId="2" hidden="1">#REF!</definedName>
    <definedName name="파일" localSheetId="12" hidden="1">#REF!</definedName>
    <definedName name="파일" hidden="1">#REF!</definedName>
    <definedName name="팔" localSheetId="2" hidden="1">#REF!</definedName>
    <definedName name="팔" localSheetId="12" hidden="1">#REF!</definedName>
    <definedName name="팔" hidden="1">#REF!</definedName>
    <definedName name="표" localSheetId="1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표지" localSheetId="2" hidden="1">#REF!</definedName>
    <definedName name="표지" localSheetId="12" hidden="1">#REF!</definedName>
    <definedName name="표지" hidden="1">#REF!</definedName>
    <definedName name="표지2" localSheetId="2" hidden="1">#REF!</definedName>
    <definedName name="표지2" localSheetId="12" hidden="1">#REF!</definedName>
    <definedName name="표지2" hidden="1">#REF!</definedName>
    <definedName name="ㅎ5" localSheetId="12" hidden="1">{#N/A,#N/A,FALSE,"골재소요량";#N/A,#N/A,FALSE,"골재소요량"}</definedName>
    <definedName name="ㅎ5" hidden="1">{#N/A,#N/A,FALSE,"골재소요량";#N/A,#N/A,FALSE,"골재소요량"}</definedName>
    <definedName name="ㅎㅎ" localSheetId="12" hidden="1">{"'별표'!$N$220"}</definedName>
    <definedName name="ㅎㅎ" hidden="1">{"'별표'!$N$220"}</definedName>
    <definedName name="하도사" localSheetId="1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1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한" localSheetId="2" hidden="1">#REF!</definedName>
    <definedName name="한" localSheetId="12" hidden="1">#REF!</definedName>
    <definedName name="한" hidden="1">#REF!</definedName>
    <definedName name="ㅏ" localSheetId="12" hidden="1">{#N/A,#N/A,FALSE,"운반시간"}</definedName>
    <definedName name="ㅏ" hidden="1">{#N/A,#N/A,FALSE,"운반시간"}</definedName>
    <definedName name="ㅐㅐㅐ" localSheetId="1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1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7" localSheetId="12" hidden="1">{#N/A,#N/A,FALSE,"단가표지"}</definedName>
    <definedName name="ㅓ7" hidden="1">{#N/A,#N/A,FALSE,"단가표지"}</definedName>
    <definedName name="ㅓㄴㅇ러" localSheetId="12" hidden="1">{#N/A,#N/A,FALSE,"골재소요량";#N/A,#N/A,FALSE,"골재소요량"}</definedName>
    <definedName name="ㅓㄴㅇ러" hidden="1">{#N/A,#N/A,FALSE,"골재소요량";#N/A,#N/A,FALSE,"골재소요량"}</definedName>
    <definedName name="ㅕ겨겨" localSheetId="1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localSheetId="1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localSheetId="1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ㅜ" localSheetId="12" hidden="1">{#N/A,#N/A,FALSE,"조골재"}</definedName>
    <definedName name="ㅜ" hidden="1">{#N/A,#N/A,FALSE,"조골재"}</definedName>
    <definedName name="ㅠ뮤ㅐ" localSheetId="2" hidden="1">#REF!</definedName>
    <definedName name="ㅠ뮤ㅐ" localSheetId="12" hidden="1">#REF!</definedName>
    <definedName name="ㅠ뮤ㅐ" hidden="1">#REF!</definedName>
    <definedName name="ㅡ" localSheetId="12" hidden="1">{#N/A,#N/A,FALSE,"2~8번"}</definedName>
    <definedName name="ㅡ" hidden="1">{#N/A,#N/A,FALSE,"2~8번"}</definedName>
    <definedName name="ㅣㅏㅓ" localSheetId="12" hidden="1">{#N/A,#N/A,FALSE,"운반시간"}</definedName>
    <definedName name="ㅣㅏㅓ" hidden="1">{#N/A,#N/A,FALSE,"운반시간"}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9" i="17" l="1"/>
  <c r="L25" i="4" l="1"/>
  <c r="AA61" i="17"/>
  <c r="AA59" i="17"/>
  <c r="R13" i="4" l="1"/>
  <c r="S13" i="4"/>
  <c r="T13" i="4" s="1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L22" i="5"/>
  <c r="D93" i="20"/>
  <c r="J33" i="19"/>
  <c r="E33" i="19"/>
  <c r="D33" i="19"/>
  <c r="AT33" i="6"/>
  <c r="AS33" i="6"/>
  <c r="AR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AD65" i="18"/>
  <c r="AE65" i="18" s="1"/>
  <c r="AF65" i="18" s="1"/>
  <c r="AG65" i="18" s="1"/>
  <c r="AH65" i="18" s="1"/>
  <c r="AI65" i="18" s="1"/>
  <c r="AJ65" i="18" s="1"/>
  <c r="AK65" i="18" s="1"/>
  <c r="AL65" i="18" s="1"/>
  <c r="AM65" i="18" s="1"/>
  <c r="AN65" i="18" s="1"/>
  <c r="AO65" i="18" s="1"/>
  <c r="T65" i="18"/>
  <c r="U65" i="18" s="1"/>
  <c r="V65" i="18" s="1"/>
  <c r="W65" i="18" s="1"/>
  <c r="X65" i="18" s="1"/>
  <c r="Y65" i="18" s="1"/>
  <c r="Z65" i="18" s="1"/>
  <c r="AA65" i="18" s="1"/>
  <c r="AB65" i="18" s="1"/>
  <c r="AC65" i="18" s="1"/>
  <c r="S65" i="18"/>
  <c r="R65" i="18"/>
  <c r="H65" i="18"/>
  <c r="I65" i="18"/>
  <c r="J65" i="18" s="1"/>
  <c r="K65" i="18" s="1"/>
  <c r="L65" i="18" s="1"/>
  <c r="M65" i="18" s="1"/>
  <c r="N65" i="18" s="1"/>
  <c r="O65" i="18" s="1"/>
  <c r="P65" i="18" s="1"/>
  <c r="Q65" i="18" s="1"/>
  <c r="G65" i="18"/>
  <c r="F65" i="18"/>
  <c r="B65" i="18"/>
  <c r="C78" i="24"/>
  <c r="E69" i="24"/>
  <c r="D69" i="24"/>
  <c r="C69" i="24"/>
  <c r="E63" i="24"/>
  <c r="D63" i="24"/>
  <c r="C63" i="24"/>
  <c r="E57" i="24"/>
  <c r="D57" i="24"/>
  <c r="C57" i="24"/>
  <c r="D54" i="24"/>
  <c r="E54" i="24" s="1"/>
  <c r="C52" i="24"/>
  <c r="C53" i="24" s="1"/>
  <c r="E50" i="24"/>
  <c r="D50" i="24"/>
  <c r="C50" i="24"/>
  <c r="C25" i="24"/>
  <c r="C24" i="24"/>
  <c r="E18" i="24"/>
  <c r="E24" i="24" s="1"/>
  <c r="E52" i="24" s="1"/>
  <c r="E55" i="24" s="1"/>
  <c r="D18" i="24"/>
  <c r="D24" i="24" s="1"/>
  <c r="D52" i="24" s="1"/>
  <c r="D55" i="24" s="1"/>
  <c r="C18" i="24"/>
  <c r="X13" i="4"/>
  <c r="Y13" i="4"/>
  <c r="P33" i="19"/>
  <c r="AD13" i="4"/>
  <c r="AE13" i="4"/>
  <c r="Z13" i="4"/>
  <c r="AC13" i="4"/>
  <c r="AB13" i="4"/>
  <c r="W13" i="4"/>
  <c r="AF13" i="4"/>
  <c r="AA13" i="4"/>
  <c r="I313" i="16" l="1"/>
  <c r="E58" i="24"/>
  <c r="D58" i="24"/>
  <c r="D71" i="24" s="1"/>
  <c r="C55" i="24"/>
  <c r="N33" i="19"/>
  <c r="K33" i="19"/>
  <c r="O33" i="19"/>
  <c r="L33" i="19"/>
  <c r="M33" i="19"/>
  <c r="F313" i="16" l="1"/>
  <c r="E313" i="16"/>
  <c r="H313" i="16"/>
  <c r="D313" i="16"/>
  <c r="G313" i="16"/>
  <c r="E66" i="24"/>
  <c r="E67" i="24" s="1"/>
  <c r="E61" i="24"/>
  <c r="D61" i="24"/>
  <c r="D66" i="24"/>
  <c r="D67" i="24" s="1"/>
  <c r="C71" i="24"/>
  <c r="C58" i="24"/>
  <c r="E71" i="24"/>
  <c r="C66" i="24" l="1"/>
  <c r="C67" i="24" s="1"/>
  <c r="C61" i="24"/>
  <c r="K34" i="6" l="1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J33" i="6" s="1"/>
  <c r="K33" i="6"/>
  <c r="E93" i="20"/>
  <c r="F93" i="20"/>
  <c r="G93" i="20"/>
  <c r="H93" i="20"/>
  <c r="I93" i="20"/>
  <c r="J93" i="20"/>
  <c r="K93" i="20"/>
  <c r="L93" i="20"/>
  <c r="M93" i="20"/>
  <c r="O93" i="20"/>
  <c r="P93" i="20"/>
  <c r="Q93" i="20"/>
  <c r="R93" i="20"/>
  <c r="S93" i="20"/>
  <c r="T93" i="20"/>
  <c r="U93" i="20"/>
  <c r="V93" i="20"/>
  <c r="W93" i="20"/>
  <c r="X93" i="20"/>
  <c r="Y93" i="20"/>
  <c r="Z93" i="20"/>
  <c r="AB93" i="20"/>
  <c r="AC93" i="20"/>
  <c r="AD93" i="20"/>
  <c r="AE93" i="20"/>
  <c r="AF93" i="20"/>
  <c r="AG93" i="20"/>
  <c r="AH93" i="20"/>
  <c r="AI93" i="20"/>
  <c r="AJ93" i="20"/>
  <c r="AK93" i="20"/>
  <c r="AL93" i="20"/>
  <c r="AM93" i="20"/>
  <c r="A33" i="6"/>
  <c r="A35" i="6"/>
  <c r="AN48" i="18" l="1"/>
  <c r="AO48" i="18"/>
  <c r="AM48" i="18"/>
  <c r="I3" i="19"/>
  <c r="M50" i="19" l="1"/>
  <c r="M51" i="19" s="1"/>
  <c r="AM60" i="18"/>
  <c r="AN60" i="18" s="1"/>
  <c r="AO60" i="18" s="1"/>
  <c r="D314" i="16" l="1"/>
  <c r="L55" i="19"/>
  <c r="M55" i="19"/>
  <c r="AR11" i="6"/>
  <c r="AS11" i="6"/>
  <c r="AT11" i="6"/>
  <c r="K41" i="19"/>
  <c r="L41" i="19" s="1"/>
  <c r="E314" i="16" s="1"/>
  <c r="L50" i="19"/>
  <c r="L51" i="19" s="1"/>
  <c r="Q71" i="22"/>
  <c r="E10" i="20"/>
  <c r="F10" i="20"/>
  <c r="G10" i="20"/>
  <c r="G7" i="20" s="1"/>
  <c r="H10" i="20"/>
  <c r="H7" i="20" s="1"/>
  <c r="I10" i="20"/>
  <c r="J10" i="20"/>
  <c r="K10" i="20"/>
  <c r="K7" i="20" s="1"/>
  <c r="L10" i="20"/>
  <c r="L7" i="20" s="1"/>
  <c r="M10" i="20"/>
  <c r="N10" i="20"/>
  <c r="O10" i="20"/>
  <c r="O7" i="20" s="1"/>
  <c r="O62" i="20" s="1"/>
  <c r="P10" i="20"/>
  <c r="Q10" i="20"/>
  <c r="R10" i="20"/>
  <c r="S10" i="20"/>
  <c r="T10" i="20"/>
  <c r="U10" i="20"/>
  <c r="V10" i="20"/>
  <c r="W10" i="20"/>
  <c r="X10" i="20"/>
  <c r="X7" i="20" s="1"/>
  <c r="Y10" i="20"/>
  <c r="Z10" i="20"/>
  <c r="AA10" i="20"/>
  <c r="AA7" i="20" s="1"/>
  <c r="AB10" i="20"/>
  <c r="AB7" i="20" s="1"/>
  <c r="AC10" i="20"/>
  <c r="AD10" i="20"/>
  <c r="AE10" i="20"/>
  <c r="AF10" i="20"/>
  <c r="AG10" i="20"/>
  <c r="AH10" i="20"/>
  <c r="AI10" i="20"/>
  <c r="AJ10" i="20"/>
  <c r="AJ7" i="20" s="1"/>
  <c r="AK10" i="20"/>
  <c r="AL10" i="20"/>
  <c r="AM10" i="20"/>
  <c r="AN10" i="20"/>
  <c r="AN7" i="20" s="1"/>
  <c r="E73" i="20"/>
  <c r="E70" i="20"/>
  <c r="J19" i="6"/>
  <c r="AG11" i="6"/>
  <c r="AH11" i="6"/>
  <c r="AI11" i="6"/>
  <c r="AJ11" i="6"/>
  <c r="AK11" i="6"/>
  <c r="AL11" i="6"/>
  <c r="AM11" i="6"/>
  <c r="AN11" i="6"/>
  <c r="AO11" i="6"/>
  <c r="AP11" i="6"/>
  <c r="AQ11" i="6"/>
  <c r="AJ12" i="6"/>
  <c r="AM12" i="6"/>
  <c r="AG13" i="6"/>
  <c r="AH13" i="6"/>
  <c r="AI13" i="6"/>
  <c r="AJ13" i="6"/>
  <c r="AK13" i="6"/>
  <c r="AL13" i="6"/>
  <c r="AM13" i="6"/>
  <c r="AN13" i="6"/>
  <c r="AO13" i="6"/>
  <c r="AP13" i="6"/>
  <c r="AQ13" i="6"/>
  <c r="AG14" i="6"/>
  <c r="AH14" i="6"/>
  <c r="AI14" i="6"/>
  <c r="AJ14" i="6"/>
  <c r="AK14" i="6"/>
  <c r="AL14" i="6"/>
  <c r="AM14" i="6"/>
  <c r="AN14" i="6"/>
  <c r="AO14" i="6"/>
  <c r="AP14" i="6"/>
  <c r="AQ14" i="6"/>
  <c r="AG15" i="6"/>
  <c r="AH15" i="6"/>
  <c r="AI15" i="6"/>
  <c r="AJ15" i="6"/>
  <c r="AK15" i="6"/>
  <c r="AL15" i="6"/>
  <c r="AM15" i="6"/>
  <c r="AN15" i="6"/>
  <c r="AO15" i="6"/>
  <c r="AP15" i="6"/>
  <c r="AQ15" i="6"/>
  <c r="AG17" i="6"/>
  <c r="AH17" i="6"/>
  <c r="AI17" i="6"/>
  <c r="AJ17" i="6"/>
  <c r="AK17" i="6"/>
  <c r="AL17" i="6"/>
  <c r="AM17" i="6"/>
  <c r="AN17" i="6"/>
  <c r="AO17" i="6"/>
  <c r="AP17" i="6"/>
  <c r="AQ17" i="6"/>
  <c r="AG20" i="6"/>
  <c r="AH20" i="6"/>
  <c r="AI20" i="6"/>
  <c r="AJ20" i="6"/>
  <c r="AK20" i="6"/>
  <c r="AL20" i="6"/>
  <c r="AM20" i="6"/>
  <c r="AN20" i="6"/>
  <c r="AO20" i="6"/>
  <c r="AP20" i="6"/>
  <c r="AQ20" i="6"/>
  <c r="AG21" i="6"/>
  <c r="AH21" i="6"/>
  <c r="AI21" i="6"/>
  <c r="AJ21" i="6"/>
  <c r="AK21" i="6"/>
  <c r="AL21" i="6"/>
  <c r="AM21" i="6"/>
  <c r="AN21" i="6"/>
  <c r="AO21" i="6"/>
  <c r="AP21" i="6"/>
  <c r="AQ21" i="6"/>
  <c r="AG22" i="6"/>
  <c r="AH22" i="6"/>
  <c r="AI22" i="6"/>
  <c r="AJ22" i="6"/>
  <c r="AK22" i="6"/>
  <c r="AL22" i="6"/>
  <c r="AM22" i="6"/>
  <c r="AN22" i="6"/>
  <c r="AO22" i="6"/>
  <c r="AP22" i="6"/>
  <c r="AQ22" i="6"/>
  <c r="AG23" i="6"/>
  <c r="AH23" i="6"/>
  <c r="AI23" i="6"/>
  <c r="AJ23" i="6"/>
  <c r="AK23" i="6"/>
  <c r="AL23" i="6"/>
  <c r="AM23" i="6"/>
  <c r="AN23" i="6"/>
  <c r="AO23" i="6"/>
  <c r="AP23" i="6"/>
  <c r="AQ23" i="6"/>
  <c r="AG24" i="6"/>
  <c r="AH24" i="6"/>
  <c r="AI24" i="6"/>
  <c r="AJ24" i="6"/>
  <c r="AK24" i="6"/>
  <c r="AL24" i="6"/>
  <c r="AM24" i="6"/>
  <c r="AN24" i="6"/>
  <c r="AO24" i="6"/>
  <c r="AP24" i="6"/>
  <c r="AQ24" i="6"/>
  <c r="AG25" i="6"/>
  <c r="AH25" i="6"/>
  <c r="AI25" i="6"/>
  <c r="AJ25" i="6"/>
  <c r="AK25" i="6"/>
  <c r="AL25" i="6"/>
  <c r="AM25" i="6"/>
  <c r="AN25" i="6"/>
  <c r="AO25" i="6"/>
  <c r="AP25" i="6"/>
  <c r="AQ25" i="6"/>
  <c r="AG26" i="6"/>
  <c r="AH26" i="6"/>
  <c r="AI26" i="6"/>
  <c r="AJ26" i="6"/>
  <c r="AK26" i="6"/>
  <c r="AL26" i="6"/>
  <c r="AM26" i="6"/>
  <c r="AN26" i="6"/>
  <c r="AO26" i="6"/>
  <c r="AP26" i="6"/>
  <c r="AQ26" i="6"/>
  <c r="AG27" i="6"/>
  <c r="AH27" i="6"/>
  <c r="AI27" i="6"/>
  <c r="AJ27" i="6"/>
  <c r="AK27" i="6"/>
  <c r="AL27" i="6"/>
  <c r="AM27" i="6"/>
  <c r="AN27" i="6"/>
  <c r="AO27" i="6"/>
  <c r="AP27" i="6"/>
  <c r="AQ27" i="6"/>
  <c r="AG28" i="6"/>
  <c r="AH28" i="6"/>
  <c r="AI28" i="6"/>
  <c r="AJ28" i="6"/>
  <c r="AK28" i="6"/>
  <c r="AL28" i="6"/>
  <c r="AM28" i="6"/>
  <c r="AN28" i="6"/>
  <c r="AO28" i="6"/>
  <c r="AP28" i="6"/>
  <c r="AQ28" i="6"/>
  <c r="AG29" i="6"/>
  <c r="AH29" i="6"/>
  <c r="AI29" i="6"/>
  <c r="AJ29" i="6"/>
  <c r="AK29" i="6"/>
  <c r="AL29" i="6"/>
  <c r="AM29" i="6"/>
  <c r="AN29" i="6"/>
  <c r="AO29" i="6"/>
  <c r="AP29" i="6"/>
  <c r="AQ29" i="6"/>
  <c r="AG30" i="6"/>
  <c r="AH30" i="6"/>
  <c r="AI30" i="6"/>
  <c r="AJ30" i="6"/>
  <c r="AK30" i="6"/>
  <c r="AL30" i="6"/>
  <c r="AM30" i="6"/>
  <c r="AN30" i="6"/>
  <c r="AO30" i="6"/>
  <c r="AP30" i="6"/>
  <c r="AQ30" i="6"/>
  <c r="U11" i="6"/>
  <c r="V11" i="6"/>
  <c r="W11" i="6"/>
  <c r="X11" i="6"/>
  <c r="Y11" i="6"/>
  <c r="Z11" i="6"/>
  <c r="AA11" i="6"/>
  <c r="AB11" i="6"/>
  <c r="AC11" i="6"/>
  <c r="AD11" i="6"/>
  <c r="AE11" i="6"/>
  <c r="AF11" i="6"/>
  <c r="U12" i="6"/>
  <c r="Y12" i="6"/>
  <c r="AC12" i="6"/>
  <c r="U13" i="6"/>
  <c r="V13" i="6"/>
  <c r="W13" i="6"/>
  <c r="X13" i="6"/>
  <c r="Y13" i="6"/>
  <c r="Z13" i="6"/>
  <c r="AA13" i="6"/>
  <c r="AB13" i="6"/>
  <c r="AC13" i="6"/>
  <c r="AD13" i="6"/>
  <c r="AE13" i="6"/>
  <c r="AF13" i="6"/>
  <c r="U14" i="6"/>
  <c r="V14" i="6"/>
  <c r="W14" i="6"/>
  <c r="X14" i="6"/>
  <c r="Y14" i="6"/>
  <c r="Z14" i="6"/>
  <c r="AA14" i="6"/>
  <c r="AB14" i="6"/>
  <c r="AC14" i="6"/>
  <c r="AD14" i="6"/>
  <c r="AE14" i="6"/>
  <c r="AF14" i="6"/>
  <c r="U15" i="6"/>
  <c r="V15" i="6"/>
  <c r="W15" i="6"/>
  <c r="X15" i="6"/>
  <c r="Y15" i="6"/>
  <c r="Z15" i="6"/>
  <c r="AA15" i="6"/>
  <c r="AB15" i="6"/>
  <c r="AC15" i="6"/>
  <c r="AD15" i="6"/>
  <c r="AE15" i="6"/>
  <c r="AF15" i="6"/>
  <c r="U17" i="6"/>
  <c r="V17" i="6"/>
  <c r="W17" i="6"/>
  <c r="X17" i="6"/>
  <c r="Y17" i="6"/>
  <c r="Z17" i="6"/>
  <c r="AA17" i="6"/>
  <c r="AB17" i="6"/>
  <c r="AC17" i="6"/>
  <c r="AD17" i="6"/>
  <c r="AE17" i="6"/>
  <c r="AF17" i="6"/>
  <c r="U20" i="6"/>
  <c r="V20" i="6"/>
  <c r="W20" i="6"/>
  <c r="X20" i="6"/>
  <c r="Y20" i="6"/>
  <c r="Z20" i="6"/>
  <c r="AA20" i="6"/>
  <c r="AB20" i="6"/>
  <c r="AC20" i="6"/>
  <c r="AD20" i="6"/>
  <c r="AE20" i="6"/>
  <c r="AF20" i="6"/>
  <c r="U21" i="6"/>
  <c r="V21" i="6"/>
  <c r="W21" i="6"/>
  <c r="X21" i="6"/>
  <c r="Y21" i="6"/>
  <c r="Z21" i="6"/>
  <c r="AA21" i="6"/>
  <c r="AB21" i="6"/>
  <c r="AC21" i="6"/>
  <c r="AD21" i="6"/>
  <c r="AE21" i="6"/>
  <c r="AF21" i="6"/>
  <c r="U22" i="6"/>
  <c r="V22" i="6"/>
  <c r="W22" i="6"/>
  <c r="X22" i="6"/>
  <c r="Y22" i="6"/>
  <c r="Z22" i="6"/>
  <c r="AA22" i="6"/>
  <c r="AB22" i="6"/>
  <c r="AC22" i="6"/>
  <c r="AD22" i="6"/>
  <c r="AE22" i="6"/>
  <c r="AF22" i="6"/>
  <c r="U23" i="6"/>
  <c r="V23" i="6"/>
  <c r="W23" i="6"/>
  <c r="X23" i="6"/>
  <c r="Y23" i="6"/>
  <c r="Z23" i="6"/>
  <c r="AA23" i="6"/>
  <c r="AB23" i="6"/>
  <c r="AC23" i="6"/>
  <c r="AD23" i="6"/>
  <c r="AE23" i="6"/>
  <c r="AF23" i="6"/>
  <c r="U24" i="6"/>
  <c r="V24" i="6"/>
  <c r="W24" i="6"/>
  <c r="X24" i="6"/>
  <c r="Y24" i="6"/>
  <c r="Z24" i="6"/>
  <c r="AA24" i="6"/>
  <c r="AB24" i="6"/>
  <c r="AC24" i="6"/>
  <c r="AD24" i="6"/>
  <c r="AE24" i="6"/>
  <c r="AF24" i="6"/>
  <c r="U25" i="6"/>
  <c r="V25" i="6"/>
  <c r="W25" i="6"/>
  <c r="X25" i="6"/>
  <c r="Y25" i="6"/>
  <c r="Z25" i="6"/>
  <c r="AA25" i="6"/>
  <c r="AB25" i="6"/>
  <c r="AC25" i="6"/>
  <c r="AD25" i="6"/>
  <c r="AE25" i="6"/>
  <c r="AF25" i="6"/>
  <c r="U26" i="6"/>
  <c r="V26" i="6"/>
  <c r="W26" i="6"/>
  <c r="X26" i="6"/>
  <c r="Y26" i="6"/>
  <c r="Z26" i="6"/>
  <c r="AA26" i="6"/>
  <c r="AB26" i="6"/>
  <c r="AC26" i="6"/>
  <c r="AD26" i="6"/>
  <c r="AE26" i="6"/>
  <c r="AF26" i="6"/>
  <c r="U27" i="6"/>
  <c r="V27" i="6"/>
  <c r="W27" i="6"/>
  <c r="X27" i="6"/>
  <c r="Y27" i="6"/>
  <c r="Z27" i="6"/>
  <c r="AA27" i="6"/>
  <c r="AB27" i="6"/>
  <c r="AC27" i="6"/>
  <c r="AD27" i="6"/>
  <c r="AE27" i="6"/>
  <c r="AF27" i="6"/>
  <c r="U28" i="6"/>
  <c r="V28" i="6"/>
  <c r="W28" i="6"/>
  <c r="X28" i="6"/>
  <c r="Y28" i="6"/>
  <c r="Z28" i="6"/>
  <c r="AA28" i="6"/>
  <c r="AB28" i="6"/>
  <c r="AC28" i="6"/>
  <c r="AD28" i="6"/>
  <c r="AE28" i="6"/>
  <c r="AF28" i="6"/>
  <c r="U29" i="6"/>
  <c r="V29" i="6"/>
  <c r="W29" i="6"/>
  <c r="X29" i="6"/>
  <c r="Y29" i="6"/>
  <c r="Z29" i="6"/>
  <c r="AA29" i="6"/>
  <c r="AB29" i="6"/>
  <c r="AC29" i="6"/>
  <c r="AD29" i="6"/>
  <c r="AE29" i="6"/>
  <c r="AF29" i="6"/>
  <c r="U30" i="6"/>
  <c r="V30" i="6"/>
  <c r="W30" i="6"/>
  <c r="X30" i="6"/>
  <c r="Y30" i="6"/>
  <c r="Z30" i="6"/>
  <c r="AA30" i="6"/>
  <c r="AB30" i="6"/>
  <c r="AC30" i="6"/>
  <c r="AD30" i="6"/>
  <c r="AE30" i="6"/>
  <c r="AF30" i="6"/>
  <c r="T11" i="6"/>
  <c r="T13" i="6"/>
  <c r="T14" i="6"/>
  <c r="T15" i="6"/>
  <c r="T17" i="6"/>
  <c r="T20" i="6"/>
  <c r="T21" i="6"/>
  <c r="T22" i="6"/>
  <c r="T23" i="6"/>
  <c r="T24" i="6"/>
  <c r="T25" i="6"/>
  <c r="T26" i="6"/>
  <c r="T27" i="6"/>
  <c r="T28" i="6"/>
  <c r="T29" i="6"/>
  <c r="T30" i="6"/>
  <c r="L11" i="6"/>
  <c r="M11" i="6"/>
  <c r="N11" i="6"/>
  <c r="O11" i="6"/>
  <c r="P11" i="6"/>
  <c r="Q11" i="6"/>
  <c r="R11" i="6"/>
  <c r="S11" i="6"/>
  <c r="N12" i="6"/>
  <c r="R12" i="6"/>
  <c r="L13" i="6"/>
  <c r="M13" i="6"/>
  <c r="N13" i="6"/>
  <c r="O13" i="6"/>
  <c r="P13" i="6"/>
  <c r="Q13" i="6"/>
  <c r="R13" i="6"/>
  <c r="S13" i="6"/>
  <c r="L14" i="6"/>
  <c r="M14" i="6"/>
  <c r="N14" i="6"/>
  <c r="O14" i="6"/>
  <c r="P14" i="6"/>
  <c r="Q14" i="6"/>
  <c r="R14" i="6"/>
  <c r="S14" i="6"/>
  <c r="L15" i="6"/>
  <c r="M15" i="6"/>
  <c r="N15" i="6"/>
  <c r="O15" i="6"/>
  <c r="P15" i="6"/>
  <c r="Q15" i="6"/>
  <c r="R15" i="6"/>
  <c r="S15" i="6"/>
  <c r="N16" i="6"/>
  <c r="L17" i="6"/>
  <c r="M17" i="6"/>
  <c r="N17" i="6"/>
  <c r="O17" i="6"/>
  <c r="P17" i="6"/>
  <c r="Q17" i="6"/>
  <c r="R17" i="6"/>
  <c r="S17" i="6"/>
  <c r="L20" i="6"/>
  <c r="M20" i="6"/>
  <c r="N20" i="6"/>
  <c r="O20" i="6"/>
  <c r="P20" i="6"/>
  <c r="Q20" i="6"/>
  <c r="R20" i="6"/>
  <c r="S20" i="6"/>
  <c r="L21" i="6"/>
  <c r="M21" i="6"/>
  <c r="N21" i="6"/>
  <c r="O21" i="6"/>
  <c r="P21" i="6"/>
  <c r="Q21" i="6"/>
  <c r="R21" i="6"/>
  <c r="S21" i="6"/>
  <c r="L22" i="6"/>
  <c r="M22" i="6"/>
  <c r="N22" i="6"/>
  <c r="O22" i="6"/>
  <c r="P22" i="6"/>
  <c r="Q22" i="6"/>
  <c r="R22" i="6"/>
  <c r="S22" i="6"/>
  <c r="L23" i="6"/>
  <c r="M23" i="6"/>
  <c r="N23" i="6"/>
  <c r="O23" i="6"/>
  <c r="P23" i="6"/>
  <c r="Q23" i="6"/>
  <c r="R23" i="6"/>
  <c r="S23" i="6"/>
  <c r="L24" i="6"/>
  <c r="M24" i="6"/>
  <c r="N24" i="6"/>
  <c r="O24" i="6"/>
  <c r="P24" i="6"/>
  <c r="Q24" i="6"/>
  <c r="R24" i="6"/>
  <c r="S24" i="6"/>
  <c r="L25" i="6"/>
  <c r="M25" i="6"/>
  <c r="N25" i="6"/>
  <c r="O25" i="6"/>
  <c r="P25" i="6"/>
  <c r="Q25" i="6"/>
  <c r="R25" i="6"/>
  <c r="S25" i="6"/>
  <c r="L26" i="6"/>
  <c r="M26" i="6"/>
  <c r="N26" i="6"/>
  <c r="O26" i="6"/>
  <c r="P26" i="6"/>
  <c r="Q26" i="6"/>
  <c r="R26" i="6"/>
  <c r="S26" i="6"/>
  <c r="L27" i="6"/>
  <c r="M27" i="6"/>
  <c r="N27" i="6"/>
  <c r="O27" i="6"/>
  <c r="P27" i="6"/>
  <c r="Q27" i="6"/>
  <c r="R27" i="6"/>
  <c r="S27" i="6"/>
  <c r="L28" i="6"/>
  <c r="M28" i="6"/>
  <c r="N28" i="6"/>
  <c r="O28" i="6"/>
  <c r="P28" i="6"/>
  <c r="Q28" i="6"/>
  <c r="R28" i="6"/>
  <c r="S28" i="6"/>
  <c r="L29" i="6"/>
  <c r="M29" i="6"/>
  <c r="N29" i="6"/>
  <c r="O29" i="6"/>
  <c r="P29" i="6"/>
  <c r="Q29" i="6"/>
  <c r="R29" i="6"/>
  <c r="S29" i="6"/>
  <c r="L30" i="6"/>
  <c r="M30" i="6"/>
  <c r="N30" i="6"/>
  <c r="O30" i="6"/>
  <c r="P30" i="6"/>
  <c r="Q30" i="6"/>
  <c r="R30" i="6"/>
  <c r="S30" i="6"/>
  <c r="L31" i="6"/>
  <c r="M31" i="6"/>
  <c r="N31" i="6"/>
  <c r="O31" i="6"/>
  <c r="P31" i="6"/>
  <c r="Q31" i="6"/>
  <c r="R31" i="6"/>
  <c r="S31" i="6"/>
  <c r="K21" i="6"/>
  <c r="K22" i="6"/>
  <c r="K23" i="6"/>
  <c r="K24" i="6"/>
  <c r="K25" i="6"/>
  <c r="K26" i="6"/>
  <c r="K27" i="6"/>
  <c r="K28" i="6"/>
  <c r="K29" i="6"/>
  <c r="K30" i="6"/>
  <c r="K20" i="6"/>
  <c r="K17" i="6"/>
  <c r="K13" i="6"/>
  <c r="K14" i="6"/>
  <c r="K15" i="6"/>
  <c r="K11" i="6"/>
  <c r="O91" i="23"/>
  <c r="N91" i="23"/>
  <c r="M91" i="23"/>
  <c r="L91" i="23"/>
  <c r="X59" i="20" s="1"/>
  <c r="K91" i="23"/>
  <c r="J91" i="23"/>
  <c r="I91" i="23"/>
  <c r="H91" i="23"/>
  <c r="T59" i="20" s="1"/>
  <c r="G91" i="23"/>
  <c r="F91" i="23"/>
  <c r="E91" i="23"/>
  <c r="D91" i="23"/>
  <c r="P59" i="20" s="1"/>
  <c r="C91" i="23"/>
  <c r="O7" i="23"/>
  <c r="O98" i="22"/>
  <c r="N98" i="22"/>
  <c r="AM59" i="20" s="1"/>
  <c r="M98" i="22"/>
  <c r="L98" i="22"/>
  <c r="K98" i="22"/>
  <c r="J98" i="22"/>
  <c r="AI59" i="20" s="1"/>
  <c r="I98" i="22"/>
  <c r="H98" i="22"/>
  <c r="G98" i="22"/>
  <c r="F98" i="22"/>
  <c r="AE59" i="20" s="1"/>
  <c r="E98" i="22"/>
  <c r="D98" i="22"/>
  <c r="C98" i="22"/>
  <c r="C28" i="20"/>
  <c r="C30" i="20"/>
  <c r="C24" i="20"/>
  <c r="AM89" i="20"/>
  <c r="AL89" i="20"/>
  <c r="AK89" i="20"/>
  <c r="AJ89" i="20"/>
  <c r="AI89" i="20"/>
  <c r="AH89" i="20"/>
  <c r="AG89" i="20"/>
  <c r="AF89" i="20"/>
  <c r="AE89" i="20"/>
  <c r="AD89" i="20"/>
  <c r="AC89" i="20"/>
  <c r="AB89" i="20"/>
  <c r="Z89" i="20"/>
  <c r="Y89" i="20"/>
  <c r="X89" i="20"/>
  <c r="W89" i="20"/>
  <c r="V89" i="20"/>
  <c r="U89" i="20"/>
  <c r="T89" i="20"/>
  <c r="S89" i="20"/>
  <c r="R89" i="20"/>
  <c r="Q89" i="20"/>
  <c r="P89" i="20"/>
  <c r="O89" i="20"/>
  <c r="M89" i="20"/>
  <c r="L89" i="20"/>
  <c r="K89" i="20"/>
  <c r="J89" i="20"/>
  <c r="I89" i="20"/>
  <c r="H89" i="20"/>
  <c r="G89" i="20"/>
  <c r="F89" i="20"/>
  <c r="AN61" i="20"/>
  <c r="AM61" i="20"/>
  <c r="AL61" i="20"/>
  <c r="AK61" i="20"/>
  <c r="AJ61" i="20"/>
  <c r="AI61" i="20"/>
  <c r="AH61" i="20"/>
  <c r="AG61" i="20"/>
  <c r="AF61" i="20"/>
  <c r="AE61" i="20"/>
  <c r="AD61" i="20"/>
  <c r="AC61" i="20"/>
  <c r="AB61" i="20"/>
  <c r="AA61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L61" i="20"/>
  <c r="K61" i="20"/>
  <c r="J61" i="20"/>
  <c r="I61" i="20"/>
  <c r="H61" i="20"/>
  <c r="G61" i="20"/>
  <c r="F61" i="20"/>
  <c r="D61" i="20"/>
  <c r="E61" i="20" s="1"/>
  <c r="AN59" i="20"/>
  <c r="AL59" i="20"/>
  <c r="AK59" i="20"/>
  <c r="AJ59" i="20"/>
  <c r="AH59" i="20"/>
  <c r="AG59" i="20"/>
  <c r="AF59" i="20"/>
  <c r="AD59" i="20"/>
  <c r="AC59" i="20"/>
  <c r="AB59" i="20"/>
  <c r="AA59" i="20"/>
  <c r="Z59" i="20"/>
  <c r="Y59" i="20"/>
  <c r="W59" i="20"/>
  <c r="V59" i="20"/>
  <c r="U59" i="20"/>
  <c r="S59" i="20"/>
  <c r="R59" i="20"/>
  <c r="Q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AN55" i="20"/>
  <c r="AA55" i="20"/>
  <c r="N55" i="20"/>
  <c r="M55" i="20"/>
  <c r="L55" i="20"/>
  <c r="L53" i="20" s="1"/>
  <c r="K55" i="20"/>
  <c r="J55" i="20"/>
  <c r="I55" i="20"/>
  <c r="H55" i="20"/>
  <c r="H53" i="20" s="1"/>
  <c r="G55" i="20"/>
  <c r="F55" i="20"/>
  <c r="D55" i="20"/>
  <c r="E55" i="20" s="1"/>
  <c r="AN54" i="20"/>
  <c r="AA54" i="20"/>
  <c r="N54" i="20"/>
  <c r="M54" i="20"/>
  <c r="L54" i="20"/>
  <c r="K54" i="20"/>
  <c r="K53" i="20" s="1"/>
  <c r="J54" i="20"/>
  <c r="I54" i="20"/>
  <c r="H54" i="20"/>
  <c r="G54" i="20"/>
  <c r="G53" i="20" s="1"/>
  <c r="F54" i="20"/>
  <c r="D54" i="20"/>
  <c r="E54" i="20" s="1"/>
  <c r="AN53" i="20"/>
  <c r="AA53" i="20"/>
  <c r="N53" i="20"/>
  <c r="M53" i="20"/>
  <c r="J53" i="20"/>
  <c r="I53" i="20"/>
  <c r="F53" i="20"/>
  <c r="E53" i="20"/>
  <c r="D53" i="20"/>
  <c r="AM51" i="20"/>
  <c r="AI51" i="20"/>
  <c r="AE51" i="20"/>
  <c r="AA51" i="20"/>
  <c r="N51" i="20"/>
  <c r="M51" i="20"/>
  <c r="L51" i="20"/>
  <c r="K51" i="20"/>
  <c r="J51" i="20"/>
  <c r="I51" i="20"/>
  <c r="H51" i="20"/>
  <c r="G51" i="20"/>
  <c r="F51" i="20"/>
  <c r="D51" i="20"/>
  <c r="E51" i="20" s="1"/>
  <c r="B51" i="20"/>
  <c r="A51" i="20"/>
  <c r="AL51" i="20" s="1"/>
  <c r="N50" i="20"/>
  <c r="M50" i="20"/>
  <c r="L50" i="20"/>
  <c r="K50" i="20"/>
  <c r="J50" i="20"/>
  <c r="I50" i="20"/>
  <c r="H50" i="20"/>
  <c r="G50" i="20"/>
  <c r="F50" i="20"/>
  <c r="E50" i="20"/>
  <c r="D50" i="20"/>
  <c r="B50" i="20"/>
  <c r="A50" i="20"/>
  <c r="AN49" i="20"/>
  <c r="AM49" i="20"/>
  <c r="AL49" i="20"/>
  <c r="AK49" i="20"/>
  <c r="AJ49" i="20"/>
  <c r="AI49" i="20"/>
  <c r="AH49" i="20"/>
  <c r="AG49" i="20"/>
  <c r="AF49" i="20"/>
  <c r="AE49" i="20"/>
  <c r="AD49" i="20"/>
  <c r="AC49" i="20"/>
  <c r="AB49" i="20"/>
  <c r="AA49" i="20"/>
  <c r="E49" i="20"/>
  <c r="AN48" i="20"/>
  <c r="AA48" i="20"/>
  <c r="N48" i="20"/>
  <c r="M48" i="20"/>
  <c r="L48" i="20"/>
  <c r="K48" i="20"/>
  <c r="J48" i="20"/>
  <c r="I48" i="20"/>
  <c r="H48" i="20"/>
  <c r="G48" i="20"/>
  <c r="F48" i="20"/>
  <c r="D48" i="20"/>
  <c r="E48" i="20" s="1"/>
  <c r="B48" i="20"/>
  <c r="A48" i="20"/>
  <c r="AA47" i="20"/>
  <c r="N47" i="20"/>
  <c r="M47" i="20"/>
  <c r="L47" i="20"/>
  <c r="K47" i="20"/>
  <c r="J47" i="20"/>
  <c r="I47" i="20"/>
  <c r="H47" i="20"/>
  <c r="G47" i="20"/>
  <c r="F47" i="20"/>
  <c r="D47" i="20"/>
  <c r="E47" i="20" s="1"/>
  <c r="B47" i="20"/>
  <c r="A47" i="20"/>
  <c r="AN46" i="20"/>
  <c r="AM46" i="20"/>
  <c r="AL46" i="20"/>
  <c r="AK46" i="20"/>
  <c r="AJ46" i="20"/>
  <c r="AI46" i="20"/>
  <c r="AH46" i="20"/>
  <c r="AG46" i="20"/>
  <c r="AF46" i="20"/>
  <c r="AE46" i="20"/>
  <c r="AD46" i="20"/>
  <c r="AC46" i="20"/>
  <c r="AB46" i="20"/>
  <c r="AA46" i="20"/>
  <c r="E46" i="20"/>
  <c r="N45" i="20"/>
  <c r="N41" i="20" s="1"/>
  <c r="M45" i="20"/>
  <c r="L45" i="20"/>
  <c r="K45" i="20"/>
  <c r="J45" i="20"/>
  <c r="I45" i="20"/>
  <c r="H45" i="20"/>
  <c r="G45" i="20"/>
  <c r="F45" i="20"/>
  <c r="F41" i="20" s="1"/>
  <c r="D45" i="20"/>
  <c r="E45" i="20" s="1"/>
  <c r="B45" i="20"/>
  <c r="A45" i="20"/>
  <c r="AN44" i="20"/>
  <c r="AA44" i="20"/>
  <c r="N44" i="20"/>
  <c r="M44" i="20"/>
  <c r="L44" i="20"/>
  <c r="K44" i="20"/>
  <c r="J44" i="20"/>
  <c r="I44" i="20"/>
  <c r="H44" i="20"/>
  <c r="G44" i="20"/>
  <c r="F44" i="20"/>
  <c r="D44" i="20"/>
  <c r="E44" i="20" s="1"/>
  <c r="B44" i="20"/>
  <c r="A44" i="20"/>
  <c r="AA43" i="20"/>
  <c r="N43" i="20"/>
  <c r="M43" i="20"/>
  <c r="L43" i="20"/>
  <c r="L41" i="20" s="1"/>
  <c r="K43" i="20"/>
  <c r="J43" i="20"/>
  <c r="I43" i="20"/>
  <c r="H43" i="20"/>
  <c r="H41" i="20" s="1"/>
  <c r="G43" i="20"/>
  <c r="F43" i="20"/>
  <c r="D43" i="20"/>
  <c r="E43" i="20" s="1"/>
  <c r="B43" i="20"/>
  <c r="A43" i="20"/>
  <c r="AN43" i="20" s="1"/>
  <c r="AA42" i="20"/>
  <c r="N42" i="20"/>
  <c r="M42" i="20"/>
  <c r="L42" i="20"/>
  <c r="K42" i="20"/>
  <c r="K41" i="20" s="1"/>
  <c r="J42" i="20"/>
  <c r="I42" i="20"/>
  <c r="H42" i="20"/>
  <c r="G42" i="20"/>
  <c r="G41" i="20" s="1"/>
  <c r="F42" i="20"/>
  <c r="E42" i="20"/>
  <c r="D42" i="20"/>
  <c r="B42" i="20"/>
  <c r="A42" i="20"/>
  <c r="M41" i="20"/>
  <c r="J41" i="20"/>
  <c r="I41" i="20"/>
  <c r="E39" i="20"/>
  <c r="E89" i="20" s="1"/>
  <c r="C39" i="20"/>
  <c r="N38" i="20"/>
  <c r="M38" i="20"/>
  <c r="M87" i="20" s="1"/>
  <c r="L38" i="20"/>
  <c r="L87" i="20" s="1"/>
  <c r="K38" i="20"/>
  <c r="K87" i="20" s="1"/>
  <c r="J38" i="20"/>
  <c r="J87" i="20" s="1"/>
  <c r="I38" i="20"/>
  <c r="I87" i="20" s="1"/>
  <c r="H38" i="20"/>
  <c r="H87" i="20" s="1"/>
  <c r="G38" i="20"/>
  <c r="G87" i="20" s="1"/>
  <c r="F38" i="20"/>
  <c r="F87" i="20" s="1"/>
  <c r="D38" i="20"/>
  <c r="E38" i="20" s="1"/>
  <c r="E87" i="20" s="1"/>
  <c r="C38" i="20"/>
  <c r="B38" i="20"/>
  <c r="A38" i="20"/>
  <c r="AN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A37" i="20"/>
  <c r="N36" i="20"/>
  <c r="M36" i="20"/>
  <c r="L36" i="20"/>
  <c r="K36" i="20"/>
  <c r="K86" i="20" s="1"/>
  <c r="J36" i="20"/>
  <c r="J86" i="20" s="1"/>
  <c r="I36" i="20"/>
  <c r="H36" i="20"/>
  <c r="G36" i="20"/>
  <c r="G86" i="20" s="1"/>
  <c r="F36" i="20"/>
  <c r="F86" i="20" s="1"/>
  <c r="E36" i="20"/>
  <c r="D36" i="20"/>
  <c r="C36" i="20"/>
  <c r="B36" i="20"/>
  <c r="A36" i="20"/>
  <c r="AL35" i="20"/>
  <c r="AK35" i="20"/>
  <c r="AJ35" i="20"/>
  <c r="AG35" i="20"/>
  <c r="AF35" i="20"/>
  <c r="AD35" i="20"/>
  <c r="AB35" i="20"/>
  <c r="Z35" i="20"/>
  <c r="Y35" i="20"/>
  <c r="V35" i="20"/>
  <c r="U35" i="20"/>
  <c r="T35" i="20"/>
  <c r="Q35" i="20"/>
  <c r="P35" i="20"/>
  <c r="N35" i="20"/>
  <c r="M35" i="20"/>
  <c r="L35" i="20"/>
  <c r="K35" i="20"/>
  <c r="J35" i="20"/>
  <c r="I35" i="20"/>
  <c r="H35" i="20"/>
  <c r="G35" i="20"/>
  <c r="F35" i="20"/>
  <c r="D35" i="20"/>
  <c r="E35" i="20" s="1"/>
  <c r="C35" i="20"/>
  <c r="B35" i="20"/>
  <c r="A35" i="20"/>
  <c r="N34" i="20"/>
  <c r="M34" i="20"/>
  <c r="L34" i="20"/>
  <c r="L17" i="20" s="1"/>
  <c r="L60" i="20" s="1"/>
  <c r="K34" i="20"/>
  <c r="J34" i="20"/>
  <c r="I34" i="20"/>
  <c r="H34" i="20"/>
  <c r="H17" i="20" s="1"/>
  <c r="H60" i="20" s="1"/>
  <c r="G34" i="20"/>
  <c r="F34" i="20"/>
  <c r="D34" i="20"/>
  <c r="C34" i="20"/>
  <c r="B34" i="20"/>
  <c r="A34" i="20"/>
  <c r="N33" i="20"/>
  <c r="M33" i="20"/>
  <c r="M17" i="20" s="1"/>
  <c r="M60" i="20" s="1"/>
  <c r="L33" i="20"/>
  <c r="K33" i="20"/>
  <c r="J33" i="20"/>
  <c r="I33" i="20"/>
  <c r="I17" i="20" s="1"/>
  <c r="I60" i="20" s="1"/>
  <c r="H33" i="20"/>
  <c r="G33" i="20"/>
  <c r="F33" i="20"/>
  <c r="E33" i="20"/>
  <c r="D33" i="20"/>
  <c r="C33" i="20"/>
  <c r="B33" i="20"/>
  <c r="A33" i="20"/>
  <c r="AH33" i="20" s="1"/>
  <c r="AK32" i="20"/>
  <c r="AJ32" i="20"/>
  <c r="AF32" i="20"/>
  <c r="AD32" i="20"/>
  <c r="AA32" i="20"/>
  <c r="Z32" i="20"/>
  <c r="W32" i="20"/>
  <c r="V32" i="20"/>
  <c r="S32" i="20"/>
  <c r="R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A32" i="20"/>
  <c r="AL32" i="20" s="1"/>
  <c r="AM31" i="20"/>
  <c r="AL31" i="20"/>
  <c r="AI31" i="20"/>
  <c r="AH31" i="20"/>
  <c r="AE31" i="20"/>
  <c r="AD31" i="20"/>
  <c r="AA31" i="20"/>
  <c r="Z31" i="20"/>
  <c r="W31" i="20"/>
  <c r="V31" i="20"/>
  <c r="S31" i="20"/>
  <c r="R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A31" i="20"/>
  <c r="AK31" i="20" s="1"/>
  <c r="AN30" i="20"/>
  <c r="AA30" i="20"/>
  <c r="E30" i="20"/>
  <c r="AM29" i="20"/>
  <c r="AA29" i="20"/>
  <c r="N29" i="20"/>
  <c r="M29" i="20"/>
  <c r="M84" i="20" s="1"/>
  <c r="L29" i="20"/>
  <c r="L84" i="20" s="1"/>
  <c r="K29" i="20"/>
  <c r="K84" i="20" s="1"/>
  <c r="J29" i="20"/>
  <c r="J84" i="20" s="1"/>
  <c r="I29" i="20"/>
  <c r="I84" i="20" s="1"/>
  <c r="H29" i="20"/>
  <c r="H84" i="20" s="1"/>
  <c r="G29" i="20"/>
  <c r="G84" i="20" s="1"/>
  <c r="F29" i="20"/>
  <c r="F84" i="20" s="1"/>
  <c r="E29" i="20"/>
  <c r="D29" i="20"/>
  <c r="C29" i="20"/>
  <c r="B29" i="20"/>
  <c r="A29" i="20"/>
  <c r="AN28" i="20"/>
  <c r="AM28" i="20"/>
  <c r="AL28" i="20"/>
  <c r="AK28" i="20"/>
  <c r="AJ28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E28" i="20"/>
  <c r="AA27" i="20"/>
  <c r="N27" i="20"/>
  <c r="M27" i="20"/>
  <c r="M82" i="20" s="1"/>
  <c r="L27" i="20"/>
  <c r="L82" i="20" s="1"/>
  <c r="K27" i="20"/>
  <c r="K82" i="20" s="1"/>
  <c r="J27" i="20"/>
  <c r="J82" i="20" s="1"/>
  <c r="I27" i="20"/>
  <c r="I82" i="20" s="1"/>
  <c r="H27" i="20"/>
  <c r="H82" i="20" s="1"/>
  <c r="G27" i="20"/>
  <c r="G82" i="20" s="1"/>
  <c r="F27" i="20"/>
  <c r="F82" i="20" s="1"/>
  <c r="E27" i="20"/>
  <c r="D27" i="20"/>
  <c r="C27" i="20"/>
  <c r="B27" i="20"/>
  <c r="A27" i="20"/>
  <c r="AA26" i="20"/>
  <c r="N26" i="20"/>
  <c r="M26" i="20"/>
  <c r="M83" i="20" s="1"/>
  <c r="L26" i="20"/>
  <c r="L83" i="20" s="1"/>
  <c r="K26" i="20"/>
  <c r="K83" i="20" s="1"/>
  <c r="J26" i="20"/>
  <c r="J83" i="20" s="1"/>
  <c r="I26" i="20"/>
  <c r="I83" i="20" s="1"/>
  <c r="H26" i="20"/>
  <c r="H83" i="20" s="1"/>
  <c r="G26" i="20"/>
  <c r="G83" i="20" s="1"/>
  <c r="F26" i="20"/>
  <c r="F83" i="20" s="1"/>
  <c r="E26" i="20"/>
  <c r="E83" i="20" s="1"/>
  <c r="D26" i="20"/>
  <c r="C26" i="20"/>
  <c r="B26" i="20"/>
  <c r="A26" i="20"/>
  <c r="AM25" i="20"/>
  <c r="AM81" i="20" s="1"/>
  <c r="AA25" i="20"/>
  <c r="N25" i="20"/>
  <c r="M25" i="20"/>
  <c r="M81" i="20" s="1"/>
  <c r="L25" i="20"/>
  <c r="L81" i="20" s="1"/>
  <c r="K25" i="20"/>
  <c r="K81" i="20" s="1"/>
  <c r="J25" i="20"/>
  <c r="J81" i="20" s="1"/>
  <c r="I25" i="20"/>
  <c r="I81" i="20" s="1"/>
  <c r="H25" i="20"/>
  <c r="H81" i="20" s="1"/>
  <c r="G25" i="20"/>
  <c r="G81" i="20" s="1"/>
  <c r="F25" i="20"/>
  <c r="F81" i="20" s="1"/>
  <c r="E25" i="20"/>
  <c r="E81" i="20" s="1"/>
  <c r="D25" i="20"/>
  <c r="C25" i="20"/>
  <c r="B25" i="20"/>
  <c r="A25" i="20"/>
  <c r="AA24" i="20"/>
  <c r="N24" i="20"/>
  <c r="M24" i="20"/>
  <c r="M80" i="20" s="1"/>
  <c r="M79" i="20" s="1"/>
  <c r="L24" i="20"/>
  <c r="L80" i="20" s="1"/>
  <c r="L79" i="20" s="1"/>
  <c r="K24" i="20"/>
  <c r="K80" i="20" s="1"/>
  <c r="J24" i="20"/>
  <c r="J80" i="20" s="1"/>
  <c r="J79" i="20" s="1"/>
  <c r="I24" i="20"/>
  <c r="I80" i="20" s="1"/>
  <c r="I79" i="20" s="1"/>
  <c r="H24" i="20"/>
  <c r="H80" i="20" s="1"/>
  <c r="H79" i="20" s="1"/>
  <c r="G24" i="20"/>
  <c r="G80" i="20" s="1"/>
  <c r="F24" i="20"/>
  <c r="F80" i="20" s="1"/>
  <c r="F79" i="20" s="1"/>
  <c r="E24" i="20"/>
  <c r="E80" i="20" s="1"/>
  <c r="D24" i="20"/>
  <c r="B24" i="20"/>
  <c r="A24" i="20"/>
  <c r="AN23" i="20"/>
  <c r="AM23" i="20"/>
  <c r="AL23" i="20"/>
  <c r="AK23" i="20"/>
  <c r="AJ23" i="20"/>
  <c r="AI23" i="20"/>
  <c r="AH23" i="20"/>
  <c r="AG23" i="20"/>
  <c r="AF23" i="20"/>
  <c r="AE23" i="20"/>
  <c r="AD23" i="20"/>
  <c r="AC23" i="20"/>
  <c r="AB23" i="20"/>
  <c r="AA23" i="20"/>
  <c r="Z23" i="20"/>
  <c r="Y23" i="20"/>
  <c r="W23" i="20"/>
  <c r="V23" i="20"/>
  <c r="U23" i="20"/>
  <c r="S23" i="20"/>
  <c r="R23" i="20"/>
  <c r="Q23" i="20"/>
  <c r="O23" i="20"/>
  <c r="E23" i="20"/>
  <c r="B23" i="20"/>
  <c r="A23" i="20"/>
  <c r="X23" i="20" s="1"/>
  <c r="AN22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W22" i="20"/>
  <c r="T22" i="20"/>
  <c r="O22" i="20"/>
  <c r="E22" i="20"/>
  <c r="B22" i="20"/>
  <c r="A22" i="20"/>
  <c r="AN21" i="20"/>
  <c r="AM21" i="20"/>
  <c r="AL21" i="20"/>
  <c r="AK21" i="20"/>
  <c r="AJ21" i="20"/>
  <c r="AI21" i="20"/>
  <c r="AH21" i="20"/>
  <c r="AG21" i="20"/>
  <c r="AF21" i="20"/>
  <c r="AE21" i="20"/>
  <c r="AD21" i="20"/>
  <c r="AC21" i="20"/>
  <c r="AB21" i="20"/>
  <c r="E21" i="20"/>
  <c r="B21" i="20"/>
  <c r="A21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Z20" i="20"/>
  <c r="Y20" i="20"/>
  <c r="V20" i="20"/>
  <c r="U20" i="20"/>
  <c r="R20" i="20"/>
  <c r="Q20" i="20"/>
  <c r="E20" i="20"/>
  <c r="B20" i="20"/>
  <c r="A20" i="20"/>
  <c r="X20" i="20" s="1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W19" i="20"/>
  <c r="V19" i="20"/>
  <c r="U19" i="20"/>
  <c r="S19" i="20"/>
  <c r="R19" i="20"/>
  <c r="Q19" i="20"/>
  <c r="O19" i="20"/>
  <c r="E19" i="20"/>
  <c r="B19" i="20"/>
  <c r="A19" i="20"/>
  <c r="X19" i="20" s="1"/>
  <c r="AA18" i="20"/>
  <c r="Z18" i="20"/>
  <c r="W18" i="20"/>
  <c r="V18" i="20"/>
  <c r="S18" i="20"/>
  <c r="R18" i="20"/>
  <c r="O18" i="20"/>
  <c r="N18" i="20"/>
  <c r="N17" i="20" s="1"/>
  <c r="N60" i="20" s="1"/>
  <c r="M18" i="20"/>
  <c r="L18" i="20"/>
  <c r="K18" i="20"/>
  <c r="J18" i="20"/>
  <c r="J17" i="20" s="1"/>
  <c r="J60" i="20" s="1"/>
  <c r="I18" i="20"/>
  <c r="H18" i="20"/>
  <c r="G18" i="20"/>
  <c r="G17" i="20" s="1"/>
  <c r="G60" i="20" s="1"/>
  <c r="F18" i="20"/>
  <c r="F17" i="20" s="1"/>
  <c r="F60" i="20" s="1"/>
  <c r="E18" i="20"/>
  <c r="D18" i="20"/>
  <c r="C18" i="20"/>
  <c r="B18" i="20"/>
  <c r="A18" i="20"/>
  <c r="Y18" i="20" s="1"/>
  <c r="K17" i="20"/>
  <c r="K60" i="20" s="1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A16" i="20"/>
  <c r="AN15" i="20"/>
  <c r="AM15" i="20"/>
  <c r="AM76" i="20" s="1"/>
  <c r="AL15" i="20"/>
  <c r="AL76" i="20" s="1"/>
  <c r="AK15" i="20"/>
  <c r="AK76" i="20" s="1"/>
  <c r="AJ15" i="20"/>
  <c r="AI15" i="20"/>
  <c r="AI76" i="20" s="1"/>
  <c r="AH15" i="20"/>
  <c r="AH76" i="20" s="1"/>
  <c r="AG15" i="20"/>
  <c r="AG76" i="20" s="1"/>
  <c r="AF15" i="20"/>
  <c r="AE15" i="20"/>
  <c r="AE76" i="20" s="1"/>
  <c r="AD15" i="20"/>
  <c r="AD76" i="20" s="1"/>
  <c r="AC15" i="20"/>
  <c r="AC76" i="20" s="1"/>
  <c r="AB15" i="20"/>
  <c r="AA15" i="20"/>
  <c r="Z15" i="20"/>
  <c r="Z76" i="20" s="1"/>
  <c r="Y15" i="20"/>
  <c r="Y76" i="20" s="1"/>
  <c r="X15" i="20"/>
  <c r="X76" i="20" s="1"/>
  <c r="W15" i="20"/>
  <c r="W76" i="20" s="1"/>
  <c r="V15" i="20"/>
  <c r="V76" i="20" s="1"/>
  <c r="U15" i="20"/>
  <c r="U76" i="20" s="1"/>
  <c r="T15" i="20"/>
  <c r="T76" i="20" s="1"/>
  <c r="S15" i="20"/>
  <c r="S76" i="20" s="1"/>
  <c r="R15" i="20"/>
  <c r="R76" i="20" s="1"/>
  <c r="Q15" i="20"/>
  <c r="Q76" i="20" s="1"/>
  <c r="P15" i="20"/>
  <c r="P76" i="20" s="1"/>
  <c r="O15" i="20"/>
  <c r="O76" i="20" s="1"/>
  <c r="N15" i="20"/>
  <c r="M15" i="20"/>
  <c r="M76" i="20" s="1"/>
  <c r="L15" i="20"/>
  <c r="L76" i="20" s="1"/>
  <c r="K15" i="20"/>
  <c r="K76" i="20" s="1"/>
  <c r="J15" i="20"/>
  <c r="J76" i="20" s="1"/>
  <c r="I15" i="20"/>
  <c r="I76" i="20" s="1"/>
  <c r="H15" i="20"/>
  <c r="H76" i="20" s="1"/>
  <c r="G15" i="20"/>
  <c r="G76" i="20" s="1"/>
  <c r="F15" i="20"/>
  <c r="F76" i="20" s="1"/>
  <c r="E15" i="20"/>
  <c r="E76" i="20" s="1"/>
  <c r="D15" i="20"/>
  <c r="C15" i="20"/>
  <c r="B15" i="20"/>
  <c r="A15" i="20"/>
  <c r="AN14" i="20"/>
  <c r="AN70" i="20" s="1"/>
  <c r="AM14" i="20"/>
  <c r="AM70" i="20" s="1"/>
  <c r="AL14" i="20"/>
  <c r="AL70" i="20" s="1"/>
  <c r="AK14" i="20"/>
  <c r="AK70" i="20" s="1"/>
  <c r="AJ14" i="20"/>
  <c r="AJ70" i="20" s="1"/>
  <c r="AI14" i="20"/>
  <c r="AI70" i="20" s="1"/>
  <c r="AH14" i="20"/>
  <c r="AH70" i="20" s="1"/>
  <c r="AG14" i="20"/>
  <c r="AG70" i="20" s="1"/>
  <c r="AF14" i="20"/>
  <c r="AF70" i="20" s="1"/>
  <c r="AE14" i="20"/>
  <c r="AE70" i="20" s="1"/>
  <c r="AD14" i="20"/>
  <c r="AD70" i="20" s="1"/>
  <c r="AC14" i="20"/>
  <c r="AC70" i="20" s="1"/>
  <c r="AB14" i="20"/>
  <c r="AB70" i="20" s="1"/>
  <c r="AA14" i="20"/>
  <c r="Z14" i="20"/>
  <c r="Z70" i="20" s="1"/>
  <c r="Y14" i="20"/>
  <c r="Y70" i="20" s="1"/>
  <c r="X14" i="20"/>
  <c r="X70" i="20" s="1"/>
  <c r="W14" i="20"/>
  <c r="W70" i="20" s="1"/>
  <c r="V14" i="20"/>
  <c r="V70" i="20" s="1"/>
  <c r="U14" i="20"/>
  <c r="U70" i="20" s="1"/>
  <c r="T14" i="20"/>
  <c r="T70" i="20" s="1"/>
  <c r="S14" i="20"/>
  <c r="S70" i="20" s="1"/>
  <c r="R14" i="20"/>
  <c r="R70" i="20" s="1"/>
  <c r="Q14" i="20"/>
  <c r="Q70" i="20" s="1"/>
  <c r="P14" i="20"/>
  <c r="P70" i="20" s="1"/>
  <c r="O14" i="20"/>
  <c r="O70" i="20" s="1"/>
  <c r="N14" i="20"/>
  <c r="M14" i="20"/>
  <c r="M70" i="20" s="1"/>
  <c r="L14" i="20"/>
  <c r="L70" i="20" s="1"/>
  <c r="K14" i="20"/>
  <c r="K70" i="20" s="1"/>
  <c r="J14" i="20"/>
  <c r="J70" i="20" s="1"/>
  <c r="I14" i="20"/>
  <c r="I70" i="20" s="1"/>
  <c r="H14" i="20"/>
  <c r="H70" i="20" s="1"/>
  <c r="G14" i="20"/>
  <c r="G70" i="20" s="1"/>
  <c r="F14" i="20"/>
  <c r="F70" i="20" s="1"/>
  <c r="E14" i="20"/>
  <c r="D14" i="20"/>
  <c r="C14" i="20"/>
  <c r="B14" i="20"/>
  <c r="A14" i="20"/>
  <c r="AN13" i="20"/>
  <c r="AN73" i="20" s="1"/>
  <c r="AM13" i="20"/>
  <c r="AM73" i="20" s="1"/>
  <c r="AL13" i="20"/>
  <c r="AL73" i="20" s="1"/>
  <c r="AK13" i="20"/>
  <c r="AK73" i="20" s="1"/>
  <c r="AJ13" i="20"/>
  <c r="AJ73" i="20" s="1"/>
  <c r="AI13" i="20"/>
  <c r="AI73" i="20" s="1"/>
  <c r="AH13" i="20"/>
  <c r="AH73" i="20" s="1"/>
  <c r="AG13" i="20"/>
  <c r="AG73" i="20" s="1"/>
  <c r="AF13" i="20"/>
  <c r="AF73" i="20" s="1"/>
  <c r="AE13" i="20"/>
  <c r="AE73" i="20" s="1"/>
  <c r="AD13" i="20"/>
  <c r="AD73" i="20" s="1"/>
  <c r="AC13" i="20"/>
  <c r="AC73" i="20" s="1"/>
  <c r="AB13" i="20"/>
  <c r="AB73" i="20" s="1"/>
  <c r="AA13" i="20"/>
  <c r="Z13" i="20"/>
  <c r="Z73" i="20" s="1"/>
  <c r="Y13" i="20"/>
  <c r="Y73" i="20" s="1"/>
  <c r="X13" i="20"/>
  <c r="X73" i="20" s="1"/>
  <c r="W13" i="20"/>
  <c r="W73" i="20" s="1"/>
  <c r="V13" i="20"/>
  <c r="V73" i="20" s="1"/>
  <c r="U13" i="20"/>
  <c r="U73" i="20" s="1"/>
  <c r="T13" i="20"/>
  <c r="T73" i="20" s="1"/>
  <c r="S13" i="20"/>
  <c r="S73" i="20" s="1"/>
  <c r="R13" i="20"/>
  <c r="R73" i="20" s="1"/>
  <c r="Q13" i="20"/>
  <c r="Q73" i="20" s="1"/>
  <c r="P13" i="20"/>
  <c r="P73" i="20" s="1"/>
  <c r="O13" i="20"/>
  <c r="O73" i="20" s="1"/>
  <c r="N13" i="20"/>
  <c r="M13" i="20"/>
  <c r="M73" i="20" s="1"/>
  <c r="L13" i="20"/>
  <c r="L73" i="20" s="1"/>
  <c r="K13" i="20"/>
  <c r="K73" i="20" s="1"/>
  <c r="J13" i="20"/>
  <c r="J73" i="20" s="1"/>
  <c r="I13" i="20"/>
  <c r="I73" i="20" s="1"/>
  <c r="H13" i="20"/>
  <c r="H73" i="20" s="1"/>
  <c r="G13" i="20"/>
  <c r="G73" i="20" s="1"/>
  <c r="F13" i="20"/>
  <c r="F73" i="20" s="1"/>
  <c r="E13" i="20"/>
  <c r="D13" i="20"/>
  <c r="C13" i="20"/>
  <c r="B13" i="20"/>
  <c r="A13" i="20"/>
  <c r="C12" i="20"/>
  <c r="AN11" i="20"/>
  <c r="AN72" i="20" s="1"/>
  <c r="AM11" i="20"/>
  <c r="AM72" i="20" s="1"/>
  <c r="AL11" i="20"/>
  <c r="AL72" i="20" s="1"/>
  <c r="AK11" i="20"/>
  <c r="AK72" i="20" s="1"/>
  <c r="AJ11" i="20"/>
  <c r="AJ72" i="20" s="1"/>
  <c r="AI11" i="20"/>
  <c r="AI72" i="20" s="1"/>
  <c r="AH11" i="20"/>
  <c r="AH72" i="20" s="1"/>
  <c r="AG11" i="20"/>
  <c r="AG72" i="20" s="1"/>
  <c r="AF11" i="20"/>
  <c r="AF72" i="20" s="1"/>
  <c r="AE11" i="20"/>
  <c r="AE72" i="20" s="1"/>
  <c r="AD11" i="20"/>
  <c r="AD72" i="20" s="1"/>
  <c r="AC11" i="20"/>
  <c r="AC72" i="20" s="1"/>
  <c r="AB11" i="20"/>
  <c r="AB72" i="20" s="1"/>
  <c r="AA11" i="20"/>
  <c r="Z11" i="20"/>
  <c r="Z72" i="20" s="1"/>
  <c r="Y11" i="20"/>
  <c r="Y72" i="20" s="1"/>
  <c r="X11" i="20"/>
  <c r="X72" i="20" s="1"/>
  <c r="W11" i="20"/>
  <c r="W72" i="20" s="1"/>
  <c r="V11" i="20"/>
  <c r="V72" i="20" s="1"/>
  <c r="U11" i="20"/>
  <c r="U72" i="20" s="1"/>
  <c r="T11" i="20"/>
  <c r="T72" i="20" s="1"/>
  <c r="S11" i="20"/>
  <c r="S72" i="20" s="1"/>
  <c r="R11" i="20"/>
  <c r="R72" i="20" s="1"/>
  <c r="Q11" i="20"/>
  <c r="Q72" i="20" s="1"/>
  <c r="P11" i="20"/>
  <c r="P72" i="20" s="1"/>
  <c r="O11" i="20"/>
  <c r="O72" i="20" s="1"/>
  <c r="N11" i="20"/>
  <c r="M11" i="20"/>
  <c r="M72" i="20" s="1"/>
  <c r="L11" i="20"/>
  <c r="L72" i="20" s="1"/>
  <c r="K11" i="20"/>
  <c r="K72" i="20" s="1"/>
  <c r="J11" i="20"/>
  <c r="J72" i="20" s="1"/>
  <c r="I11" i="20"/>
  <c r="I72" i="20" s="1"/>
  <c r="H11" i="20"/>
  <c r="H72" i="20" s="1"/>
  <c r="G11" i="20"/>
  <c r="G72" i="20" s="1"/>
  <c r="F11" i="20"/>
  <c r="F72" i="20" s="1"/>
  <c r="D11" i="20"/>
  <c r="E11" i="20" s="1"/>
  <c r="E72" i="20" s="1"/>
  <c r="C11" i="20"/>
  <c r="B11" i="20"/>
  <c r="A11" i="20"/>
  <c r="AM7" i="20"/>
  <c r="AI7" i="20"/>
  <c r="W7" i="20"/>
  <c r="S7" i="20"/>
  <c r="D10" i="20"/>
  <c r="C10" i="20"/>
  <c r="B10" i="20"/>
  <c r="A10" i="20"/>
  <c r="D9" i="20"/>
  <c r="B9" i="20"/>
  <c r="AN8" i="20"/>
  <c r="AM8" i="20"/>
  <c r="AL8" i="20"/>
  <c r="AL71" i="20" s="1"/>
  <c r="AP12" i="6" s="1"/>
  <c r="AK8" i="20"/>
  <c r="AK71" i="20" s="1"/>
  <c r="AO12" i="6" s="1"/>
  <c r="AJ8" i="20"/>
  <c r="AI8" i="20"/>
  <c r="AI71" i="20" s="1"/>
  <c r="AH8" i="20"/>
  <c r="AH71" i="20" s="1"/>
  <c r="AL12" i="6" s="1"/>
  <c r="AG8" i="20"/>
  <c r="AG71" i="20" s="1"/>
  <c r="AK12" i="6" s="1"/>
  <c r="AF8" i="20"/>
  <c r="AF71" i="20" s="1"/>
  <c r="AE8" i="20"/>
  <c r="AD8" i="20"/>
  <c r="AD71" i="20" s="1"/>
  <c r="AH12" i="6" s="1"/>
  <c r="AC8" i="20"/>
  <c r="AC71" i="20" s="1"/>
  <c r="AG12" i="6" s="1"/>
  <c r="AB8" i="20"/>
  <c r="AB71" i="20" s="1"/>
  <c r="AF12" i="6" s="1"/>
  <c r="AF16" i="6" s="1"/>
  <c r="AF18" i="6" s="1"/>
  <c r="AA8" i="20"/>
  <c r="Z8" i="20"/>
  <c r="Z71" i="20" s="1"/>
  <c r="AE12" i="6" s="1"/>
  <c r="Y8" i="20"/>
  <c r="Y71" i="20" s="1"/>
  <c r="AD12" i="6" s="1"/>
  <c r="X8" i="20"/>
  <c r="X71" i="20" s="1"/>
  <c r="W8" i="20"/>
  <c r="V8" i="20"/>
  <c r="V71" i="20" s="1"/>
  <c r="AA12" i="6" s="1"/>
  <c r="U8" i="20"/>
  <c r="U71" i="20" s="1"/>
  <c r="Z12" i="6" s="1"/>
  <c r="T8" i="20"/>
  <c r="T71" i="20" s="1"/>
  <c r="S8" i="20"/>
  <c r="R8" i="20"/>
  <c r="R71" i="20" s="1"/>
  <c r="W12" i="6" s="1"/>
  <c r="Q8" i="20"/>
  <c r="Q71" i="20" s="1"/>
  <c r="V12" i="6" s="1"/>
  <c r="P8" i="20"/>
  <c r="P71" i="20" s="1"/>
  <c r="O8" i="20"/>
  <c r="N8" i="20"/>
  <c r="M8" i="20"/>
  <c r="M71" i="20" s="1"/>
  <c r="S12" i="6" s="1"/>
  <c r="L8" i="20"/>
  <c r="L71" i="20" s="1"/>
  <c r="K8" i="20"/>
  <c r="J8" i="20"/>
  <c r="J71" i="20" s="1"/>
  <c r="P12" i="6" s="1"/>
  <c r="I8" i="20"/>
  <c r="I71" i="20" s="1"/>
  <c r="O12" i="6" s="1"/>
  <c r="H8" i="20"/>
  <c r="H71" i="20" s="1"/>
  <c r="G8" i="20"/>
  <c r="F8" i="20"/>
  <c r="F71" i="20" s="1"/>
  <c r="L12" i="6" s="1"/>
  <c r="D8" i="20"/>
  <c r="E8" i="20" s="1"/>
  <c r="E71" i="20" s="1"/>
  <c r="K12" i="6" s="1"/>
  <c r="B8" i="20"/>
  <c r="AL7" i="20"/>
  <c r="AH7" i="20"/>
  <c r="AE7" i="20"/>
  <c r="AE62" i="20" s="1"/>
  <c r="AD7" i="20"/>
  <c r="Z7" i="20"/>
  <c r="Z62" i="20" s="1"/>
  <c r="V7" i="20"/>
  <c r="T7" i="20"/>
  <c r="R7" i="20"/>
  <c r="N7" i="20"/>
  <c r="J7" i="20"/>
  <c r="J62" i="20" s="1"/>
  <c r="F7" i="20"/>
  <c r="D7" i="20"/>
  <c r="AL5" i="20"/>
  <c r="AK5" i="20"/>
  <c r="AJ5" i="20" s="1"/>
  <c r="AI5" i="20"/>
  <c r="AH5" i="20"/>
  <c r="AG5" i="20" s="1"/>
  <c r="AF5" i="20" s="1"/>
  <c r="AE5" i="20" s="1"/>
  <c r="AD5" i="20" s="1"/>
  <c r="AC5" i="20" s="1"/>
  <c r="AB5" i="20" s="1"/>
  <c r="L5" i="20"/>
  <c r="K5" i="20"/>
  <c r="J5" i="20"/>
  <c r="I5" i="20" s="1"/>
  <c r="H5" i="20" s="1"/>
  <c r="G5" i="20" s="1"/>
  <c r="F5" i="20" s="1"/>
  <c r="AN4" i="20"/>
  <c r="AN2" i="20" s="1"/>
  <c r="AA4" i="20"/>
  <c r="AN3" i="20" s="1"/>
  <c r="AA3" i="20"/>
  <c r="AA2" i="20" s="1"/>
  <c r="N2" i="20"/>
  <c r="AM1" i="20"/>
  <c r="AM30" i="20" s="1"/>
  <c r="AL1" i="20"/>
  <c r="Z1" i="20"/>
  <c r="AI10" i="6" l="1"/>
  <c r="AE31" i="6"/>
  <c r="T31" i="6"/>
  <c r="Y16" i="6"/>
  <c r="Y18" i="6" s="1"/>
  <c r="N18" i="6"/>
  <c r="N32" i="6" s="1"/>
  <c r="R16" i="6"/>
  <c r="R18" i="6" s="1"/>
  <c r="W10" i="6"/>
  <c r="U16" i="6"/>
  <c r="U18" i="6" s="1"/>
  <c r="AQ31" i="6"/>
  <c r="AM31" i="6"/>
  <c r="AI31" i="6"/>
  <c r="AA31" i="6"/>
  <c r="W31" i="6"/>
  <c r="L16" i="6"/>
  <c r="L18" i="6" s="1"/>
  <c r="L32" i="6" s="1"/>
  <c r="P16" i="6"/>
  <c r="P18" i="6" s="1"/>
  <c r="P32" i="6" s="1"/>
  <c r="K31" i="6"/>
  <c r="AB31" i="6"/>
  <c r="O16" i="6"/>
  <c r="O18" i="6" s="1"/>
  <c r="O32" i="6" s="1"/>
  <c r="S16" i="6"/>
  <c r="S18" i="6" s="1"/>
  <c r="S32" i="6" s="1"/>
  <c r="AG16" i="6"/>
  <c r="AG18" i="6" s="1"/>
  <c r="AK16" i="6"/>
  <c r="AK18" i="6" s="1"/>
  <c r="AO16" i="6"/>
  <c r="AO18" i="6" s="1"/>
  <c r="AP31" i="6"/>
  <c r="AL31" i="6"/>
  <c r="AH31" i="6"/>
  <c r="AO31" i="6"/>
  <c r="AK31" i="6"/>
  <c r="AG31" i="6"/>
  <c r="AN31" i="6"/>
  <c r="AJ31" i="6"/>
  <c r="AF31" i="6"/>
  <c r="AF32" i="6" s="1"/>
  <c r="AD31" i="6"/>
  <c r="Z31" i="6"/>
  <c r="V31" i="6"/>
  <c r="AC16" i="6"/>
  <c r="AC18" i="6" s="1"/>
  <c r="X31" i="6"/>
  <c r="AC31" i="6"/>
  <c r="Y31" i="6"/>
  <c r="U31" i="6"/>
  <c r="AM16" i="6"/>
  <c r="AM18" i="6" s="1"/>
  <c r="M41" i="19"/>
  <c r="V16" i="6"/>
  <c r="V18" i="6" s="1"/>
  <c r="AD16" i="6"/>
  <c r="AD18" i="6" s="1"/>
  <c r="Z16" i="6"/>
  <c r="Z18" i="6" s="1"/>
  <c r="AE16" i="6"/>
  <c r="AE18" i="6" s="1"/>
  <c r="AA16" i="6"/>
  <c r="AA18" i="6" s="1"/>
  <c r="W16" i="6"/>
  <c r="W18" i="6" s="1"/>
  <c r="AP16" i="6"/>
  <c r="AP18" i="6" s="1"/>
  <c r="AL16" i="6"/>
  <c r="AL18" i="6" s="1"/>
  <c r="AH16" i="6"/>
  <c r="AH18" i="6" s="1"/>
  <c r="AJ16" i="6"/>
  <c r="AJ18" i="6" s="1"/>
  <c r="K16" i="6"/>
  <c r="R32" i="6"/>
  <c r="E5" i="20"/>
  <c r="D4" i="20"/>
  <c r="K62" i="20"/>
  <c r="K40" i="20"/>
  <c r="K52" i="20" s="1"/>
  <c r="W62" i="20"/>
  <c r="AM62" i="20"/>
  <c r="G62" i="20"/>
  <c r="G40" i="20"/>
  <c r="G52" i="20" s="1"/>
  <c r="S62" i="20"/>
  <c r="AA62" i="20"/>
  <c r="AI62" i="20"/>
  <c r="H40" i="20"/>
  <c r="H52" i="20" s="1"/>
  <c r="H62" i="20"/>
  <c r="L40" i="20"/>
  <c r="L52" i="20" s="1"/>
  <c r="L62" i="20"/>
  <c r="X62" i="20"/>
  <c r="AB62" i="20"/>
  <c r="AN62" i="20"/>
  <c r="Z55" i="20"/>
  <c r="Z54" i="20"/>
  <c r="Z53" i="20" s="1"/>
  <c r="Z49" i="20"/>
  <c r="Z36" i="20"/>
  <c r="Z46" i="20"/>
  <c r="AL55" i="20"/>
  <c r="AL54" i="20"/>
  <c r="AL53" i="20" s="1"/>
  <c r="AL42" i="20"/>
  <c r="T62" i="20"/>
  <c r="G75" i="20"/>
  <c r="G77" i="20" s="1"/>
  <c r="AM84" i="20"/>
  <c r="AL36" i="20"/>
  <c r="G79" i="20"/>
  <c r="G90" i="20" s="1"/>
  <c r="G67" i="20" s="1"/>
  <c r="K79" i="20"/>
  <c r="AL27" i="20"/>
  <c r="AL82" i="20" s="1"/>
  <c r="Z29" i="20"/>
  <c r="AL30" i="20"/>
  <c r="F85" i="20"/>
  <c r="F90" i="20" s="1"/>
  <c r="F67" i="20" s="1"/>
  <c r="J85" i="20"/>
  <c r="AM42" i="20"/>
  <c r="AL47" i="20"/>
  <c r="Z50" i="20"/>
  <c r="D62" i="20"/>
  <c r="AJ62" i="20"/>
  <c r="AI75" i="20"/>
  <c r="AI77" i="20" s="1"/>
  <c r="AA21" i="20"/>
  <c r="W21" i="20"/>
  <c r="S21" i="20"/>
  <c r="O21" i="20"/>
  <c r="Z21" i="20"/>
  <c r="Z17" i="20" s="1"/>
  <c r="V21" i="20"/>
  <c r="R21" i="20"/>
  <c r="Q21" i="20"/>
  <c r="Y21" i="20"/>
  <c r="J90" i="20"/>
  <c r="AM33" i="20"/>
  <c r="AI33" i="20"/>
  <c r="AE33" i="20"/>
  <c r="AA33" i="20"/>
  <c r="W33" i="20"/>
  <c r="S33" i="20"/>
  <c r="O33" i="20"/>
  <c r="AL33" i="20"/>
  <c r="AL85" i="20" s="1"/>
  <c r="AG33" i="20"/>
  <c r="AB33" i="20"/>
  <c r="V33" i="20"/>
  <c r="Q33" i="20"/>
  <c r="AK33" i="20"/>
  <c r="AK85" i="20" s="1"/>
  <c r="AF33" i="20"/>
  <c r="Z33" i="20"/>
  <c r="U33" i="20"/>
  <c r="P33" i="20"/>
  <c r="AJ33" i="20"/>
  <c r="AD33" i="20"/>
  <c r="Y33" i="20"/>
  <c r="T33" i="20"/>
  <c r="AC33" i="20"/>
  <c r="AL34" i="20"/>
  <c r="AL43" i="20"/>
  <c r="AM45" i="20"/>
  <c r="AA45" i="20"/>
  <c r="AN45" i="20"/>
  <c r="AL45" i="20"/>
  <c r="AK45" i="20"/>
  <c r="Z45" i="20"/>
  <c r="V62" i="20"/>
  <c r="AL62" i="20"/>
  <c r="AK26" i="20"/>
  <c r="AK83" i="20" s="1"/>
  <c r="U21" i="20"/>
  <c r="Z22" i="20"/>
  <c r="V22" i="20"/>
  <c r="R22" i="20"/>
  <c r="Y22" i="20"/>
  <c r="U22" i="20"/>
  <c r="Q22" i="20"/>
  <c r="P22" i="20"/>
  <c r="X22" i="20"/>
  <c r="Z24" i="20"/>
  <c r="Z80" i="20" s="1"/>
  <c r="AL26" i="20"/>
  <c r="AL83" i="20" s="1"/>
  <c r="AM27" i="20"/>
  <c r="AM82" i="20" s="1"/>
  <c r="G85" i="20"/>
  <c r="K85" i="20"/>
  <c r="AM85" i="20"/>
  <c r="R33" i="20"/>
  <c r="AN33" i="20"/>
  <c r="D17" i="20"/>
  <c r="E34" i="20"/>
  <c r="E85" i="20" s="1"/>
  <c r="AM37" i="20"/>
  <c r="AA37" i="20"/>
  <c r="AL37" i="20"/>
  <c r="Z37" i="20"/>
  <c r="AL38" i="20"/>
  <c r="AL87" i="20" s="1"/>
  <c r="J40" i="20"/>
  <c r="J52" i="20" s="1"/>
  <c r="AL24" i="20"/>
  <c r="AL80" i="20" s="1"/>
  <c r="Z26" i="20"/>
  <c r="Z83" i="20" s="1"/>
  <c r="Z42" i="20"/>
  <c r="AM55" i="20"/>
  <c r="AM54" i="20"/>
  <c r="AM53" i="20" s="1"/>
  <c r="AM48" i="20"/>
  <c r="AM47" i="20"/>
  <c r="AM44" i="20"/>
  <c r="AM43" i="20"/>
  <c r="F62" i="20"/>
  <c r="F40" i="20"/>
  <c r="F52" i="20" s="1"/>
  <c r="P7" i="20"/>
  <c r="AF7" i="20"/>
  <c r="T21" i="20"/>
  <c r="AM24" i="20"/>
  <c r="AM80" i="20" s="1"/>
  <c r="Z25" i="20"/>
  <c r="Z81" i="20" s="1"/>
  <c r="R62" i="20"/>
  <c r="AH62" i="20"/>
  <c r="E7" i="20"/>
  <c r="Y1" i="20"/>
  <c r="AK1" i="20"/>
  <c r="AK27" i="20" s="1"/>
  <c r="AK82" i="20" s="1"/>
  <c r="Z5" i="20"/>
  <c r="Y5" i="20" s="1"/>
  <c r="X5" i="20" s="1"/>
  <c r="W5" i="20" s="1"/>
  <c r="V5" i="20" s="1"/>
  <c r="U5" i="20" s="1"/>
  <c r="T5" i="20" s="1"/>
  <c r="S5" i="20" s="1"/>
  <c r="R5" i="20" s="1"/>
  <c r="Q5" i="20" s="1"/>
  <c r="P5" i="20" s="1"/>
  <c r="O5" i="20" s="1"/>
  <c r="N62" i="20"/>
  <c r="N40" i="20"/>
  <c r="N52" i="20" s="1"/>
  <c r="AD62" i="20"/>
  <c r="F75" i="20"/>
  <c r="F77" i="20" s="1"/>
  <c r="J75" i="20"/>
  <c r="J77" i="20" s="1"/>
  <c r="J91" i="20" s="1"/>
  <c r="J92" i="20" s="1"/>
  <c r="R75" i="20"/>
  <c r="R77" i="20" s="1"/>
  <c r="R68" i="20" s="1"/>
  <c r="V75" i="20"/>
  <c r="V77" i="20" s="1"/>
  <c r="Z75" i="20"/>
  <c r="Z77" i="20" s="1"/>
  <c r="AD75" i="20"/>
  <c r="AD77" i="20" s="1"/>
  <c r="AH75" i="20"/>
  <c r="AH77" i="20" s="1"/>
  <c r="AH68" i="20" s="1"/>
  <c r="AL75" i="20"/>
  <c r="AL77" i="20" s="1"/>
  <c r="P21" i="20"/>
  <c r="X21" i="20"/>
  <c r="S22" i="20"/>
  <c r="AA22" i="20"/>
  <c r="AK24" i="20"/>
  <c r="AK80" i="20" s="1"/>
  <c r="AL25" i="20"/>
  <c r="AL81" i="20" s="1"/>
  <c r="AM26" i="20"/>
  <c r="AM83" i="20" s="1"/>
  <c r="Z27" i="20"/>
  <c r="Z82" i="20" s="1"/>
  <c r="AL29" i="20"/>
  <c r="AL84" i="20" s="1"/>
  <c r="Z30" i="20"/>
  <c r="X33" i="20"/>
  <c r="AK50" i="20"/>
  <c r="AN50" i="20"/>
  <c r="AM50" i="20"/>
  <c r="AA50" i="20"/>
  <c r="AA41" i="20" s="1"/>
  <c r="AM34" i="20"/>
  <c r="AA34" i="20"/>
  <c r="AN34" i="20"/>
  <c r="AM38" i="20"/>
  <c r="AM87" i="20" s="1"/>
  <c r="AA38" i="20"/>
  <c r="AN38" i="20"/>
  <c r="I7" i="20"/>
  <c r="M7" i="20"/>
  <c r="Q7" i="20"/>
  <c r="U7" i="20"/>
  <c r="Y7" i="20"/>
  <c r="AC7" i="20"/>
  <c r="AG7" i="20"/>
  <c r="AK7" i="20"/>
  <c r="G71" i="20"/>
  <c r="M12" i="6" s="1"/>
  <c r="M16" i="6" s="1"/>
  <c r="M18" i="6" s="1"/>
  <c r="M32" i="6" s="1"/>
  <c r="K71" i="20"/>
  <c r="O71" i="20"/>
  <c r="S71" i="20"/>
  <c r="W71" i="20"/>
  <c r="AE71" i="20"/>
  <c r="AM71" i="20"/>
  <c r="AQ12" i="6" s="1"/>
  <c r="AQ16" i="6" s="1"/>
  <c r="AQ18" i="6" s="1"/>
  <c r="H75" i="20"/>
  <c r="H77" i="20" s="1"/>
  <c r="H68" i="20" s="1"/>
  <c r="L75" i="20"/>
  <c r="L77" i="20" s="1"/>
  <c r="L68" i="20" s="1"/>
  <c r="P75" i="20"/>
  <c r="P77" i="20" s="1"/>
  <c r="P68" i="20" s="1"/>
  <c r="T75" i="20"/>
  <c r="T77" i="20" s="1"/>
  <c r="X75" i="20"/>
  <c r="X77" i="20" s="1"/>
  <c r="AB75" i="20"/>
  <c r="AF75" i="20"/>
  <c r="AF77" i="20" s="1"/>
  <c r="AF68" i="20" s="1"/>
  <c r="AB76" i="20"/>
  <c r="AF76" i="20"/>
  <c r="AJ76" i="20"/>
  <c r="AN76" i="20"/>
  <c r="P18" i="20"/>
  <c r="T18" i="20"/>
  <c r="X18" i="20"/>
  <c r="P19" i="20"/>
  <c r="T19" i="20"/>
  <c r="O20" i="20"/>
  <c r="S20" i="20"/>
  <c r="W20" i="20"/>
  <c r="AA20" i="20"/>
  <c r="AA17" i="20" s="1"/>
  <c r="AA60" i="20" s="1"/>
  <c r="P23" i="20"/>
  <c r="T23" i="20"/>
  <c r="L90" i="20"/>
  <c r="L67" i="20" s="1"/>
  <c r="AN24" i="20"/>
  <c r="AN17" i="20" s="1"/>
  <c r="AN25" i="20"/>
  <c r="AN26" i="20"/>
  <c r="AN27" i="20"/>
  <c r="AN29" i="20"/>
  <c r="H85" i="20"/>
  <c r="H90" i="20" s="1"/>
  <c r="H67" i="20" s="1"/>
  <c r="L85" i="20"/>
  <c r="P31" i="20"/>
  <c r="T31" i="20"/>
  <c r="X31" i="20"/>
  <c r="AB31" i="20"/>
  <c r="AF31" i="20"/>
  <c r="AJ31" i="20"/>
  <c r="AN31" i="20"/>
  <c r="P32" i="20"/>
  <c r="T32" i="20"/>
  <c r="X32" i="20"/>
  <c r="AB32" i="20"/>
  <c r="AG32" i="20"/>
  <c r="AM35" i="20"/>
  <c r="AI35" i="20"/>
  <c r="AE35" i="20"/>
  <c r="AA35" i="20"/>
  <c r="W35" i="20"/>
  <c r="S35" i="20"/>
  <c r="O35" i="20"/>
  <c r="R35" i="20"/>
  <c r="X35" i="20"/>
  <c r="AC35" i="20"/>
  <c r="AH35" i="20"/>
  <c r="AN35" i="20"/>
  <c r="H86" i="20"/>
  <c r="L86" i="20"/>
  <c r="AJ71" i="20"/>
  <c r="AN71" i="20"/>
  <c r="AN75" i="20" s="1"/>
  <c r="AN77" i="20" s="1"/>
  <c r="E75" i="20"/>
  <c r="E77" i="20" s="1"/>
  <c r="I75" i="20"/>
  <c r="I77" i="20" s="1"/>
  <c r="M75" i="20"/>
  <c r="M77" i="20" s="1"/>
  <c r="Q75" i="20"/>
  <c r="Q77" i="20" s="1"/>
  <c r="U75" i="20"/>
  <c r="U77" i="20" s="1"/>
  <c r="Y75" i="20"/>
  <c r="Y77" i="20" s="1"/>
  <c r="AC75" i="20"/>
  <c r="AC77" i="20" s="1"/>
  <c r="AG75" i="20"/>
  <c r="AG77" i="20" s="1"/>
  <c r="AK75" i="20"/>
  <c r="AK77" i="20" s="1"/>
  <c r="Q18" i="20"/>
  <c r="U18" i="20"/>
  <c r="P20" i="20"/>
  <c r="T20" i="20"/>
  <c r="I90" i="20"/>
  <c r="I67" i="20" s="1"/>
  <c r="Y24" i="20"/>
  <c r="Y80" i="20" s="1"/>
  <c r="E82" i="20"/>
  <c r="E79" i="20" s="1"/>
  <c r="E90" i="20" s="1"/>
  <c r="E67" i="20" s="1"/>
  <c r="Y27" i="20"/>
  <c r="Y82" i="20" s="1"/>
  <c r="E84" i="20"/>
  <c r="I85" i="20"/>
  <c r="M85" i="20"/>
  <c r="Q31" i="20"/>
  <c r="U31" i="20"/>
  <c r="Y31" i="20"/>
  <c r="AC31" i="20"/>
  <c r="AG31" i="20"/>
  <c r="AM32" i="20"/>
  <c r="AI32" i="20"/>
  <c r="AE32" i="20"/>
  <c r="Q32" i="20"/>
  <c r="U32" i="20"/>
  <c r="Y32" i="20"/>
  <c r="AC32" i="20"/>
  <c r="AH32" i="20"/>
  <c r="AN32" i="20"/>
  <c r="Z34" i="20"/>
  <c r="Z85" i="20" s="1"/>
  <c r="AK34" i="20"/>
  <c r="AM36" i="20"/>
  <c r="AM86" i="20" s="1"/>
  <c r="AA36" i="20"/>
  <c r="E86" i="20"/>
  <c r="I86" i="20"/>
  <c r="M86" i="20"/>
  <c r="M90" i="20" s="1"/>
  <c r="M67" i="20" s="1"/>
  <c r="AN36" i="20"/>
  <c r="Z38" i="20"/>
  <c r="Z87" i="20" s="1"/>
  <c r="AK38" i="20"/>
  <c r="AK87" i="20" s="1"/>
  <c r="D41" i="20"/>
  <c r="E41" i="20" s="1"/>
  <c r="AN42" i="20"/>
  <c r="Y42" i="20"/>
  <c r="AK43" i="20"/>
  <c r="Z43" i="20"/>
  <c r="AL44" i="20"/>
  <c r="AL48" i="20"/>
  <c r="AL50" i="20"/>
  <c r="AN47" i="20"/>
  <c r="AB51" i="20"/>
  <c r="AF51" i="20"/>
  <c r="AJ51" i="20"/>
  <c r="AN51" i="20"/>
  <c r="F68" i="20"/>
  <c r="V68" i="20"/>
  <c r="Z68" i="20"/>
  <c r="AL68" i="20"/>
  <c r="Z44" i="20"/>
  <c r="AK47" i="20"/>
  <c r="Z48" i="20"/>
  <c r="AC51" i="20"/>
  <c r="AG51" i="20"/>
  <c r="AK51" i="20"/>
  <c r="J67" i="20"/>
  <c r="Z47" i="20"/>
  <c r="Z51" i="20"/>
  <c r="AD51" i="20"/>
  <c r="AH51" i="20"/>
  <c r="AP132" i="20"/>
  <c r="AP133" i="20" s="1"/>
  <c r="AO32" i="6" l="1"/>
  <c r="AE32" i="6"/>
  <c r="AM32" i="6"/>
  <c r="Y32" i="6"/>
  <c r="AL32" i="6"/>
  <c r="Z32" i="6"/>
  <c r="W32" i="6"/>
  <c r="U32" i="6"/>
  <c r="AC32" i="6"/>
  <c r="AK32" i="6"/>
  <c r="AQ32" i="6"/>
  <c r="AH32" i="6"/>
  <c r="AA32" i="6"/>
  <c r="AP32" i="6"/>
  <c r="AJ32" i="6"/>
  <c r="V32" i="6"/>
  <c r="AD32" i="6"/>
  <c r="AG32" i="6"/>
  <c r="F314" i="16"/>
  <c r="AE75" i="20"/>
  <c r="AE77" i="20" s="1"/>
  <c r="AI12" i="6"/>
  <c r="AI16" i="6" s="1"/>
  <c r="AI18" i="6" s="1"/>
  <c r="AI32" i="6" s="1"/>
  <c r="AJ75" i="20"/>
  <c r="AJ77" i="20" s="1"/>
  <c r="AN12" i="6"/>
  <c r="AN16" i="6" s="1"/>
  <c r="AN18" i="6" s="1"/>
  <c r="AN32" i="6" s="1"/>
  <c r="S75" i="20"/>
  <c r="S77" i="20" s="1"/>
  <c r="X12" i="6"/>
  <c r="X16" i="6" s="1"/>
  <c r="X18" i="6" s="1"/>
  <c r="X32" i="6" s="1"/>
  <c r="K75" i="20"/>
  <c r="K77" i="20" s="1"/>
  <c r="K68" i="20" s="1"/>
  <c r="Q12" i="6"/>
  <c r="Q16" i="6" s="1"/>
  <c r="Q18" i="6" s="1"/>
  <c r="Q32" i="6" s="1"/>
  <c r="W75" i="20"/>
  <c r="W77" i="20" s="1"/>
  <c r="AB12" i="6"/>
  <c r="AB16" i="6" s="1"/>
  <c r="AB18" i="6" s="1"/>
  <c r="AB32" i="6" s="1"/>
  <c r="O75" i="20"/>
  <c r="O77" i="20" s="1"/>
  <c r="T12" i="6"/>
  <c r="T16" i="6" s="1"/>
  <c r="T18" i="6" s="1"/>
  <c r="T32" i="6" s="1"/>
  <c r="AM75" i="20"/>
  <c r="AM77" i="20" s="1"/>
  <c r="AM68" i="20" s="1"/>
  <c r="K18" i="6"/>
  <c r="AE68" i="20"/>
  <c r="W68" i="20"/>
  <c r="AJ68" i="20"/>
  <c r="S68" i="20"/>
  <c r="AN60" i="20"/>
  <c r="AN40" i="20"/>
  <c r="O68" i="20"/>
  <c r="Z60" i="20"/>
  <c r="Z40" i="20"/>
  <c r="N56" i="20"/>
  <c r="N57" i="20"/>
  <c r="Y55" i="20"/>
  <c r="Y54" i="20"/>
  <c r="Y53" i="20" s="1"/>
  <c r="Y48" i="20"/>
  <c r="Y30" i="20"/>
  <c r="Y49" i="20"/>
  <c r="Y44" i="20"/>
  <c r="Y36" i="20"/>
  <c r="Y86" i="20" s="1"/>
  <c r="X1" i="20"/>
  <c r="Y46" i="20"/>
  <c r="Y47" i="20"/>
  <c r="Y41" i="20" s="1"/>
  <c r="I91" i="20"/>
  <c r="I92" i="20" s="1"/>
  <c r="Y68" i="20"/>
  <c r="I68" i="20"/>
  <c r="Y34" i="20"/>
  <c r="T68" i="20"/>
  <c r="AG62" i="20"/>
  <c r="Q62" i="20"/>
  <c r="F91" i="20"/>
  <c r="F92" i="20" s="1"/>
  <c r="AL79" i="20"/>
  <c r="D60" i="20"/>
  <c r="E17" i="20"/>
  <c r="AK25" i="20"/>
  <c r="AK81" i="20" s="1"/>
  <c r="D40" i="20"/>
  <c r="AM41" i="20"/>
  <c r="Z84" i="20"/>
  <c r="AA40" i="20"/>
  <c r="AA52" i="20" s="1"/>
  <c r="AM17" i="20"/>
  <c r="H91" i="20"/>
  <c r="H92" i="20" s="1"/>
  <c r="AK79" i="20"/>
  <c r="G91" i="20"/>
  <c r="G92" i="20" s="1"/>
  <c r="G68" i="20"/>
  <c r="AI68" i="20"/>
  <c r="Y51" i="20"/>
  <c r="Y43" i="20"/>
  <c r="Y85" i="20"/>
  <c r="Y29" i="20"/>
  <c r="Y84" i="20" s="1"/>
  <c r="Y26" i="20"/>
  <c r="Y83" i="20" s="1"/>
  <c r="AK68" i="20"/>
  <c r="E91" i="20"/>
  <c r="E92" i="20" s="1"/>
  <c r="U68" i="20"/>
  <c r="E68" i="20"/>
  <c r="AC62" i="20"/>
  <c r="M62" i="20"/>
  <c r="M40" i="20"/>
  <c r="M52" i="20" s="1"/>
  <c r="AF62" i="20"/>
  <c r="Z41" i="20"/>
  <c r="AK29" i="20"/>
  <c r="AK84" i="20" s="1"/>
  <c r="Z79" i="20"/>
  <c r="AN41" i="20"/>
  <c r="AC68" i="20"/>
  <c r="M91" i="20"/>
  <c r="M92" i="20" s="1"/>
  <c r="M68" i="20"/>
  <c r="AK62" i="20"/>
  <c r="U62" i="20"/>
  <c r="X68" i="20"/>
  <c r="Y37" i="20"/>
  <c r="AD68" i="20"/>
  <c r="J68" i="20"/>
  <c r="Y25" i="20"/>
  <c r="Y81" i="20" s="1"/>
  <c r="Y79" i="20" s="1"/>
  <c r="Y90" i="20" s="1"/>
  <c r="AG68" i="20"/>
  <c r="Q68" i="20"/>
  <c r="Y38" i="20"/>
  <c r="Y87" i="20" s="1"/>
  <c r="AB77" i="20"/>
  <c r="L91" i="20"/>
  <c r="L92" i="20" s="1"/>
  <c r="Y62" i="20"/>
  <c r="I62" i="20"/>
  <c r="I40" i="20"/>
  <c r="I52" i="20" s="1"/>
  <c r="Y50" i="20"/>
  <c r="AK55" i="20"/>
  <c r="AK54" i="20"/>
  <c r="AK48" i="20"/>
  <c r="AK30" i="20"/>
  <c r="AJ1" i="20"/>
  <c r="AK36" i="20"/>
  <c r="AK44" i="20"/>
  <c r="AK42" i="20"/>
  <c r="AM79" i="20"/>
  <c r="AM90" i="20" s="1"/>
  <c r="AM67" i="20" s="1"/>
  <c r="P62" i="20"/>
  <c r="AK37" i="20"/>
  <c r="K90" i="20"/>
  <c r="K67" i="20" s="1"/>
  <c r="AL86" i="20"/>
  <c r="AL41" i="20"/>
  <c r="Z86" i="20"/>
  <c r="AL17" i="20"/>
  <c r="Y45" i="20"/>
  <c r="K32" i="6" l="1"/>
  <c r="Y67" i="20"/>
  <c r="Y91" i="20"/>
  <c r="Y92" i="20" s="1"/>
  <c r="AB68" i="20"/>
  <c r="AM60" i="20"/>
  <c r="AM40" i="20"/>
  <c r="AM52" i="20" s="1"/>
  <c r="D52" i="20"/>
  <c r="E52" i="20" s="1"/>
  <c r="E40" i="20"/>
  <c r="Y17" i="20"/>
  <c r="AN52" i="20"/>
  <c r="AM91" i="20"/>
  <c r="AM92" i="20" s="1"/>
  <c r="AA56" i="20"/>
  <c r="AA57" i="20"/>
  <c r="AK17" i="20"/>
  <c r="AL90" i="20"/>
  <c r="AL60" i="20"/>
  <c r="AL40" i="20"/>
  <c r="AL52" i="20" s="1"/>
  <c r="AJ54" i="20"/>
  <c r="AJ55" i="20"/>
  <c r="AJ30" i="20"/>
  <c r="AJ48" i="20"/>
  <c r="AI1" i="20"/>
  <c r="AJ44" i="20"/>
  <c r="AJ36" i="20"/>
  <c r="AJ50" i="20"/>
  <c r="AJ25" i="20"/>
  <c r="AJ81" i="20" s="1"/>
  <c r="AJ34" i="20"/>
  <c r="AJ85" i="20" s="1"/>
  <c r="AJ42" i="20"/>
  <c r="AJ43" i="20"/>
  <c r="AJ47" i="20"/>
  <c r="AJ37" i="20"/>
  <c r="AJ24" i="20"/>
  <c r="AJ29" i="20"/>
  <c r="AJ84" i="20" s="1"/>
  <c r="AJ45" i="20"/>
  <c r="AJ26" i="20"/>
  <c r="AJ83" i="20" s="1"/>
  <c r="AJ27" i="20"/>
  <c r="AJ82" i="20" s="1"/>
  <c r="AJ38" i="20"/>
  <c r="AJ87" i="20" s="1"/>
  <c r="K91" i="20"/>
  <c r="K92" i="20" s="1"/>
  <c r="AK41" i="20"/>
  <c r="AK86" i="20"/>
  <c r="AK90" i="20" s="1"/>
  <c r="AK53" i="20"/>
  <c r="Z90" i="20"/>
  <c r="X54" i="20"/>
  <c r="X53" i="20" s="1"/>
  <c r="X49" i="20"/>
  <c r="X46" i="20"/>
  <c r="X55" i="20"/>
  <c r="X44" i="20"/>
  <c r="X30" i="20"/>
  <c r="W1" i="20"/>
  <c r="X48" i="20"/>
  <c r="X37" i="20"/>
  <c r="X45" i="20"/>
  <c r="X34" i="20"/>
  <c r="X85" i="20" s="1"/>
  <c r="X38" i="20"/>
  <c r="X87" i="20" s="1"/>
  <c r="X26" i="20"/>
  <c r="X83" i="20" s="1"/>
  <c r="X43" i="20"/>
  <c r="X47" i="20"/>
  <c r="X50" i="20"/>
  <c r="X27" i="20"/>
  <c r="X82" i="20" s="1"/>
  <c r="X25" i="20"/>
  <c r="X81" i="20" s="1"/>
  <c r="X36" i="20"/>
  <c r="X51" i="20"/>
  <c r="X24" i="20"/>
  <c r="X29" i="20"/>
  <c r="X84" i="20" s="1"/>
  <c r="X42" i="20"/>
  <c r="Z52" i="20"/>
  <c r="AK67" i="20" l="1"/>
  <c r="AK91" i="20"/>
  <c r="AK92" i="20" s="1"/>
  <c r="Z67" i="20"/>
  <c r="Z91" i="20"/>
  <c r="Z92" i="20" s="1"/>
  <c r="AI55" i="20"/>
  <c r="AI54" i="20"/>
  <c r="AI48" i="20"/>
  <c r="AI44" i="20"/>
  <c r="AI47" i="20"/>
  <c r="AI24" i="20"/>
  <c r="AI26" i="20"/>
  <c r="AI83" i="20" s="1"/>
  <c r="AH1" i="20"/>
  <c r="AI27" i="20"/>
  <c r="AI82" i="20" s="1"/>
  <c r="AI29" i="20"/>
  <c r="AI25" i="20"/>
  <c r="AI81" i="20" s="1"/>
  <c r="AI30" i="20"/>
  <c r="AI45" i="20"/>
  <c r="AI36" i="20"/>
  <c r="AI37" i="20"/>
  <c r="AI34" i="20"/>
  <c r="AI85" i="20" s="1"/>
  <c r="AI38" i="20"/>
  <c r="AI87" i="20" s="1"/>
  <c r="AI42" i="20"/>
  <c r="AI50" i="20"/>
  <c r="AI43" i="20"/>
  <c r="AJ53" i="20"/>
  <c r="AK60" i="20"/>
  <c r="AK40" i="20"/>
  <c r="AK52" i="20" s="1"/>
  <c r="X41" i="20"/>
  <c r="X86" i="20"/>
  <c r="W55" i="20"/>
  <c r="W54" i="20"/>
  <c r="W53" i="20" s="1"/>
  <c r="W48" i="20"/>
  <c r="W49" i="20"/>
  <c r="W46" i="20"/>
  <c r="W51" i="20"/>
  <c r="W47" i="20"/>
  <c r="W44" i="20"/>
  <c r="W43" i="20"/>
  <c r="W26" i="20"/>
  <c r="W83" i="20" s="1"/>
  <c r="V1" i="20"/>
  <c r="W29" i="20"/>
  <c r="W84" i="20" s="1"/>
  <c r="W30" i="20"/>
  <c r="W27" i="20"/>
  <c r="W82" i="20" s="1"/>
  <c r="W24" i="20"/>
  <c r="W25" i="20"/>
  <c r="W81" i="20" s="1"/>
  <c r="W37" i="20"/>
  <c r="W34" i="20"/>
  <c r="W85" i="20" s="1"/>
  <c r="W38" i="20"/>
  <c r="W87" i="20" s="1"/>
  <c r="W42" i="20"/>
  <c r="W45" i="20"/>
  <c r="W50" i="20"/>
  <c r="W36" i="20"/>
  <c r="W86" i="20" s="1"/>
  <c r="AN56" i="20"/>
  <c r="AN57" i="20"/>
  <c r="X80" i="20"/>
  <c r="X79" i="20" s="1"/>
  <c r="X90" i="20" s="1"/>
  <c r="X17" i="20"/>
  <c r="AL67" i="20"/>
  <c r="AL91" i="20"/>
  <c r="AL92" i="20" s="1"/>
  <c r="AJ80" i="20"/>
  <c r="AJ79" i="20" s="1"/>
  <c r="AJ90" i="20" s="1"/>
  <c r="AJ17" i="20"/>
  <c r="AJ41" i="20"/>
  <c r="AJ86" i="20"/>
  <c r="Y60" i="20"/>
  <c r="Y40" i="20"/>
  <c r="Y52" i="20" s="1"/>
  <c r="J43" i="6" l="1"/>
  <c r="AH55" i="20"/>
  <c r="AH54" i="20"/>
  <c r="AH43" i="20"/>
  <c r="AH30" i="20"/>
  <c r="AH27" i="20"/>
  <c r="AH82" i="20" s="1"/>
  <c r="AH24" i="20"/>
  <c r="AH29" i="20"/>
  <c r="AH25" i="20"/>
  <c r="AH81" i="20" s="1"/>
  <c r="AH26" i="20"/>
  <c r="AH83" i="20" s="1"/>
  <c r="AG1" i="20"/>
  <c r="AH50" i="20"/>
  <c r="AH37" i="20"/>
  <c r="AH45" i="20"/>
  <c r="AH34" i="20"/>
  <c r="AH85" i="20" s="1"/>
  <c r="AH38" i="20"/>
  <c r="AH87" i="20" s="1"/>
  <c r="AH42" i="20"/>
  <c r="AH48" i="20"/>
  <c r="AH36" i="20"/>
  <c r="AH44" i="20"/>
  <c r="AH47" i="20"/>
  <c r="AJ60" i="20"/>
  <c r="AJ40" i="20"/>
  <c r="AJ52" i="20" s="1"/>
  <c r="X60" i="20"/>
  <c r="X40" i="20"/>
  <c r="X52" i="20" s="1"/>
  <c r="W80" i="20"/>
  <c r="W79" i="20" s="1"/>
  <c r="W90" i="20" s="1"/>
  <c r="W17" i="20"/>
  <c r="V55" i="20"/>
  <c r="V54" i="20"/>
  <c r="V49" i="20"/>
  <c r="V46" i="20"/>
  <c r="V42" i="20"/>
  <c r="V38" i="20"/>
  <c r="V87" i="20" s="1"/>
  <c r="V29" i="20"/>
  <c r="V25" i="20"/>
  <c r="V81" i="20" s="1"/>
  <c r="U1" i="20"/>
  <c r="V26" i="20"/>
  <c r="V83" i="20" s="1"/>
  <c r="V43" i="20"/>
  <c r="V34" i="20"/>
  <c r="V85" i="20" s="1"/>
  <c r="V30" i="20"/>
  <c r="V27" i="20"/>
  <c r="V82" i="20" s="1"/>
  <c r="V24" i="20"/>
  <c r="V36" i="20"/>
  <c r="V44" i="20"/>
  <c r="V47" i="20"/>
  <c r="V50" i="20"/>
  <c r="V48" i="20"/>
  <c r="V45" i="20"/>
  <c r="V51" i="20"/>
  <c r="V37" i="20"/>
  <c r="AJ67" i="20"/>
  <c r="AJ91" i="20"/>
  <c r="AJ92" i="20" s="1"/>
  <c r="X67" i="20"/>
  <c r="X91" i="20"/>
  <c r="X92" i="20" s="1"/>
  <c r="AI41" i="20"/>
  <c r="AI86" i="20"/>
  <c r="AI84" i="20"/>
  <c r="AI80" i="20"/>
  <c r="AI79" i="20" s="1"/>
  <c r="AI17" i="20"/>
  <c r="AI53" i="20"/>
  <c r="W41" i="20"/>
  <c r="V53" i="20" l="1"/>
  <c r="AH41" i="20"/>
  <c r="AH84" i="20"/>
  <c r="V41" i="20"/>
  <c r="AI60" i="20"/>
  <c r="AI40" i="20"/>
  <c r="AI52" i="20" s="1"/>
  <c r="V86" i="20"/>
  <c r="W60" i="20"/>
  <c r="W40" i="20"/>
  <c r="W52" i="20" s="1"/>
  <c r="AH86" i="20"/>
  <c r="AG55" i="20"/>
  <c r="AG54" i="20"/>
  <c r="AG48" i="20"/>
  <c r="AG30" i="20"/>
  <c r="AG44" i="20"/>
  <c r="AF1" i="20"/>
  <c r="AG42" i="20"/>
  <c r="AG34" i="20"/>
  <c r="AG85" i="20" s="1"/>
  <c r="AG38" i="20"/>
  <c r="AG87" i="20" s="1"/>
  <c r="AG37" i="20"/>
  <c r="AG47" i="20"/>
  <c r="AG29" i="20"/>
  <c r="AG84" i="20" s="1"/>
  <c r="AG24" i="20"/>
  <c r="AG27" i="20"/>
  <c r="AG82" i="20" s="1"/>
  <c r="AG45" i="20"/>
  <c r="AG26" i="20"/>
  <c r="AG83" i="20" s="1"/>
  <c r="AG50" i="20"/>
  <c r="AG36" i="20"/>
  <c r="AG86" i="20" s="1"/>
  <c r="AG25" i="20"/>
  <c r="AG81" i="20" s="1"/>
  <c r="AG43" i="20"/>
  <c r="AH80" i="20"/>
  <c r="AH79" i="20" s="1"/>
  <c r="AH90" i="20" s="1"/>
  <c r="AH17" i="20"/>
  <c r="AH53" i="20"/>
  <c r="U55" i="20"/>
  <c r="U54" i="20"/>
  <c r="U53" i="20" s="1"/>
  <c r="U48" i="20"/>
  <c r="U30" i="20"/>
  <c r="U49" i="20"/>
  <c r="U46" i="20"/>
  <c r="U44" i="20"/>
  <c r="U36" i="20"/>
  <c r="U42" i="20"/>
  <c r="T1" i="20"/>
  <c r="U26" i="20"/>
  <c r="U83" i="20" s="1"/>
  <c r="U29" i="20"/>
  <c r="U84" i="20" s="1"/>
  <c r="U51" i="20"/>
  <c r="U50" i="20"/>
  <c r="U47" i="20"/>
  <c r="U37" i="20"/>
  <c r="U45" i="20"/>
  <c r="U24" i="20"/>
  <c r="U27" i="20"/>
  <c r="U82" i="20" s="1"/>
  <c r="U34" i="20"/>
  <c r="U85" i="20" s="1"/>
  <c r="U38" i="20"/>
  <c r="U87" i="20" s="1"/>
  <c r="U43" i="20"/>
  <c r="U25" i="20"/>
  <c r="U81" i="20" s="1"/>
  <c r="AI90" i="20"/>
  <c r="V80" i="20"/>
  <c r="V79" i="20" s="1"/>
  <c r="V90" i="20" s="1"/>
  <c r="V17" i="20"/>
  <c r="V84" i="20"/>
  <c r="W67" i="20"/>
  <c r="W91" i="20"/>
  <c r="W92" i="20" s="1"/>
  <c r="AI67" i="20" l="1"/>
  <c r="AI91" i="20"/>
  <c r="AI92" i="20" s="1"/>
  <c r="AH60" i="20"/>
  <c r="AH40" i="20"/>
  <c r="AH52" i="20" s="1"/>
  <c r="AF54" i="20"/>
  <c r="AF55" i="20"/>
  <c r="AF30" i="20"/>
  <c r="AF44" i="20"/>
  <c r="AF36" i="20"/>
  <c r="AF43" i="20"/>
  <c r="AE1" i="20"/>
  <c r="AF48" i="20"/>
  <c r="AF45" i="20"/>
  <c r="AF24" i="20"/>
  <c r="AF29" i="20"/>
  <c r="AF84" i="20" s="1"/>
  <c r="AF34" i="20"/>
  <c r="AF85" i="20" s="1"/>
  <c r="AF38" i="20"/>
  <c r="AF87" i="20" s="1"/>
  <c r="AF37" i="20"/>
  <c r="AF50" i="20"/>
  <c r="AF27" i="20"/>
  <c r="AF82" i="20" s="1"/>
  <c r="AF42" i="20"/>
  <c r="AF41" i="20" s="1"/>
  <c r="AF26" i="20"/>
  <c r="AF83" i="20" s="1"/>
  <c r="AF47" i="20"/>
  <c r="AF25" i="20"/>
  <c r="AF81" i="20" s="1"/>
  <c r="AG53" i="20"/>
  <c r="V60" i="20"/>
  <c r="V40" i="20"/>
  <c r="V52" i="20" s="1"/>
  <c r="U80" i="20"/>
  <c r="U79" i="20" s="1"/>
  <c r="U17" i="20"/>
  <c r="T54" i="20"/>
  <c r="T49" i="20"/>
  <c r="T46" i="20"/>
  <c r="T30" i="20"/>
  <c r="S1" i="20"/>
  <c r="T55" i="20"/>
  <c r="T44" i="20"/>
  <c r="T36" i="20"/>
  <c r="T48" i="20"/>
  <c r="T45" i="20"/>
  <c r="T37" i="20"/>
  <c r="T50" i="20"/>
  <c r="T25" i="20"/>
  <c r="T81" i="20" s="1"/>
  <c r="T42" i="20"/>
  <c r="T26" i="20"/>
  <c r="T83" i="20" s="1"/>
  <c r="T24" i="20"/>
  <c r="T29" i="20"/>
  <c r="T84" i="20" s="1"/>
  <c r="T34" i="20"/>
  <c r="T85" i="20" s="1"/>
  <c r="T43" i="20"/>
  <c r="T38" i="20"/>
  <c r="T87" i="20" s="1"/>
  <c r="T27" i="20"/>
  <c r="T82" i="20" s="1"/>
  <c r="T51" i="20"/>
  <c r="T47" i="20"/>
  <c r="AH67" i="20"/>
  <c r="AH91" i="20"/>
  <c r="AH92" i="20" s="1"/>
  <c r="AG80" i="20"/>
  <c r="AG79" i="20" s="1"/>
  <c r="AG90" i="20" s="1"/>
  <c r="AG17" i="20"/>
  <c r="U41" i="20"/>
  <c r="V67" i="20"/>
  <c r="V91" i="20"/>
  <c r="V92" i="20" s="1"/>
  <c r="U86" i="20"/>
  <c r="AG41" i="20"/>
  <c r="AQ2" i="6"/>
  <c r="AQ4" i="6" s="1"/>
  <c r="AG60" i="20" l="1"/>
  <c r="AG40" i="20"/>
  <c r="AG52" i="20" s="1"/>
  <c r="U90" i="20"/>
  <c r="AG67" i="20"/>
  <c r="AG91" i="20"/>
  <c r="AG92" i="20" s="1"/>
  <c r="T41" i="20"/>
  <c r="AE55" i="20"/>
  <c r="AE54" i="20"/>
  <c r="AE48" i="20"/>
  <c r="AE47" i="20"/>
  <c r="AE26" i="20"/>
  <c r="AE83" i="20" s="1"/>
  <c r="AD1" i="20"/>
  <c r="AE42" i="20"/>
  <c r="AE30" i="20"/>
  <c r="AE27" i="20"/>
  <c r="AE82" i="20" s="1"/>
  <c r="AE29" i="20"/>
  <c r="AE84" i="20" s="1"/>
  <c r="AE44" i="20"/>
  <c r="AE24" i="20"/>
  <c r="AE25" i="20"/>
  <c r="AE81" i="20" s="1"/>
  <c r="AE45" i="20"/>
  <c r="AE50" i="20"/>
  <c r="AE36" i="20"/>
  <c r="AE43" i="20"/>
  <c r="AE37" i="20"/>
  <c r="AE34" i="20"/>
  <c r="AE85" i="20" s="1"/>
  <c r="AE38" i="20"/>
  <c r="AE87" i="20" s="1"/>
  <c r="S55" i="20"/>
  <c r="S54" i="20"/>
  <c r="S48" i="20"/>
  <c r="S49" i="20"/>
  <c r="S44" i="20"/>
  <c r="S51" i="20"/>
  <c r="S47" i="20"/>
  <c r="S24" i="20"/>
  <c r="R1" i="20"/>
  <c r="S30" i="20"/>
  <c r="S29" i="20"/>
  <c r="S84" i="20" s="1"/>
  <c r="S25" i="20"/>
  <c r="S81" i="20" s="1"/>
  <c r="S26" i="20"/>
  <c r="S83" i="20" s="1"/>
  <c r="S27" i="20"/>
  <c r="S82" i="20" s="1"/>
  <c r="S46" i="20"/>
  <c r="S37" i="20"/>
  <c r="S34" i="20"/>
  <c r="S85" i="20" s="1"/>
  <c r="S38" i="20"/>
  <c r="S87" i="20" s="1"/>
  <c r="S45" i="20"/>
  <c r="S43" i="20"/>
  <c r="S36" i="20"/>
  <c r="S86" i="20" s="1"/>
  <c r="S42" i="20"/>
  <c r="S50" i="20"/>
  <c r="T53" i="20"/>
  <c r="AF80" i="20"/>
  <c r="AF79" i="20" s="1"/>
  <c r="AF90" i="20" s="1"/>
  <c r="AF17" i="20"/>
  <c r="T80" i="20"/>
  <c r="T79" i="20" s="1"/>
  <c r="T90" i="20" s="1"/>
  <c r="T17" i="20"/>
  <c r="T86" i="20"/>
  <c r="U60" i="20"/>
  <c r="U40" i="20"/>
  <c r="U52" i="20" s="1"/>
  <c r="AF86" i="20"/>
  <c r="AF53" i="20"/>
  <c r="AQ3" i="6"/>
  <c r="AP2" i="6"/>
  <c r="AO2" i="6" s="1"/>
  <c r="AO3" i="6" s="1"/>
  <c r="T67" i="20" l="1"/>
  <c r="T91" i="20"/>
  <c r="T92" i="20" s="1"/>
  <c r="AF60" i="20"/>
  <c r="AF40" i="20"/>
  <c r="AF52" i="20" s="1"/>
  <c r="S41" i="20"/>
  <c r="S53" i="20"/>
  <c r="AD55" i="20"/>
  <c r="AD54" i="20"/>
  <c r="AD53" i="20" s="1"/>
  <c r="AD29" i="20"/>
  <c r="AD25" i="20"/>
  <c r="AD81" i="20" s="1"/>
  <c r="AD26" i="20"/>
  <c r="AD83" i="20" s="1"/>
  <c r="AC1" i="20"/>
  <c r="AD36" i="20"/>
  <c r="AD24" i="20"/>
  <c r="AD30" i="20"/>
  <c r="AD27" i="20"/>
  <c r="AD82" i="20" s="1"/>
  <c r="AD42" i="20"/>
  <c r="AD45" i="20"/>
  <c r="AD50" i="20"/>
  <c r="AD38" i="20"/>
  <c r="AD87" i="20" s="1"/>
  <c r="AD43" i="20"/>
  <c r="AD48" i="20"/>
  <c r="AD34" i="20"/>
  <c r="AD85" i="20" s="1"/>
  <c r="AD37" i="20"/>
  <c r="AD44" i="20"/>
  <c r="AD47" i="20"/>
  <c r="AE53" i="20"/>
  <c r="AF67" i="20"/>
  <c r="AF91" i="20"/>
  <c r="AF92" i="20" s="1"/>
  <c r="R55" i="20"/>
  <c r="R54" i="20"/>
  <c r="R53" i="20" s="1"/>
  <c r="R49" i="20"/>
  <c r="R46" i="20"/>
  <c r="R43" i="20"/>
  <c r="R30" i="20"/>
  <c r="R27" i="20"/>
  <c r="R82" i="20" s="1"/>
  <c r="R37" i="20"/>
  <c r="R24" i="20"/>
  <c r="R25" i="20"/>
  <c r="R81" i="20" s="1"/>
  <c r="R26" i="20"/>
  <c r="R83" i="20" s="1"/>
  <c r="R29" i="20"/>
  <c r="R84" i="20" s="1"/>
  <c r="Q1" i="20"/>
  <c r="R36" i="20"/>
  <c r="R86" i="20" s="1"/>
  <c r="R51" i="20"/>
  <c r="R42" i="20"/>
  <c r="R47" i="20"/>
  <c r="R45" i="20"/>
  <c r="R34" i="20"/>
  <c r="R85" i="20" s="1"/>
  <c r="R38" i="20"/>
  <c r="R87" i="20" s="1"/>
  <c r="R44" i="20"/>
  <c r="R48" i="20"/>
  <c r="R50" i="20"/>
  <c r="U67" i="20"/>
  <c r="U91" i="20"/>
  <c r="U92" i="20" s="1"/>
  <c r="T60" i="20"/>
  <c r="T40" i="20"/>
  <c r="T52" i="20" s="1"/>
  <c r="S80" i="20"/>
  <c r="S79" i="20" s="1"/>
  <c r="S90" i="20" s="1"/>
  <c r="S17" i="20"/>
  <c r="AE86" i="20"/>
  <c r="AE80" i="20"/>
  <c r="AE79" i="20" s="1"/>
  <c r="AE17" i="20"/>
  <c r="AE41" i="20"/>
  <c r="AP4" i="6"/>
  <c r="AO4" i="6"/>
  <c r="AN2" i="6"/>
  <c r="AN4" i="6" s="1"/>
  <c r="AP3" i="6"/>
  <c r="AM2" i="6" l="1"/>
  <c r="AL2" i="6" s="1"/>
  <c r="AE90" i="20"/>
  <c r="AC55" i="20"/>
  <c r="AC54" i="20"/>
  <c r="AC48" i="20"/>
  <c r="AC44" i="20"/>
  <c r="AC30" i="20"/>
  <c r="AB1" i="20"/>
  <c r="AC24" i="20"/>
  <c r="AC27" i="20"/>
  <c r="AC82" i="20" s="1"/>
  <c r="AC43" i="20"/>
  <c r="AC37" i="20"/>
  <c r="AC34" i="20"/>
  <c r="AC85" i="20" s="1"/>
  <c r="AC38" i="20"/>
  <c r="AC87" i="20" s="1"/>
  <c r="AC42" i="20"/>
  <c r="AC25" i="20"/>
  <c r="AC81" i="20" s="1"/>
  <c r="AC47" i="20"/>
  <c r="AC26" i="20"/>
  <c r="AC83" i="20" s="1"/>
  <c r="AC29" i="20"/>
  <c r="AC84" i="20" s="1"/>
  <c r="AC36" i="20"/>
  <c r="AC86" i="20" s="1"/>
  <c r="AC45" i="20"/>
  <c r="AC50" i="20"/>
  <c r="S60" i="20"/>
  <c r="S40" i="20"/>
  <c r="S52" i="20" s="1"/>
  <c r="Q55" i="20"/>
  <c r="Q54" i="20"/>
  <c r="Q53" i="20" s="1"/>
  <c r="Q48" i="20"/>
  <c r="Q30" i="20"/>
  <c r="Q46" i="20"/>
  <c r="Q44" i="20"/>
  <c r="Q42" i="20"/>
  <c r="Q38" i="20"/>
  <c r="Q87" i="20" s="1"/>
  <c r="Q49" i="20"/>
  <c r="Q34" i="20"/>
  <c r="Q85" i="20" s="1"/>
  <c r="P1" i="20"/>
  <c r="Q47" i="20"/>
  <c r="Q43" i="20"/>
  <c r="Q24" i="20"/>
  <c r="Q27" i="20"/>
  <c r="Q82" i="20" s="1"/>
  <c r="Q45" i="20"/>
  <c r="Q50" i="20"/>
  <c r="Q25" i="20"/>
  <c r="Q81" i="20" s="1"/>
  <c r="Q37" i="20"/>
  <c r="Q36" i="20"/>
  <c r="Q26" i="20"/>
  <c r="Q83" i="20" s="1"/>
  <c r="Q29" i="20"/>
  <c r="Q84" i="20" s="1"/>
  <c r="Q51" i="20"/>
  <c r="R80" i="20"/>
  <c r="R79" i="20" s="1"/>
  <c r="R90" i="20" s="1"/>
  <c r="R17" i="20"/>
  <c r="AD80" i="20"/>
  <c r="AD79" i="20" s="1"/>
  <c r="AD17" i="20"/>
  <c r="AE60" i="20"/>
  <c r="AE40" i="20"/>
  <c r="AE52" i="20" s="1"/>
  <c r="S67" i="20"/>
  <c r="S91" i="20"/>
  <c r="S92" i="20" s="1"/>
  <c r="R41" i="20"/>
  <c r="AD41" i="20"/>
  <c r="AD86" i="20"/>
  <c r="AD84" i="20"/>
  <c r="AN3" i="6"/>
  <c r="AM3" i="6" l="1"/>
  <c r="AM4" i="6"/>
  <c r="AC80" i="20"/>
  <c r="AC79" i="20" s="1"/>
  <c r="AC90" i="20" s="1"/>
  <c r="AC17" i="20"/>
  <c r="AD90" i="20"/>
  <c r="R60" i="20"/>
  <c r="R40" i="20"/>
  <c r="R52" i="20" s="1"/>
  <c r="R67" i="20"/>
  <c r="R91" i="20"/>
  <c r="R92" i="20" s="1"/>
  <c r="Q86" i="20"/>
  <c r="AB54" i="20"/>
  <c r="AB55" i="20"/>
  <c r="AB48" i="20"/>
  <c r="AB44" i="20"/>
  <c r="AB30" i="20"/>
  <c r="AB43" i="20"/>
  <c r="AB34" i="20"/>
  <c r="AB85" i="20" s="1"/>
  <c r="AB38" i="20"/>
  <c r="AB87" i="20" s="1"/>
  <c r="AB45" i="20"/>
  <c r="AB27" i="20"/>
  <c r="AB82" i="20" s="1"/>
  <c r="AB37" i="20"/>
  <c r="AB26" i="20"/>
  <c r="AB83" i="20" s="1"/>
  <c r="AB36" i="20"/>
  <c r="AB86" i="20" s="1"/>
  <c r="AB47" i="20"/>
  <c r="AB24" i="20"/>
  <c r="AB29" i="20"/>
  <c r="AB84" i="20" s="1"/>
  <c r="AB50" i="20"/>
  <c r="AB25" i="20"/>
  <c r="AB81" i="20" s="1"/>
  <c r="AB42" i="20"/>
  <c r="AC53" i="20"/>
  <c r="AD60" i="20"/>
  <c r="AD40" i="20"/>
  <c r="AD52" i="20" s="1"/>
  <c r="P55" i="20"/>
  <c r="P49" i="20"/>
  <c r="P46" i="20"/>
  <c r="P48" i="20"/>
  <c r="P30" i="20"/>
  <c r="O1" i="20"/>
  <c r="P36" i="20"/>
  <c r="P44" i="20"/>
  <c r="P54" i="20"/>
  <c r="P53" i="20" s="1"/>
  <c r="P43" i="20"/>
  <c r="P37" i="20"/>
  <c r="P24" i="20"/>
  <c r="P29" i="20"/>
  <c r="P84" i="20" s="1"/>
  <c r="P25" i="20"/>
  <c r="P81" i="20" s="1"/>
  <c r="P50" i="20"/>
  <c r="P27" i="20"/>
  <c r="P82" i="20" s="1"/>
  <c r="P34" i="20"/>
  <c r="P85" i="20" s="1"/>
  <c r="P38" i="20"/>
  <c r="P87" i="20" s="1"/>
  <c r="P42" i="20"/>
  <c r="P51" i="20"/>
  <c r="P45" i="20"/>
  <c r="P26" i="20"/>
  <c r="P83" i="20" s="1"/>
  <c r="P47" i="20"/>
  <c r="Q41" i="20"/>
  <c r="AC41" i="20"/>
  <c r="Q80" i="20"/>
  <c r="Q79" i="20" s="1"/>
  <c r="Q90" i="20" s="1"/>
  <c r="Q17" i="20"/>
  <c r="AE67" i="20"/>
  <c r="AE91" i="20"/>
  <c r="AE92" i="20" s="1"/>
  <c r="AK2" i="6"/>
  <c r="AJ2" i="6" s="1"/>
  <c r="AL4" i="6"/>
  <c r="AL3" i="6"/>
  <c r="Q60" i="20" l="1"/>
  <c r="Q40" i="20"/>
  <c r="Q52" i="20" s="1"/>
  <c r="Q67" i="20"/>
  <c r="Q91" i="20"/>
  <c r="Q92" i="20" s="1"/>
  <c r="O55" i="20"/>
  <c r="O54" i="20"/>
  <c r="O53" i="20" s="1"/>
  <c r="O48" i="20"/>
  <c r="O49" i="20"/>
  <c r="O46" i="20"/>
  <c r="O26" i="20"/>
  <c r="O83" i="20" s="1"/>
  <c r="O24" i="20"/>
  <c r="O51" i="20"/>
  <c r="O42" i="20"/>
  <c r="O30" i="20"/>
  <c r="O27" i="20"/>
  <c r="O82" i="20" s="1"/>
  <c r="O29" i="20"/>
  <c r="O84" i="20" s="1"/>
  <c r="O25" i="20"/>
  <c r="O81" i="20" s="1"/>
  <c r="O47" i="20"/>
  <c r="O44" i="20"/>
  <c r="O45" i="20"/>
  <c r="O50" i="20"/>
  <c r="O36" i="20"/>
  <c r="O43" i="20"/>
  <c r="O37" i="20"/>
  <c r="O34" i="20"/>
  <c r="O85" i="20" s="1"/>
  <c r="O38" i="20"/>
  <c r="O87" i="20" s="1"/>
  <c r="AB41" i="20"/>
  <c r="AB80" i="20"/>
  <c r="AB79" i="20" s="1"/>
  <c r="AB90" i="20" s="1"/>
  <c r="AB17" i="20"/>
  <c r="AD67" i="20"/>
  <c r="AD91" i="20"/>
  <c r="AD92" i="20" s="1"/>
  <c r="P80" i="20"/>
  <c r="P79" i="20" s="1"/>
  <c r="P90" i="20" s="1"/>
  <c r="P17" i="20"/>
  <c r="AC60" i="20"/>
  <c r="AC40" i="20"/>
  <c r="AC52" i="20" s="1"/>
  <c r="P41" i="20"/>
  <c r="P86" i="20"/>
  <c r="AB53" i="20"/>
  <c r="AC67" i="20"/>
  <c r="AC91" i="20"/>
  <c r="AC92" i="20" s="1"/>
  <c r="AI2" i="6"/>
  <c r="AJ4" i="6"/>
  <c r="AJ3" i="6"/>
  <c r="AK4" i="6"/>
  <c r="AK3" i="6"/>
  <c r="O80" i="20" l="1"/>
  <c r="O79" i="20" s="1"/>
  <c r="O17" i="20"/>
  <c r="P67" i="20"/>
  <c r="P91" i="20"/>
  <c r="P92" i="20" s="1"/>
  <c r="AB67" i="20"/>
  <c r="AB91" i="20"/>
  <c r="AB92" i="20" s="1"/>
  <c r="O86" i="20"/>
  <c r="P60" i="20"/>
  <c r="P40" i="20"/>
  <c r="P52" i="20" s="1"/>
  <c r="AB60" i="20"/>
  <c r="AB40" i="20"/>
  <c r="AB52" i="20" s="1"/>
  <c r="O41" i="20"/>
  <c r="AI4" i="6"/>
  <c r="AH2" i="6"/>
  <c r="AI3" i="6"/>
  <c r="O60" i="20" l="1"/>
  <c r="O40" i="20"/>
  <c r="O52" i="20" s="1"/>
  <c r="O90" i="20"/>
  <c r="AH3" i="6"/>
  <c r="AH4" i="6"/>
  <c r="AG2" i="6"/>
  <c r="O67" i="20" l="1"/>
  <c r="O91" i="20"/>
  <c r="O92" i="20" s="1"/>
  <c r="D92" i="20" s="1"/>
  <c r="J44" i="6" s="1"/>
  <c r="J45" i="6" s="1"/>
  <c r="AG4" i="6"/>
  <c r="AF2" i="6"/>
  <c r="AG3" i="6"/>
  <c r="AE2" i="6" l="1"/>
  <c r="AF4" i="6"/>
  <c r="AF3" i="6"/>
  <c r="AD2" i="6" l="1"/>
  <c r="AE3" i="6"/>
  <c r="AE4" i="6"/>
  <c r="AC2" i="6" l="1"/>
  <c r="AD4" i="6"/>
  <c r="AD3" i="6"/>
  <c r="AB2" i="6" l="1"/>
  <c r="AC3" i="6"/>
  <c r="AC4" i="6"/>
  <c r="AB4" i="6" l="1"/>
  <c r="AB3" i="6"/>
  <c r="AA2" i="6"/>
  <c r="AA3" i="6" l="1"/>
  <c r="AA4" i="6"/>
  <c r="Z2" i="6"/>
  <c r="Y2" i="6" l="1"/>
  <c r="Z3" i="6"/>
  <c r="Z4" i="6"/>
  <c r="Y3" i="6" l="1"/>
  <c r="X2" i="6"/>
  <c r="Y4" i="6"/>
  <c r="X4" i="6" l="1"/>
  <c r="X3" i="6"/>
  <c r="W2" i="6"/>
  <c r="W4" i="6" l="1"/>
  <c r="W3" i="6"/>
  <c r="V2" i="6"/>
  <c r="V3" i="6" l="1"/>
  <c r="U2" i="6"/>
  <c r="V4" i="6"/>
  <c r="T2" i="6" l="1"/>
  <c r="U3" i="6"/>
  <c r="U4" i="6"/>
  <c r="T4" i="6" l="1"/>
  <c r="S2" i="6"/>
  <c r="T3" i="6"/>
  <c r="S4" i="6" l="1"/>
  <c r="S3" i="6"/>
  <c r="R2" i="6"/>
  <c r="Q2" i="6" l="1"/>
  <c r="R4" i="6"/>
  <c r="R3" i="6"/>
  <c r="P2" i="6" l="1"/>
  <c r="Q4" i="6"/>
  <c r="Q3" i="6"/>
  <c r="P4" i="6" l="1"/>
  <c r="P3" i="6"/>
  <c r="O2" i="6"/>
  <c r="O4" i="6" l="1"/>
  <c r="O3" i="6"/>
  <c r="N2" i="6"/>
  <c r="N3" i="6" l="1"/>
  <c r="M2" i="6"/>
  <c r="N4" i="6"/>
  <c r="L2" i="6" l="1"/>
  <c r="M3" i="6"/>
  <c r="M4" i="6"/>
  <c r="L4" i="6" l="1"/>
  <c r="K2" i="6"/>
  <c r="L3" i="6"/>
  <c r="K4" i="6" l="1"/>
  <c r="K3" i="6"/>
  <c r="C21" i="19" l="1"/>
  <c r="C22" i="19"/>
  <c r="C23" i="19"/>
  <c r="C24" i="19"/>
  <c r="C20" i="19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AR22" i="6"/>
  <c r="AR23" i="6"/>
  <c r="AR24" i="6"/>
  <c r="AR21" i="6"/>
  <c r="A21" i="6"/>
  <c r="D21" i="19" s="1"/>
  <c r="E21" i="19" s="1"/>
  <c r="A22" i="6"/>
  <c r="D22" i="19" s="1"/>
  <c r="E22" i="19" s="1"/>
  <c r="A23" i="6"/>
  <c r="D23" i="19" s="1"/>
  <c r="E23" i="19" s="1"/>
  <c r="A24" i="6"/>
  <c r="D24" i="19" s="1"/>
  <c r="E24" i="19" s="1"/>
  <c r="Z71" i="17"/>
  <c r="Z65" i="17"/>
  <c r="Z64" i="17"/>
  <c r="Z60" i="17"/>
  <c r="Z61" i="17"/>
  <c r="U66" i="17"/>
  <c r="AA65" i="17"/>
  <c r="Y65" i="17"/>
  <c r="X65" i="17"/>
  <c r="W65" i="17"/>
  <c r="U65" i="17"/>
  <c r="AA64" i="17"/>
  <c r="X64" i="17"/>
  <c r="W64" i="17"/>
  <c r="V64" i="17"/>
  <c r="U64" i="17"/>
  <c r="Y64" i="17" s="1"/>
  <c r="Z63" i="17"/>
  <c r="Y63" i="17"/>
  <c r="X63" i="17"/>
  <c r="W63" i="17"/>
  <c r="V63" i="17"/>
  <c r="V65" i="17" s="1"/>
  <c r="U63" i="17"/>
  <c r="Z62" i="17"/>
  <c r="X61" i="17"/>
  <c r="W61" i="17"/>
  <c r="V61" i="17"/>
  <c r="U61" i="17"/>
  <c r="Y61" i="17" s="1"/>
  <c r="X60" i="17"/>
  <c r="W60" i="17"/>
  <c r="V60" i="17"/>
  <c r="U60" i="17"/>
  <c r="Y60" i="17" s="1"/>
  <c r="X59" i="17"/>
  <c r="W59" i="17"/>
  <c r="U59" i="17"/>
  <c r="U62" i="17" s="1"/>
  <c r="U18" i="17"/>
  <c r="U10" i="17"/>
  <c r="U11" i="17"/>
  <c r="U12" i="17"/>
  <c r="U13" i="17"/>
  <c r="U14" i="17"/>
  <c r="U15" i="17"/>
  <c r="U16" i="17"/>
  <c r="U17" i="17"/>
  <c r="U9" i="17"/>
  <c r="S9" i="17"/>
  <c r="T9" i="17"/>
  <c r="T10" i="17"/>
  <c r="T18" i="17"/>
  <c r="T20" i="17"/>
  <c r="T21" i="17"/>
  <c r="A12" i="6"/>
  <c r="D12" i="19" s="1"/>
  <c r="E12" i="19" s="1"/>
  <c r="A13" i="6"/>
  <c r="D13" i="19" s="1"/>
  <c r="E13" i="19" s="1"/>
  <c r="A14" i="6"/>
  <c r="D14" i="19" s="1"/>
  <c r="E14" i="19" s="1"/>
  <c r="A15" i="6"/>
  <c r="D15" i="19" s="1"/>
  <c r="E15" i="19" s="1"/>
  <c r="A16" i="6"/>
  <c r="A17" i="6"/>
  <c r="D17" i="19" s="1"/>
  <c r="E17" i="19" s="1"/>
  <c r="A18" i="6"/>
  <c r="A19" i="6"/>
  <c r="A20" i="6"/>
  <c r="D20" i="19" s="1"/>
  <c r="E20" i="19" s="1"/>
  <c r="A25" i="6"/>
  <c r="D25" i="19" s="1"/>
  <c r="E25" i="19" s="1"/>
  <c r="A26" i="6"/>
  <c r="D26" i="19" s="1"/>
  <c r="E26" i="19" s="1"/>
  <c r="A27" i="6"/>
  <c r="D27" i="19" s="1"/>
  <c r="E27" i="19" s="1"/>
  <c r="A28" i="6"/>
  <c r="D28" i="19" s="1"/>
  <c r="E28" i="19" s="1"/>
  <c r="A29" i="6"/>
  <c r="D29" i="19" s="1"/>
  <c r="E29" i="19" s="1"/>
  <c r="A30" i="6"/>
  <c r="D30" i="19" s="1"/>
  <c r="E30" i="19" s="1"/>
  <c r="A31" i="6"/>
  <c r="D31" i="19" s="1"/>
  <c r="E31" i="19" s="1"/>
  <c r="A32" i="6"/>
  <c r="D32" i="19" s="1"/>
  <c r="E32" i="19" s="1"/>
  <c r="A34" i="6"/>
  <c r="D34" i="19" s="1"/>
  <c r="E34" i="19" s="1"/>
  <c r="A37" i="6"/>
  <c r="D36" i="19" s="1"/>
  <c r="E36" i="19" s="1"/>
  <c r="A38" i="6"/>
  <c r="D37" i="19" s="1"/>
  <c r="E37" i="19" s="1"/>
  <c r="N2" i="19"/>
  <c r="M2" i="19" s="1"/>
  <c r="I3" i="6"/>
  <c r="C37" i="19"/>
  <c r="C36" i="19"/>
  <c r="J30" i="19"/>
  <c r="J29" i="19"/>
  <c r="J28" i="19"/>
  <c r="A17" i="19"/>
  <c r="A16" i="19"/>
  <c r="A11" i="19"/>
  <c r="E10" i="19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AU38" i="6"/>
  <c r="AU37" i="6"/>
  <c r="C38" i="6"/>
  <c r="C37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AR28" i="6"/>
  <c r="AR26" i="6"/>
  <c r="AS17" i="6"/>
  <c r="AT17" i="6"/>
  <c r="AU17" i="6"/>
  <c r="L18" i="5" s="1"/>
  <c r="AV17" i="6"/>
  <c r="M18" i="5" s="1"/>
  <c r="AW17" i="6"/>
  <c r="N18" i="5" s="1"/>
  <c r="AX17" i="6"/>
  <c r="O18" i="5" s="1"/>
  <c r="AY17" i="6"/>
  <c r="P18" i="5" s="1"/>
  <c r="AZ17" i="6"/>
  <c r="Q18" i="5" s="1"/>
  <c r="BA17" i="6"/>
  <c r="R18" i="5" s="1"/>
  <c r="BB17" i="6"/>
  <c r="S18" i="5" s="1"/>
  <c r="BC17" i="6"/>
  <c r="T18" i="5" s="1"/>
  <c r="BD17" i="6"/>
  <c r="U18" i="5" s="1"/>
  <c r="BE17" i="6"/>
  <c r="V18" i="5" s="1"/>
  <c r="BF17" i="6"/>
  <c r="W18" i="5" s="1"/>
  <c r="BG17" i="6"/>
  <c r="X18" i="5" s="1"/>
  <c r="BH17" i="6"/>
  <c r="Y18" i="5" s="1"/>
  <c r="BI17" i="6"/>
  <c r="Z18" i="5" s="1"/>
  <c r="BJ17" i="6"/>
  <c r="AA18" i="5" s="1"/>
  <c r="BK17" i="6"/>
  <c r="AB18" i="5" s="1"/>
  <c r="BL17" i="6"/>
  <c r="AC18" i="5" s="1"/>
  <c r="BM17" i="6"/>
  <c r="AD18" i="5" s="1"/>
  <c r="BN17" i="6"/>
  <c r="AE18" i="5" s="1"/>
  <c r="BO17" i="6"/>
  <c r="AF18" i="5" s="1"/>
  <c r="BP17" i="6"/>
  <c r="AG18" i="5" s="1"/>
  <c r="BQ17" i="6"/>
  <c r="AH18" i="5" s="1"/>
  <c r="BR17" i="6"/>
  <c r="AI18" i="5" s="1"/>
  <c r="BS17" i="6"/>
  <c r="AJ18" i="5" s="1"/>
  <c r="BT17" i="6"/>
  <c r="AK18" i="5" s="1"/>
  <c r="BU17" i="6"/>
  <c r="AL18" i="5" s="1"/>
  <c r="BV17" i="6"/>
  <c r="AM18" i="5" s="1"/>
  <c r="BW17" i="6"/>
  <c r="AN18" i="5" s="1"/>
  <c r="BX17" i="6"/>
  <c r="AO18" i="5" s="1"/>
  <c r="BY17" i="6"/>
  <c r="AP18" i="5" s="1"/>
  <c r="BZ17" i="6"/>
  <c r="AQ18" i="5" s="1"/>
  <c r="CA17" i="6"/>
  <c r="AR18" i="5" s="1"/>
  <c r="AR17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AU15" i="6"/>
  <c r="AV15" i="6"/>
  <c r="AW15" i="6"/>
  <c r="AX15" i="6"/>
  <c r="AY15" i="6"/>
  <c r="AZ15" i="6"/>
  <c r="BA15" i="6"/>
  <c r="BB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AR12" i="6"/>
  <c r="AR13" i="6"/>
  <c r="AR14" i="6"/>
  <c r="AL60" i="18"/>
  <c r="AM55" i="18"/>
  <c r="AN55" i="18"/>
  <c r="Y59" i="17" l="1"/>
  <c r="AL61" i="18"/>
  <c r="CD38" i="6"/>
  <c r="J30" i="6"/>
  <c r="Z66" i="17"/>
  <c r="Z67" i="17" s="1"/>
  <c r="Z70" i="17" s="1"/>
  <c r="Z72" i="17" s="1"/>
  <c r="L2" i="19"/>
  <c r="L4" i="19" s="1"/>
  <c r="I4" i="19"/>
  <c r="M8" i="19" s="1"/>
  <c r="O2" i="19"/>
  <c r="J37" i="6"/>
  <c r="AO55" i="18"/>
  <c r="AM61" i="18" l="1"/>
  <c r="N8" i="19"/>
  <c r="L8" i="19"/>
  <c r="L5" i="19" s="1"/>
  <c r="K2" i="19"/>
  <c r="K3" i="19" s="1"/>
  <c r="P2" i="19"/>
  <c r="P8" i="19" s="1"/>
  <c r="O8" i="19"/>
  <c r="L3" i="19"/>
  <c r="M3" i="19"/>
  <c r="M4" i="19"/>
  <c r="AN61" i="18" l="1"/>
  <c r="K8" i="19"/>
  <c r="K4" i="19"/>
  <c r="L6" i="19"/>
  <c r="L7" i="19"/>
  <c r="M7" i="19"/>
  <c r="M6" i="19"/>
  <c r="M5" i="19"/>
  <c r="N3" i="19"/>
  <c r="N4" i="19"/>
  <c r="AO61" i="18" l="1"/>
  <c r="J38" i="6"/>
  <c r="K6" i="19"/>
  <c r="K5" i="19"/>
  <c r="K7" i="19"/>
  <c r="O4" i="19"/>
  <c r="O3" i="19"/>
  <c r="N7" i="19"/>
  <c r="N6" i="19"/>
  <c r="N5" i="19"/>
  <c r="P4" i="19" l="1"/>
  <c r="P3" i="19"/>
  <c r="O6" i="19"/>
  <c r="O5" i="19"/>
  <c r="O7" i="19"/>
  <c r="P7" i="19" l="1"/>
  <c r="P6" i="19"/>
  <c r="P5" i="19"/>
  <c r="AP47" i="18" l="1"/>
  <c r="AM47" i="18" s="1"/>
  <c r="AP48" i="18"/>
  <c r="AP46" i="18"/>
  <c r="AM46" i="18" s="1"/>
  <c r="AM29" i="18"/>
  <c r="CB22" i="6" s="1"/>
  <c r="AM35" i="18"/>
  <c r="AN35" i="18" s="1"/>
  <c r="AN43" i="18"/>
  <c r="AO43" i="18" s="1"/>
  <c r="AM43" i="18"/>
  <c r="AM42" i="18"/>
  <c r="AM44" i="18" s="1"/>
  <c r="AP43" i="18"/>
  <c r="AP42" i="18"/>
  <c r="AP39" i="18"/>
  <c r="AP36" i="18"/>
  <c r="AM36" i="18" s="1"/>
  <c r="AN36" i="18" s="1"/>
  <c r="AO36" i="18" s="1"/>
  <c r="AP35" i="18"/>
  <c r="AP29" i="18"/>
  <c r="AP30" i="18"/>
  <c r="AM30" i="18" s="1"/>
  <c r="AP31" i="18"/>
  <c r="AM31" i="18" s="1"/>
  <c r="AP28" i="18"/>
  <c r="AM28" i="18" s="1"/>
  <c r="AA20" i="18"/>
  <c r="AM21" i="18" s="1"/>
  <c r="AN16" i="18"/>
  <c r="CC14" i="6" s="1"/>
  <c r="AO16" i="18"/>
  <c r="CD14" i="6" s="1"/>
  <c r="AM16" i="18"/>
  <c r="CB14" i="6" s="1"/>
  <c r="AM15" i="18"/>
  <c r="CB13" i="6" s="1"/>
  <c r="AM14" i="18"/>
  <c r="CB12" i="6" s="1"/>
  <c r="AS20" i="18"/>
  <c r="AM39" i="18" s="1"/>
  <c r="AR18" i="18"/>
  <c r="AR20" i="18" s="1"/>
  <c r="AR17" i="18"/>
  <c r="AR19" i="18" s="1"/>
  <c r="AS13" i="18"/>
  <c r="AS10" i="18"/>
  <c r="AP13" i="18"/>
  <c r="AM13" i="18" s="1"/>
  <c r="AM18" i="18" s="1"/>
  <c r="AN17" i="18"/>
  <c r="CC15" i="6" s="1"/>
  <c r="AM17" i="18"/>
  <c r="CB15" i="6" s="1"/>
  <c r="AK61" i="18"/>
  <c r="AJ61" i="18"/>
  <c r="AI61" i="18"/>
  <c r="AH61" i="18"/>
  <c r="AG61" i="18"/>
  <c r="AF61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AL55" i="18"/>
  <c r="AK55" i="18"/>
  <c r="AJ55" i="18"/>
  <c r="AI55" i="18"/>
  <c r="AH55" i="18"/>
  <c r="AG55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AL44" i="18"/>
  <c r="CA27" i="6" s="1"/>
  <c r="AK44" i="18"/>
  <c r="BZ27" i="6" s="1"/>
  <c r="AJ44" i="18"/>
  <c r="BY27" i="6" s="1"/>
  <c r="AI44" i="18"/>
  <c r="BX27" i="6" s="1"/>
  <c r="AH44" i="18"/>
  <c r="BW27" i="6" s="1"/>
  <c r="AG44" i="18"/>
  <c r="BV27" i="6" s="1"/>
  <c r="AF44" i="18"/>
  <c r="BU27" i="6" s="1"/>
  <c r="AE44" i="18"/>
  <c r="BT27" i="6" s="1"/>
  <c r="AD44" i="18"/>
  <c r="BS27" i="6" s="1"/>
  <c r="AC44" i="18"/>
  <c r="BR27" i="6" s="1"/>
  <c r="AB44" i="18"/>
  <c r="BQ27" i="6" s="1"/>
  <c r="AA44" i="18"/>
  <c r="BP27" i="6" s="1"/>
  <c r="Z44" i="18"/>
  <c r="BO27" i="6" s="1"/>
  <c r="Y44" i="18"/>
  <c r="BN27" i="6" s="1"/>
  <c r="X44" i="18"/>
  <c r="BM27" i="6" s="1"/>
  <c r="W44" i="18"/>
  <c r="BL27" i="6" s="1"/>
  <c r="V44" i="18"/>
  <c r="BK27" i="6" s="1"/>
  <c r="U44" i="18"/>
  <c r="BJ27" i="6" s="1"/>
  <c r="T44" i="18"/>
  <c r="BI27" i="6" s="1"/>
  <c r="S44" i="18"/>
  <c r="BH27" i="6" s="1"/>
  <c r="R44" i="18"/>
  <c r="BG27" i="6" s="1"/>
  <c r="Q44" i="18"/>
  <c r="BF27" i="6" s="1"/>
  <c r="P44" i="18"/>
  <c r="BE27" i="6" s="1"/>
  <c r="O44" i="18"/>
  <c r="BD27" i="6" s="1"/>
  <c r="N44" i="18"/>
  <c r="BC27" i="6" s="1"/>
  <c r="M44" i="18"/>
  <c r="BB27" i="6" s="1"/>
  <c r="L44" i="18"/>
  <c r="BA27" i="6" s="1"/>
  <c r="K44" i="18"/>
  <c r="AZ27" i="6" s="1"/>
  <c r="J44" i="18"/>
  <c r="AY27" i="6" s="1"/>
  <c r="I44" i="18"/>
  <c r="AX27" i="6" s="1"/>
  <c r="H44" i="18"/>
  <c r="AW27" i="6" s="1"/>
  <c r="G44" i="18"/>
  <c r="AV27" i="6" s="1"/>
  <c r="F44" i="18"/>
  <c r="AU27" i="6" s="1"/>
  <c r="E44" i="18"/>
  <c r="AT27" i="6" s="1"/>
  <c r="D44" i="18"/>
  <c r="AS27" i="6" s="1"/>
  <c r="C44" i="18"/>
  <c r="AR27" i="6" s="1"/>
  <c r="AL37" i="18"/>
  <c r="CA25" i="6" s="1"/>
  <c r="AK37" i="18"/>
  <c r="BZ25" i="6" s="1"/>
  <c r="AJ37" i="18"/>
  <c r="BY25" i="6" s="1"/>
  <c r="AI37" i="18"/>
  <c r="BX25" i="6" s="1"/>
  <c r="AH37" i="18"/>
  <c r="BW25" i="6" s="1"/>
  <c r="AG37" i="18"/>
  <c r="BV25" i="6" s="1"/>
  <c r="AF37" i="18"/>
  <c r="BU25" i="6" s="1"/>
  <c r="AE37" i="18"/>
  <c r="BT25" i="6" s="1"/>
  <c r="AD37" i="18"/>
  <c r="BS25" i="6" s="1"/>
  <c r="AC37" i="18"/>
  <c r="BR25" i="6" s="1"/>
  <c r="AB37" i="18"/>
  <c r="BQ25" i="6" s="1"/>
  <c r="AA37" i="18"/>
  <c r="BP25" i="6" s="1"/>
  <c r="Z37" i="18"/>
  <c r="BO25" i="6" s="1"/>
  <c r="Y37" i="18"/>
  <c r="BN25" i="6" s="1"/>
  <c r="X37" i="18"/>
  <c r="BM25" i="6" s="1"/>
  <c r="W37" i="18"/>
  <c r="BL25" i="6" s="1"/>
  <c r="V37" i="18"/>
  <c r="BK25" i="6" s="1"/>
  <c r="U37" i="18"/>
  <c r="BJ25" i="6" s="1"/>
  <c r="T37" i="18"/>
  <c r="BI25" i="6" s="1"/>
  <c r="S37" i="18"/>
  <c r="BH25" i="6" s="1"/>
  <c r="R37" i="18"/>
  <c r="BG25" i="6" s="1"/>
  <c r="Q37" i="18"/>
  <c r="BF25" i="6" s="1"/>
  <c r="P37" i="18"/>
  <c r="BE25" i="6" s="1"/>
  <c r="O37" i="18"/>
  <c r="BD25" i="6" s="1"/>
  <c r="N37" i="18"/>
  <c r="BC25" i="6" s="1"/>
  <c r="M37" i="18"/>
  <c r="BB25" i="6" s="1"/>
  <c r="L37" i="18"/>
  <c r="BA25" i="6" s="1"/>
  <c r="K37" i="18"/>
  <c r="AZ25" i="6" s="1"/>
  <c r="J37" i="18"/>
  <c r="AY25" i="6" s="1"/>
  <c r="I37" i="18"/>
  <c r="AX25" i="6" s="1"/>
  <c r="H37" i="18"/>
  <c r="AW25" i="6" s="1"/>
  <c r="G37" i="18"/>
  <c r="AV25" i="6" s="1"/>
  <c r="F37" i="18"/>
  <c r="AU25" i="6" s="1"/>
  <c r="E37" i="18"/>
  <c r="AT25" i="6" s="1"/>
  <c r="D37" i="18"/>
  <c r="AS25" i="6" s="1"/>
  <c r="C37" i="18"/>
  <c r="AR25" i="6" s="1"/>
  <c r="AL32" i="18"/>
  <c r="CA20" i="6" s="1"/>
  <c r="CA31" i="6" s="1"/>
  <c r="AK32" i="18"/>
  <c r="BZ20" i="6" s="1"/>
  <c r="BZ31" i="6" s="1"/>
  <c r="AJ32" i="18"/>
  <c r="BY20" i="6" s="1"/>
  <c r="BY31" i="6" s="1"/>
  <c r="AI32" i="18"/>
  <c r="BX20" i="6" s="1"/>
  <c r="BX31" i="6" s="1"/>
  <c r="AH32" i="18"/>
  <c r="BW20" i="6" s="1"/>
  <c r="BW31" i="6" s="1"/>
  <c r="AG32" i="18"/>
  <c r="BV20" i="6" s="1"/>
  <c r="BV31" i="6" s="1"/>
  <c r="AF32" i="18"/>
  <c r="BU20" i="6" s="1"/>
  <c r="BU31" i="6" s="1"/>
  <c r="AE32" i="18"/>
  <c r="BT20" i="6" s="1"/>
  <c r="BT31" i="6" s="1"/>
  <c r="AD32" i="18"/>
  <c r="BS20" i="6" s="1"/>
  <c r="BS31" i="6" s="1"/>
  <c r="AC32" i="18"/>
  <c r="BR20" i="6" s="1"/>
  <c r="BR31" i="6" s="1"/>
  <c r="AB32" i="18"/>
  <c r="BQ20" i="6" s="1"/>
  <c r="BQ31" i="6" s="1"/>
  <c r="AA32" i="18"/>
  <c r="BP20" i="6" s="1"/>
  <c r="BP31" i="6" s="1"/>
  <c r="Z32" i="18"/>
  <c r="BO20" i="6" s="1"/>
  <c r="BO31" i="6" s="1"/>
  <c r="Y32" i="18"/>
  <c r="BN20" i="6" s="1"/>
  <c r="BN31" i="6" s="1"/>
  <c r="X32" i="18"/>
  <c r="BM20" i="6" s="1"/>
  <c r="BM31" i="6" s="1"/>
  <c r="W32" i="18"/>
  <c r="BL20" i="6" s="1"/>
  <c r="BL31" i="6" s="1"/>
  <c r="V32" i="18"/>
  <c r="BK20" i="6" s="1"/>
  <c r="BK31" i="6" s="1"/>
  <c r="U32" i="18"/>
  <c r="BJ20" i="6" s="1"/>
  <c r="BJ31" i="6" s="1"/>
  <c r="T32" i="18"/>
  <c r="BI20" i="6" s="1"/>
  <c r="BI31" i="6" s="1"/>
  <c r="S32" i="18"/>
  <c r="BH20" i="6" s="1"/>
  <c r="BH31" i="6" s="1"/>
  <c r="R32" i="18"/>
  <c r="BG20" i="6" s="1"/>
  <c r="BG31" i="6" s="1"/>
  <c r="Q32" i="18"/>
  <c r="BF20" i="6" s="1"/>
  <c r="BF31" i="6" s="1"/>
  <c r="P32" i="18"/>
  <c r="BE20" i="6" s="1"/>
  <c r="BE31" i="6" s="1"/>
  <c r="O32" i="18"/>
  <c r="BD20" i="6" s="1"/>
  <c r="BD31" i="6" s="1"/>
  <c r="N32" i="18"/>
  <c r="BC20" i="6" s="1"/>
  <c r="BC31" i="6" s="1"/>
  <c r="M32" i="18"/>
  <c r="BB20" i="6" s="1"/>
  <c r="BB31" i="6" s="1"/>
  <c r="L32" i="18"/>
  <c r="BA20" i="6" s="1"/>
  <c r="BA31" i="6" s="1"/>
  <c r="K32" i="18"/>
  <c r="AZ20" i="6" s="1"/>
  <c r="AZ31" i="6" s="1"/>
  <c r="J32" i="18"/>
  <c r="AY20" i="6" s="1"/>
  <c r="AY31" i="6" s="1"/>
  <c r="I32" i="18"/>
  <c r="AX20" i="6" s="1"/>
  <c r="AX31" i="6" s="1"/>
  <c r="H32" i="18"/>
  <c r="AW20" i="6" s="1"/>
  <c r="AW31" i="6" s="1"/>
  <c r="G32" i="18"/>
  <c r="AV20" i="6" s="1"/>
  <c r="AV31" i="6" s="1"/>
  <c r="F32" i="18"/>
  <c r="AU20" i="6" s="1"/>
  <c r="AU31" i="6" s="1"/>
  <c r="E32" i="18"/>
  <c r="AT20" i="6" s="1"/>
  <c r="AT31" i="6" s="1"/>
  <c r="D32" i="18"/>
  <c r="AS20" i="6" s="1"/>
  <c r="AS31" i="6" s="1"/>
  <c r="C32" i="18"/>
  <c r="AR20" i="6" s="1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M18" i="18"/>
  <c r="L18" i="18"/>
  <c r="K18" i="18"/>
  <c r="J18" i="18"/>
  <c r="I18" i="18"/>
  <c r="H18" i="18"/>
  <c r="G18" i="18"/>
  <c r="F18" i="18"/>
  <c r="E18" i="18"/>
  <c r="D18" i="18"/>
  <c r="C18" i="18"/>
  <c r="N17" i="18"/>
  <c r="CB26" i="6" l="1"/>
  <c r="AN39" i="18"/>
  <c r="CB24" i="6"/>
  <c r="AN31" i="18"/>
  <c r="CB27" i="6"/>
  <c r="AM24" i="18"/>
  <c r="AN21" i="18"/>
  <c r="CB17" i="6"/>
  <c r="AM22" i="18"/>
  <c r="AN30" i="18"/>
  <c r="CB23" i="6"/>
  <c r="AN28" i="18"/>
  <c r="CB21" i="6"/>
  <c r="AM37" i="18"/>
  <c r="CB25" i="6" s="1"/>
  <c r="AS16" i="18"/>
  <c r="AS18" i="18"/>
  <c r="AN15" i="18"/>
  <c r="AN42" i="18"/>
  <c r="AN46" i="18"/>
  <c r="CB28" i="6"/>
  <c r="N18" i="18"/>
  <c r="N24" i="18" s="1"/>
  <c r="BC15" i="6"/>
  <c r="AR31" i="6"/>
  <c r="AO17" i="18"/>
  <c r="CD15" i="6" s="1"/>
  <c r="AS12" i="18"/>
  <c r="AN14" i="18"/>
  <c r="J14" i="6"/>
  <c r="AN29" i="18"/>
  <c r="AN47" i="18"/>
  <c r="CB29" i="6"/>
  <c r="AN13" i="18"/>
  <c r="AO35" i="18"/>
  <c r="AO37" i="18" s="1"/>
  <c r="CD25" i="6" s="1"/>
  <c r="AN37" i="18"/>
  <c r="CC25" i="6" s="1"/>
  <c r="AJ49" i="18"/>
  <c r="Q24" i="18"/>
  <c r="AC24" i="18"/>
  <c r="AG24" i="18"/>
  <c r="AG51" i="18" s="1"/>
  <c r="AG57" i="18" s="1"/>
  <c r="AG63" i="18" s="1"/>
  <c r="AK24" i="18"/>
  <c r="U49" i="18"/>
  <c r="AF24" i="18"/>
  <c r="R24" i="18"/>
  <c r="V24" i="18"/>
  <c r="Z24" i="18"/>
  <c r="F49" i="18"/>
  <c r="F24" i="18"/>
  <c r="F51" i="18" s="1"/>
  <c r="F57" i="18" s="1"/>
  <c r="F63" i="18" s="1"/>
  <c r="Q49" i="18"/>
  <c r="Y49" i="18"/>
  <c r="AB49" i="18"/>
  <c r="AF49" i="18"/>
  <c r="AF51" i="18" s="1"/>
  <c r="AF57" i="18" s="1"/>
  <c r="AF63" i="18" s="1"/>
  <c r="C24" i="18"/>
  <c r="G24" i="18"/>
  <c r="K24" i="18"/>
  <c r="J49" i="18"/>
  <c r="N49" i="18"/>
  <c r="J24" i="18"/>
  <c r="U24" i="18"/>
  <c r="U51" i="18" s="1"/>
  <c r="U57" i="18" s="1"/>
  <c r="U63" i="18" s="1"/>
  <c r="Y24" i="18"/>
  <c r="Y51" i="18" s="1"/>
  <c r="Y57" i="18" s="1"/>
  <c r="Y63" i="18" s="1"/>
  <c r="AB24" i="18"/>
  <c r="AJ24" i="18"/>
  <c r="AJ51" i="18" s="1"/>
  <c r="AJ57" i="18" s="1"/>
  <c r="AJ63" i="18" s="1"/>
  <c r="I49" i="18"/>
  <c r="X49" i="18"/>
  <c r="AE49" i="18"/>
  <c r="D24" i="18"/>
  <c r="H24" i="18"/>
  <c r="L24" i="18"/>
  <c r="O24" i="18"/>
  <c r="S24" i="18"/>
  <c r="W24" i="18"/>
  <c r="AD24" i="18"/>
  <c r="AH24" i="18"/>
  <c r="AL24" i="18"/>
  <c r="Q51" i="18"/>
  <c r="Q57" i="18" s="1"/>
  <c r="Q63" i="18" s="1"/>
  <c r="E49" i="18"/>
  <c r="P49" i="18"/>
  <c r="AI49" i="18"/>
  <c r="E24" i="18"/>
  <c r="I24" i="18"/>
  <c r="I51" i="18" s="1"/>
  <c r="I57" i="18" s="1"/>
  <c r="I63" i="18" s="1"/>
  <c r="M24" i="18"/>
  <c r="P24" i="18"/>
  <c r="T24" i="18"/>
  <c r="X24" i="18"/>
  <c r="X51" i="18" s="1"/>
  <c r="X57" i="18" s="1"/>
  <c r="X63" i="18" s="1"/>
  <c r="AA24" i="18"/>
  <c r="AE24" i="18"/>
  <c r="AE51" i="18" s="1"/>
  <c r="AE57" i="18" s="1"/>
  <c r="AE63" i="18" s="1"/>
  <c r="AI24" i="18"/>
  <c r="C49" i="18"/>
  <c r="C51" i="18" s="1"/>
  <c r="C57" i="18" s="1"/>
  <c r="C63" i="18" s="1"/>
  <c r="G49" i="18"/>
  <c r="G51" i="18" s="1"/>
  <c r="G57" i="18" s="1"/>
  <c r="G63" i="18" s="1"/>
  <c r="K49" i="18"/>
  <c r="R49" i="18"/>
  <c r="V49" i="18"/>
  <c r="V51" i="18" s="1"/>
  <c r="V57" i="18" s="1"/>
  <c r="V63" i="18" s="1"/>
  <c r="Z49" i="18"/>
  <c r="Z51" i="18" s="1"/>
  <c r="Z57" i="18" s="1"/>
  <c r="Z63" i="18" s="1"/>
  <c r="AC49" i="18"/>
  <c r="AG49" i="18"/>
  <c r="AK49" i="18"/>
  <c r="AK51" i="18" s="1"/>
  <c r="AK57" i="18" s="1"/>
  <c r="AK63" i="18" s="1"/>
  <c r="M49" i="18"/>
  <c r="T49" i="18"/>
  <c r="AA49" i="18"/>
  <c r="N51" i="18"/>
  <c r="N57" i="18" s="1"/>
  <c r="N63" i="18" s="1"/>
  <c r="D49" i="18"/>
  <c r="H49" i="18"/>
  <c r="L49" i="18"/>
  <c r="O49" i="18"/>
  <c r="O51" i="18" s="1"/>
  <c r="O57" i="18" s="1"/>
  <c r="O63" i="18" s="1"/>
  <c r="S49" i="18"/>
  <c r="W49" i="18"/>
  <c r="AD49" i="18"/>
  <c r="AH49" i="18"/>
  <c r="AL49" i="18"/>
  <c r="AL51" i="18" s="1"/>
  <c r="AL57" i="18" s="1"/>
  <c r="AL63" i="18" s="1"/>
  <c r="K5" i="17"/>
  <c r="K4" i="17"/>
  <c r="P58" i="17"/>
  <c r="P59" i="17" s="1"/>
  <c r="P60" i="17" s="1"/>
  <c r="P61" i="17" s="1"/>
  <c r="P62" i="17" s="1"/>
  <c r="P63" i="17" s="1"/>
  <c r="P64" i="17" s="1"/>
  <c r="P65" i="17" s="1"/>
  <c r="P66" i="17" s="1"/>
  <c r="U37" i="17"/>
  <c r="V37" i="17" s="1"/>
  <c r="W37" i="17" s="1"/>
  <c r="X37" i="17" s="1"/>
  <c r="Y37" i="17" s="1"/>
  <c r="Z37" i="17" s="1"/>
  <c r="S51" i="17"/>
  <c r="U51" i="17"/>
  <c r="V51" i="17"/>
  <c r="W51" i="17"/>
  <c r="X51" i="17"/>
  <c r="Y51" i="17"/>
  <c r="Z51" i="17"/>
  <c r="AA51" i="17"/>
  <c r="R51" i="17"/>
  <c r="C2" i="17"/>
  <c r="G2" i="17"/>
  <c r="E4" i="17"/>
  <c r="E5" i="17" s="1"/>
  <c r="E6" i="17" s="1"/>
  <c r="C5" i="17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4" i="17"/>
  <c r="B4" i="17"/>
  <c r="B5" i="17" s="1"/>
  <c r="J5" i="17" s="1"/>
  <c r="AC45" i="17"/>
  <c r="AD45" i="17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J25" i="6" l="1"/>
  <c r="CC22" i="6"/>
  <c r="AO29" i="18"/>
  <c r="CD22" i="6" s="1"/>
  <c r="W51" i="18"/>
  <c r="W57" i="18" s="1"/>
  <c r="W63" i="18" s="1"/>
  <c r="H51" i="18"/>
  <c r="H57" i="18" s="1"/>
  <c r="H63" i="18" s="1"/>
  <c r="AC51" i="18"/>
  <c r="AC57" i="18" s="1"/>
  <c r="AC63" i="18" s="1"/>
  <c r="K51" i="18"/>
  <c r="K57" i="18" s="1"/>
  <c r="K63" i="18" s="1"/>
  <c r="J15" i="6"/>
  <c r="CC26" i="6"/>
  <c r="AO39" i="18"/>
  <c r="CD26" i="6" s="1"/>
  <c r="J26" i="6" s="1"/>
  <c r="AO47" i="18"/>
  <c r="CD29" i="6" s="1"/>
  <c r="CC29" i="6"/>
  <c r="AO42" i="18"/>
  <c r="AO44" i="18" s="1"/>
  <c r="AN44" i="18"/>
  <c r="AO21" i="18"/>
  <c r="CC17" i="6"/>
  <c r="AT18" i="5" s="1"/>
  <c r="AN22" i="18"/>
  <c r="AO31" i="18"/>
  <c r="CD24" i="6" s="1"/>
  <c r="CC24" i="6"/>
  <c r="AO46" i="18"/>
  <c r="CD28" i="6" s="1"/>
  <c r="CC28" i="6"/>
  <c r="CC13" i="6"/>
  <c r="AO15" i="18"/>
  <c r="CD13" i="6" s="1"/>
  <c r="AO30" i="18"/>
  <c r="CD23" i="6" s="1"/>
  <c r="CC23" i="6"/>
  <c r="AO14" i="18"/>
  <c r="CD12" i="6" s="1"/>
  <c r="CC12" i="6"/>
  <c r="AO28" i="18"/>
  <c r="CD21" i="6" s="1"/>
  <c r="CC21" i="6"/>
  <c r="AS18" i="5"/>
  <c r="B6" i="17"/>
  <c r="J6" i="17" s="1"/>
  <c r="J4" i="17"/>
  <c r="AN18" i="18"/>
  <c r="AN24" i="18" s="1"/>
  <c r="AO13" i="18"/>
  <c r="AO18" i="18" s="1"/>
  <c r="AM32" i="18"/>
  <c r="CB20" i="6" s="1"/>
  <c r="L51" i="18"/>
  <c r="L57" i="18" s="1"/>
  <c r="L63" i="18" s="1"/>
  <c r="AD51" i="18"/>
  <c r="AD57" i="18" s="1"/>
  <c r="AD63" i="18" s="1"/>
  <c r="AB51" i="18"/>
  <c r="AB57" i="18" s="1"/>
  <c r="AB63" i="18" s="1"/>
  <c r="R51" i="18"/>
  <c r="R57" i="18" s="1"/>
  <c r="R63" i="18" s="1"/>
  <c r="E51" i="18"/>
  <c r="E57" i="18" s="1"/>
  <c r="E63" i="18" s="1"/>
  <c r="J51" i="18"/>
  <c r="J57" i="18" s="1"/>
  <c r="J63" i="18" s="1"/>
  <c r="P51" i="18"/>
  <c r="P57" i="18" s="1"/>
  <c r="P63" i="18" s="1"/>
  <c r="AH51" i="18"/>
  <c r="AH57" i="18" s="1"/>
  <c r="AH63" i="18" s="1"/>
  <c r="S51" i="18"/>
  <c r="S57" i="18" s="1"/>
  <c r="S63" i="18" s="1"/>
  <c r="D51" i="18"/>
  <c r="D57" i="18" s="1"/>
  <c r="D63" i="18" s="1"/>
  <c r="AA51" i="18"/>
  <c r="AA57" i="18" s="1"/>
  <c r="AA63" i="18" s="1"/>
  <c r="M51" i="18"/>
  <c r="M57" i="18" s="1"/>
  <c r="M63" i="18" s="1"/>
  <c r="AI51" i="18"/>
  <c r="AI57" i="18" s="1"/>
  <c r="AI63" i="18" s="1"/>
  <c r="T51" i="18"/>
  <c r="T57" i="18" s="1"/>
  <c r="T63" i="18" s="1"/>
  <c r="E7" i="17"/>
  <c r="K6" i="17"/>
  <c r="B7" i="17"/>
  <c r="B8" i="17" s="1"/>
  <c r="J29" i="6" l="1"/>
  <c r="J23" i="6"/>
  <c r="J28" i="6"/>
  <c r="J24" i="6"/>
  <c r="J21" i="6"/>
  <c r="J12" i="6"/>
  <c r="CD17" i="6"/>
  <c r="AU18" i="5" s="1"/>
  <c r="AO22" i="18"/>
  <c r="J13" i="6"/>
  <c r="AM49" i="18"/>
  <c r="AM51" i="18" s="1"/>
  <c r="AM57" i="18" s="1"/>
  <c r="AM63" i="18" s="1"/>
  <c r="J22" i="6"/>
  <c r="CB31" i="6"/>
  <c r="CD27" i="6"/>
  <c r="AO24" i="18"/>
  <c r="AN51" i="18"/>
  <c r="AN57" i="18" s="1"/>
  <c r="AN63" i="18" s="1"/>
  <c r="CC27" i="6"/>
  <c r="AN49" i="18"/>
  <c r="J7" i="17"/>
  <c r="AN32" i="18"/>
  <c r="CC20" i="6" s="1"/>
  <c r="AO32" i="18"/>
  <c r="CD20" i="6" s="1"/>
  <c r="E8" i="17"/>
  <c r="K7" i="17"/>
  <c r="B9" i="17"/>
  <c r="J8" i="17"/>
  <c r="Y45" i="17"/>
  <c r="Z45" i="17"/>
  <c r="AA45" i="17"/>
  <c r="AB45" i="17"/>
  <c r="S45" i="17"/>
  <c r="U45" i="17"/>
  <c r="V45" i="17"/>
  <c r="W45" i="17"/>
  <c r="X45" i="17"/>
  <c r="S20" i="17"/>
  <c r="S36" i="17"/>
  <c r="R36" i="17" s="1"/>
  <c r="Q36" i="17" s="1"/>
  <c r="V36" i="17"/>
  <c r="W36" i="17" s="1"/>
  <c r="X36" i="17" s="1"/>
  <c r="Y36" i="17" s="1"/>
  <c r="Z36" i="17" s="1"/>
  <c r="P35" i="17"/>
  <c r="R34" i="17"/>
  <c r="S34" i="17" s="1"/>
  <c r="R33" i="17"/>
  <c r="S33" i="17" s="1"/>
  <c r="U33" i="17" s="1"/>
  <c r="V33" i="17" s="1"/>
  <c r="W33" i="17" s="1"/>
  <c r="X33" i="17" s="1"/>
  <c r="V42" i="17"/>
  <c r="W42" i="17" s="1"/>
  <c r="V41" i="17"/>
  <c r="J27" i="6" l="1"/>
  <c r="CD31" i="6"/>
  <c r="J17" i="6"/>
  <c r="CC31" i="6"/>
  <c r="J31" i="6" s="1"/>
  <c r="J20" i="6"/>
  <c r="AO49" i="18"/>
  <c r="AO51" i="18" s="1"/>
  <c r="AO57" i="18" s="1"/>
  <c r="AO63" i="18" s="1"/>
  <c r="AP63" i="18" s="1"/>
  <c r="I39" i="19" s="1"/>
  <c r="E9" i="17"/>
  <c r="K8" i="17"/>
  <c r="B10" i="17"/>
  <c r="J9" i="17"/>
  <c r="Y33" i="17"/>
  <c r="Z33" i="17" s="1"/>
  <c r="U20" i="17"/>
  <c r="F4" i="17"/>
  <c r="S35" i="17"/>
  <c r="U34" i="17"/>
  <c r="V34" i="17" s="1"/>
  <c r="R35" i="17"/>
  <c r="Q35" i="17"/>
  <c r="S21" i="17"/>
  <c r="W40" i="17"/>
  <c r="X40" i="17" s="1"/>
  <c r="Y40" i="17" s="1"/>
  <c r="W41" i="17"/>
  <c r="X41" i="17" s="1"/>
  <c r="Y41" i="17" s="1"/>
  <c r="B11" i="17" l="1"/>
  <c r="J10" i="17"/>
  <c r="E10" i="17"/>
  <c r="K9" i="17"/>
  <c r="F5" i="17"/>
  <c r="U21" i="17"/>
  <c r="G4" i="17"/>
  <c r="G5" i="17" s="1"/>
  <c r="G6" i="17" s="1"/>
  <c r="G7" i="17" s="1"/>
  <c r="G8" i="17" s="1"/>
  <c r="G9" i="17" s="1"/>
  <c r="G10" i="17" s="1"/>
  <c r="G11" i="17" s="1"/>
  <c r="G12" i="17" s="1"/>
  <c r="W34" i="17"/>
  <c r="V35" i="17"/>
  <c r="U35" i="17"/>
  <c r="P19" i="17"/>
  <c r="G13" i="17" l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64" i="17" s="1"/>
  <c r="G65" i="17" s="1"/>
  <c r="G66" i="17" s="1"/>
  <c r="G67" i="17" s="1"/>
  <c r="G68" i="17" s="1"/>
  <c r="G69" i="17" s="1"/>
  <c r="G70" i="17" s="1"/>
  <c r="G71" i="17" s="1"/>
  <c r="G72" i="17" s="1"/>
  <c r="G73" i="17" s="1"/>
  <c r="G74" i="17" s="1"/>
  <c r="G75" i="17" s="1"/>
  <c r="G76" i="17" s="1"/>
  <c r="G77" i="17" s="1"/>
  <c r="G78" i="17" s="1"/>
  <c r="E11" i="17"/>
  <c r="K10" i="17"/>
  <c r="B12" i="17"/>
  <c r="J11" i="17"/>
  <c r="H4" i="17"/>
  <c r="F6" i="17"/>
  <c r="H5" i="17"/>
  <c r="X34" i="17"/>
  <c r="W35" i="17"/>
  <c r="B13" i="17" l="1"/>
  <c r="J12" i="17"/>
  <c r="E12" i="17"/>
  <c r="K11" i="17"/>
  <c r="F7" i="17"/>
  <c r="H6" i="17"/>
  <c r="Y34" i="17"/>
  <c r="X35" i="17"/>
  <c r="C341" i="16"/>
  <c r="E334" i="16"/>
  <c r="F334" i="16" s="1"/>
  <c r="G334" i="16" s="1"/>
  <c r="H334" i="16" s="1"/>
  <c r="I334" i="16" s="1"/>
  <c r="C328" i="16"/>
  <c r="C327" i="16"/>
  <c r="C307" i="16"/>
  <c r="C308" i="16"/>
  <c r="C309" i="16"/>
  <c r="C310" i="16"/>
  <c r="C311" i="16"/>
  <c r="C306" i="16"/>
  <c r="C305" i="16"/>
  <c r="M248" i="16"/>
  <c r="N246" i="16" s="1"/>
  <c r="M253" i="16"/>
  <c r="N251" i="16" s="1"/>
  <c r="G38" i="13"/>
  <c r="F38" i="13"/>
  <c r="F37" i="13"/>
  <c r="F36" i="13"/>
  <c r="F35" i="13"/>
  <c r="E13" i="17" l="1"/>
  <c r="K12" i="17"/>
  <c r="B14" i="17"/>
  <c r="J13" i="17"/>
  <c r="F8" i="17"/>
  <c r="H7" i="17"/>
  <c r="Z34" i="17"/>
  <c r="Y35" i="17"/>
  <c r="N247" i="16"/>
  <c r="N250" i="16"/>
  <c r="E193" i="16"/>
  <c r="G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B234" i="16"/>
  <c r="G114" i="5"/>
  <c r="G112" i="5"/>
  <c r="G133" i="5"/>
  <c r="G109" i="5"/>
  <c r="G130" i="5"/>
  <c r="B15" i="17" l="1"/>
  <c r="J14" i="17"/>
  <c r="E14" i="17"/>
  <c r="K13" i="17"/>
  <c r="F9" i="17"/>
  <c r="H8" i="17"/>
  <c r="E15" i="17" l="1"/>
  <c r="K14" i="17"/>
  <c r="B16" i="17"/>
  <c r="J15" i="17"/>
  <c r="F10" i="17"/>
  <c r="H9" i="17"/>
  <c r="A116" i="5"/>
  <c r="A115" i="5"/>
  <c r="S54" i="4" s="1"/>
  <c r="G115" i="5"/>
  <c r="A114" i="5"/>
  <c r="S53" i="4" s="1"/>
  <c r="A113" i="5"/>
  <c r="A112" i="5"/>
  <c r="A111" i="5"/>
  <c r="A110" i="5"/>
  <c r="S51" i="4" s="1"/>
  <c r="A109" i="5"/>
  <c r="S49" i="4" s="1"/>
  <c r="A108" i="5"/>
  <c r="S48" i="4" s="1"/>
  <c r="A107" i="5"/>
  <c r="A106" i="5"/>
  <c r="AI52" i="4" s="1"/>
  <c r="E16" i="17" l="1"/>
  <c r="K15" i="17"/>
  <c r="B17" i="17"/>
  <c r="J16" i="17"/>
  <c r="F11" i="17"/>
  <c r="H10" i="17"/>
  <c r="K114" i="5"/>
  <c r="E17" i="17" l="1"/>
  <c r="K16" i="17"/>
  <c r="B18" i="17"/>
  <c r="J17" i="17"/>
  <c r="F12" i="17"/>
  <c r="F13" i="17" s="1"/>
  <c r="H11" i="17"/>
  <c r="J114" i="5"/>
  <c r="K113" i="5"/>
  <c r="E18" i="17" l="1"/>
  <c r="K17" i="17"/>
  <c r="B19" i="17"/>
  <c r="J18" i="17"/>
  <c r="H12" i="17"/>
  <c r="K116" i="5"/>
  <c r="B20" i="17" l="1"/>
  <c r="J19" i="17"/>
  <c r="E19" i="17"/>
  <c r="K18" i="17"/>
  <c r="F14" i="17"/>
  <c r="H13" i="17"/>
  <c r="E138" i="16"/>
  <c r="C138" i="16" s="1"/>
  <c r="F138" i="16"/>
  <c r="D138" i="16" s="1"/>
  <c r="C119" i="16"/>
  <c r="B121" i="16"/>
  <c r="B122" i="16"/>
  <c r="B123" i="16"/>
  <c r="B125" i="16"/>
  <c r="B126" i="16"/>
  <c r="B127" i="16"/>
  <c r="B128" i="16"/>
  <c r="E105" i="16"/>
  <c r="E119" i="16" s="1"/>
  <c r="B110" i="16"/>
  <c r="C95" i="16"/>
  <c r="C92" i="16"/>
  <c r="D83" i="16"/>
  <c r="D84" i="16"/>
  <c r="D85" i="16"/>
  <c r="C74" i="16"/>
  <c r="C93" i="16" s="1"/>
  <c r="D74" i="16"/>
  <c r="D93" i="16" s="1"/>
  <c r="B75" i="16"/>
  <c r="J69" i="16"/>
  <c r="K69" i="16" s="1"/>
  <c r="K68" i="16"/>
  <c r="C20" i="16"/>
  <c r="C3" i="16"/>
  <c r="D3" i="16"/>
  <c r="E3" i="16"/>
  <c r="F3" i="16"/>
  <c r="G3" i="16"/>
  <c r="H3" i="16"/>
  <c r="B4" i="16"/>
  <c r="C4" i="16"/>
  <c r="D4" i="16"/>
  <c r="E20" i="17" l="1"/>
  <c r="K19" i="17"/>
  <c r="B21" i="17"/>
  <c r="J20" i="17"/>
  <c r="F15" i="17"/>
  <c r="H14" i="17"/>
  <c r="D95" i="16"/>
  <c r="E21" i="17" l="1"/>
  <c r="K20" i="17"/>
  <c r="B22" i="17"/>
  <c r="J21" i="17"/>
  <c r="F16" i="17"/>
  <c r="H15" i="17"/>
  <c r="P15" i="4"/>
  <c r="AH7" i="4"/>
  <c r="AH8" i="4" s="1"/>
  <c r="L12" i="4"/>
  <c r="R51" i="4"/>
  <c r="B124" i="16" s="1"/>
  <c r="R39" i="4"/>
  <c r="B113" i="16" s="1"/>
  <c r="R38" i="4"/>
  <c r="B112" i="16" s="1"/>
  <c r="R37" i="4"/>
  <c r="B111" i="16" s="1"/>
  <c r="R35" i="4"/>
  <c r="B109" i="16" s="1"/>
  <c r="R34" i="4"/>
  <c r="B108" i="16" s="1"/>
  <c r="R33" i="4"/>
  <c r="B107" i="16" s="1"/>
  <c r="B16" i="5"/>
  <c r="T25" i="4"/>
  <c r="A39" i="5"/>
  <c r="A40" i="5"/>
  <c r="A41" i="5"/>
  <c r="A38" i="5"/>
  <c r="G91" i="5"/>
  <c r="I91" i="5" s="1"/>
  <c r="A95" i="5"/>
  <c r="S35" i="4" s="1"/>
  <c r="A96" i="5"/>
  <c r="A94" i="5"/>
  <c r="A93" i="5"/>
  <c r="A92" i="5"/>
  <c r="A91" i="5"/>
  <c r="A90" i="5"/>
  <c r="A89" i="5"/>
  <c r="G123" i="5"/>
  <c r="A125" i="5"/>
  <c r="A126" i="5"/>
  <c r="A127" i="5"/>
  <c r="A128" i="5"/>
  <c r="A88" i="5"/>
  <c r="S34" i="4" s="1"/>
  <c r="A99" i="5"/>
  <c r="A98" i="5"/>
  <c r="S38" i="4" s="1"/>
  <c r="A97" i="5"/>
  <c r="S37" i="4" s="1"/>
  <c r="A81" i="5"/>
  <c r="S33" i="4" s="1"/>
  <c r="A80" i="5"/>
  <c r="A82" i="5"/>
  <c r="A83" i="5"/>
  <c r="A84" i="5"/>
  <c r="A85" i="5"/>
  <c r="A86" i="5"/>
  <c r="A87" i="5"/>
  <c r="A130" i="5"/>
  <c r="T49" i="4" s="1"/>
  <c r="A131" i="5"/>
  <c r="A132" i="5"/>
  <c r="G85" i="5"/>
  <c r="G92" i="5" s="1"/>
  <c r="A133" i="5"/>
  <c r="A129" i="5"/>
  <c r="T48" i="4" s="1"/>
  <c r="B23" i="17" l="1"/>
  <c r="J22" i="17"/>
  <c r="E22" i="17"/>
  <c r="K21" i="17"/>
  <c r="F17" i="17"/>
  <c r="H16" i="17"/>
  <c r="AH9" i="4"/>
  <c r="B194" i="16"/>
  <c r="C25" i="5"/>
  <c r="B122" i="9"/>
  <c r="B125" i="9" s="1"/>
  <c r="B128" i="9" s="1"/>
  <c r="B131" i="9" s="1"/>
  <c r="B134" i="9" s="1"/>
  <c r="B137" i="9" s="1"/>
  <c r="B140" i="9" s="1"/>
  <c r="B143" i="9" s="1"/>
  <c r="B146" i="9" s="1"/>
  <c r="B149" i="9" s="1"/>
  <c r="B152" i="9" s="1"/>
  <c r="B155" i="9" s="1"/>
  <c r="B158" i="9" s="1"/>
  <c r="B161" i="9" s="1"/>
  <c r="B164" i="9" s="1"/>
  <c r="B167" i="9" s="1"/>
  <c r="B170" i="9" s="1"/>
  <c r="B173" i="9" s="1"/>
  <c r="B123" i="9"/>
  <c r="B124" i="9"/>
  <c r="B127" i="9" s="1"/>
  <c r="B130" i="9" s="1"/>
  <c r="B133" i="9" s="1"/>
  <c r="B136" i="9" s="1"/>
  <c r="B139" i="9" s="1"/>
  <c r="B142" i="9" s="1"/>
  <c r="B145" i="9" s="1"/>
  <c r="B148" i="9" s="1"/>
  <c r="B151" i="9" s="1"/>
  <c r="B154" i="9" s="1"/>
  <c r="B157" i="9" s="1"/>
  <c r="B160" i="9" s="1"/>
  <c r="B163" i="9" s="1"/>
  <c r="B166" i="9" s="1"/>
  <c r="B169" i="9" s="1"/>
  <c r="B172" i="9" s="1"/>
  <c r="B126" i="9"/>
  <c r="B129" i="9" s="1"/>
  <c r="B132" i="9" s="1"/>
  <c r="B135" i="9" s="1"/>
  <c r="B138" i="9" s="1"/>
  <c r="B141" i="9" s="1"/>
  <c r="B144" i="9" s="1"/>
  <c r="B147" i="9" s="1"/>
  <c r="B150" i="9" s="1"/>
  <c r="B153" i="9" s="1"/>
  <c r="B156" i="9" s="1"/>
  <c r="B159" i="9" s="1"/>
  <c r="B162" i="9" s="1"/>
  <c r="B165" i="9" s="1"/>
  <c r="B168" i="9" s="1"/>
  <c r="B171" i="9" s="1"/>
  <c r="G55" i="4"/>
  <c r="C80" i="16" s="1"/>
  <c r="G54" i="4"/>
  <c r="C79" i="16" s="1"/>
  <c r="G53" i="4"/>
  <c r="C78" i="16" s="1"/>
  <c r="G52" i="4"/>
  <c r="C77" i="16" s="1"/>
  <c r="E23" i="17" l="1"/>
  <c r="K22" i="17"/>
  <c r="B24" i="17"/>
  <c r="J23" i="17"/>
  <c r="F18" i="17"/>
  <c r="H17" i="17"/>
  <c r="AH10" i="4"/>
  <c r="B195" i="16"/>
  <c r="E39" i="4"/>
  <c r="E24" i="17" l="1"/>
  <c r="K23" i="17"/>
  <c r="B25" i="17"/>
  <c r="J24" i="17"/>
  <c r="F19" i="17"/>
  <c r="H18" i="17"/>
  <c r="AH11" i="4"/>
  <c r="B196" i="16"/>
  <c r="C94" i="16"/>
  <c r="D94" i="16" s="1"/>
  <c r="E4" i="16"/>
  <c r="H55" i="4"/>
  <c r="D80" i="16" s="1"/>
  <c r="G58" i="4"/>
  <c r="C83" i="16" s="1"/>
  <c r="G59" i="4"/>
  <c r="C84" i="16" s="1"/>
  <c r="G60" i="4"/>
  <c r="C85" i="16" s="1"/>
  <c r="H57" i="4"/>
  <c r="H56" i="4"/>
  <c r="D81" i="16" s="1"/>
  <c r="K11" i="14"/>
  <c r="K10" i="14"/>
  <c r="G50" i="4"/>
  <c r="B26" i="17" l="1"/>
  <c r="J25" i="17"/>
  <c r="E25" i="17"/>
  <c r="K24" i="17"/>
  <c r="F20" i="17"/>
  <c r="H19" i="17"/>
  <c r="AH12" i="4"/>
  <c r="B197" i="16"/>
  <c r="G97" i="5"/>
  <c r="G98" i="5" s="1"/>
  <c r="C75" i="16"/>
  <c r="G57" i="4"/>
  <c r="C82" i="16" s="1"/>
  <c r="D82" i="16"/>
  <c r="K97" i="5"/>
  <c r="E15" i="14"/>
  <c r="E16" i="14" s="1"/>
  <c r="E17" i="14" s="1"/>
  <c r="E18" i="14" s="1"/>
  <c r="G11" i="14"/>
  <c r="F11" i="14"/>
  <c r="G10" i="14"/>
  <c r="G15" i="14" s="1"/>
  <c r="G16" i="14" s="1"/>
  <c r="G17" i="14" s="1"/>
  <c r="G18" i="14" s="1"/>
  <c r="F10" i="14"/>
  <c r="F15" i="14" s="1"/>
  <c r="F16" i="14" s="1"/>
  <c r="F17" i="14" s="1"/>
  <c r="F18" i="14" s="1"/>
  <c r="G8" i="14"/>
  <c r="F8" i="14"/>
  <c r="G7" i="14"/>
  <c r="F7" i="14"/>
  <c r="E7" i="14"/>
  <c r="B27" i="17" l="1"/>
  <c r="J26" i="17"/>
  <c r="E26" i="17"/>
  <c r="K25" i="17"/>
  <c r="F21" i="17"/>
  <c r="H20" i="17"/>
  <c r="AH13" i="4"/>
  <c r="B198" i="16"/>
  <c r="J97" i="5"/>
  <c r="K96" i="5"/>
  <c r="K31" i="4"/>
  <c r="K33" i="4" s="1"/>
  <c r="K30" i="4"/>
  <c r="K32" i="4" s="1"/>
  <c r="H22" i="4"/>
  <c r="G10" i="13"/>
  <c r="G11" i="13"/>
  <c r="G3" i="13"/>
  <c r="H3" i="13" s="1"/>
  <c r="H4" i="13"/>
  <c r="H5" i="13"/>
  <c r="H7" i="13"/>
  <c r="H8" i="13"/>
  <c r="N3" i="13"/>
  <c r="O3" i="13" s="1"/>
  <c r="L3" i="13"/>
  <c r="M3" i="13" s="1"/>
  <c r="K3" i="13"/>
  <c r="D6" i="13"/>
  <c r="H21" i="4" s="1"/>
  <c r="H31" i="4"/>
  <c r="E27" i="17" l="1"/>
  <c r="K26" i="17"/>
  <c r="B28" i="17"/>
  <c r="J27" i="17"/>
  <c r="F22" i="17"/>
  <c r="H21" i="17"/>
  <c r="AH14" i="4"/>
  <c r="B199" i="16"/>
  <c r="D9" i="13"/>
  <c r="H6" i="13"/>
  <c r="B29" i="17" l="1"/>
  <c r="J28" i="17"/>
  <c r="E28" i="17"/>
  <c r="K27" i="17"/>
  <c r="F23" i="17"/>
  <c r="F24" i="17" s="1"/>
  <c r="H22" i="17"/>
  <c r="AH15" i="4"/>
  <c r="B200" i="16"/>
  <c r="E29" i="17" l="1"/>
  <c r="K28" i="17"/>
  <c r="B30" i="17"/>
  <c r="J29" i="17"/>
  <c r="H23" i="17"/>
  <c r="AH16" i="4"/>
  <c r="B201" i="16"/>
  <c r="E30" i="17" l="1"/>
  <c r="K29" i="17"/>
  <c r="B31" i="17"/>
  <c r="J30" i="17"/>
  <c r="F25" i="17"/>
  <c r="H24" i="17"/>
  <c r="AH17" i="4"/>
  <c r="B202" i="16"/>
  <c r="B32" i="17" l="1"/>
  <c r="J31" i="17"/>
  <c r="E31" i="17"/>
  <c r="K30" i="17"/>
  <c r="F26" i="17"/>
  <c r="H25" i="17"/>
  <c r="AH18" i="4"/>
  <c r="B203" i="16"/>
  <c r="E32" i="17" l="1"/>
  <c r="K31" i="17"/>
  <c r="B33" i="17"/>
  <c r="J32" i="17"/>
  <c r="F27" i="17"/>
  <c r="H26" i="17"/>
  <c r="AH19" i="4"/>
  <c r="B204" i="16"/>
  <c r="G69" i="5"/>
  <c r="E33" i="17" l="1"/>
  <c r="K32" i="17"/>
  <c r="B34" i="17"/>
  <c r="J33" i="17"/>
  <c r="F28" i="17"/>
  <c r="H27" i="17"/>
  <c r="AH20" i="4"/>
  <c r="B205" i="16"/>
  <c r="H6" i="4"/>
  <c r="B35" i="17" l="1"/>
  <c r="J34" i="17"/>
  <c r="E34" i="17"/>
  <c r="K33" i="17"/>
  <c r="F29" i="17"/>
  <c r="H28" i="17"/>
  <c r="AH21" i="4"/>
  <c r="B206" i="16"/>
  <c r="F41" i="4"/>
  <c r="B36" i="17" l="1"/>
  <c r="J35" i="17"/>
  <c r="E35" i="17"/>
  <c r="K34" i="17"/>
  <c r="F30" i="17"/>
  <c r="H29" i="17"/>
  <c r="AH22" i="4"/>
  <c r="B207" i="16"/>
  <c r="AI51" i="4"/>
  <c r="S46" i="4"/>
  <c r="T46" i="4" s="1"/>
  <c r="E36" i="17" l="1"/>
  <c r="K35" i="17"/>
  <c r="B37" i="17"/>
  <c r="J36" i="17"/>
  <c r="F31" i="17"/>
  <c r="H30" i="17"/>
  <c r="AH23" i="4"/>
  <c r="B208" i="16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B7" i="9"/>
  <c r="B10" i="9" s="1"/>
  <c r="B13" i="9" s="1"/>
  <c r="B16" i="9" s="1"/>
  <c r="B19" i="9" s="1"/>
  <c r="B22" i="9" s="1"/>
  <c r="B25" i="9" s="1"/>
  <c r="B28" i="9" s="1"/>
  <c r="B31" i="9" s="1"/>
  <c r="B34" i="9" s="1"/>
  <c r="B37" i="9" s="1"/>
  <c r="B40" i="9" s="1"/>
  <c r="B43" i="9" s="1"/>
  <c r="B46" i="9" s="1"/>
  <c r="B49" i="9" s="1"/>
  <c r="B52" i="9" s="1"/>
  <c r="B55" i="9" s="1"/>
  <c r="B58" i="9" s="1"/>
  <c r="B61" i="9" s="1"/>
  <c r="B64" i="9" s="1"/>
  <c r="B67" i="9" s="1"/>
  <c r="B70" i="9" s="1"/>
  <c r="B73" i="9" s="1"/>
  <c r="B76" i="9" s="1"/>
  <c r="B79" i="9" s="1"/>
  <c r="B82" i="9" s="1"/>
  <c r="B85" i="9" s="1"/>
  <c r="B88" i="9" s="1"/>
  <c r="B91" i="9" s="1"/>
  <c r="B94" i="9" s="1"/>
  <c r="B97" i="9" s="1"/>
  <c r="B100" i="9" s="1"/>
  <c r="B103" i="9" s="1"/>
  <c r="B106" i="9" s="1"/>
  <c r="B109" i="9" s="1"/>
  <c r="B112" i="9" s="1"/>
  <c r="B115" i="9" s="1"/>
  <c r="B118" i="9" s="1"/>
  <c r="B121" i="9" s="1"/>
  <c r="B8" i="9"/>
  <c r="B11" i="9" s="1"/>
  <c r="B14" i="9" s="1"/>
  <c r="B17" i="9" s="1"/>
  <c r="B20" i="9" s="1"/>
  <c r="B23" i="9" s="1"/>
  <c r="B26" i="9" s="1"/>
  <c r="B29" i="9" s="1"/>
  <c r="B32" i="9" s="1"/>
  <c r="B35" i="9" s="1"/>
  <c r="B38" i="9" s="1"/>
  <c r="B41" i="9" s="1"/>
  <c r="B44" i="9" s="1"/>
  <c r="B47" i="9" s="1"/>
  <c r="B50" i="9" s="1"/>
  <c r="B53" i="9" s="1"/>
  <c r="B56" i="9" s="1"/>
  <c r="B59" i="9" s="1"/>
  <c r="B62" i="9" s="1"/>
  <c r="B65" i="9" s="1"/>
  <c r="B68" i="9" s="1"/>
  <c r="B71" i="9" s="1"/>
  <c r="B74" i="9" s="1"/>
  <c r="B77" i="9" s="1"/>
  <c r="B80" i="9" s="1"/>
  <c r="B83" i="9" s="1"/>
  <c r="B86" i="9" s="1"/>
  <c r="B89" i="9" s="1"/>
  <c r="B92" i="9" s="1"/>
  <c r="B95" i="9" s="1"/>
  <c r="B98" i="9" s="1"/>
  <c r="B101" i="9" s="1"/>
  <c r="B104" i="9" s="1"/>
  <c r="B107" i="9" s="1"/>
  <c r="B110" i="9" s="1"/>
  <c r="B113" i="9" s="1"/>
  <c r="B116" i="9" s="1"/>
  <c r="B119" i="9" s="1"/>
  <c r="B6" i="9"/>
  <c r="B9" i="9" s="1"/>
  <c r="B12" i="9" s="1"/>
  <c r="B15" i="9" s="1"/>
  <c r="B18" i="9" s="1"/>
  <c r="B21" i="9" s="1"/>
  <c r="B24" i="9" s="1"/>
  <c r="B27" i="9" s="1"/>
  <c r="B30" i="9" s="1"/>
  <c r="B33" i="9" s="1"/>
  <c r="B36" i="9" s="1"/>
  <c r="B39" i="9" s="1"/>
  <c r="B42" i="9" s="1"/>
  <c r="B45" i="9" s="1"/>
  <c r="B48" i="9" s="1"/>
  <c r="B51" i="9" s="1"/>
  <c r="B54" i="9" s="1"/>
  <c r="B57" i="9" s="1"/>
  <c r="B60" i="9" s="1"/>
  <c r="B63" i="9" s="1"/>
  <c r="B66" i="9" s="1"/>
  <c r="B69" i="9" s="1"/>
  <c r="B72" i="9" s="1"/>
  <c r="B75" i="9" s="1"/>
  <c r="B78" i="9" s="1"/>
  <c r="B81" i="9" s="1"/>
  <c r="B84" i="9" s="1"/>
  <c r="B87" i="9" s="1"/>
  <c r="B90" i="9" s="1"/>
  <c r="B93" i="9" s="1"/>
  <c r="B96" i="9" s="1"/>
  <c r="B99" i="9" s="1"/>
  <c r="B102" i="9" s="1"/>
  <c r="B105" i="9" s="1"/>
  <c r="B108" i="9" s="1"/>
  <c r="B111" i="9" s="1"/>
  <c r="B114" i="9" s="1"/>
  <c r="B117" i="9" s="1"/>
  <c r="B120" i="9" s="1"/>
  <c r="L8" i="5"/>
  <c r="B38" i="17" l="1"/>
  <c r="J37" i="17"/>
  <c r="E37" i="17"/>
  <c r="K36" i="17"/>
  <c r="F32" i="17"/>
  <c r="H31" i="17"/>
  <c r="AH24" i="4"/>
  <c r="B209" i="16"/>
  <c r="H25" i="7"/>
  <c r="H24" i="7"/>
  <c r="E41" i="4"/>
  <c r="G25" i="7"/>
  <c r="E38" i="17" l="1"/>
  <c r="K37" i="17"/>
  <c r="B39" i="17"/>
  <c r="J38" i="17"/>
  <c r="F33" i="17"/>
  <c r="H32" i="17"/>
  <c r="AH25" i="4"/>
  <c r="B210" i="16"/>
  <c r="I25" i="7"/>
  <c r="H33" i="4"/>
  <c r="W32" i="4" s="1"/>
  <c r="H36" i="4"/>
  <c r="E39" i="17" l="1"/>
  <c r="K38" i="17"/>
  <c r="B40" i="17"/>
  <c r="J39" i="17"/>
  <c r="F34" i="17"/>
  <c r="H33" i="17"/>
  <c r="AH26" i="4"/>
  <c r="B211" i="16"/>
  <c r="X32" i="4"/>
  <c r="E106" i="16"/>
  <c r="E120" i="16" s="1"/>
  <c r="L57" i="4"/>
  <c r="M57" i="4" s="1"/>
  <c r="M58" i="4" s="1"/>
  <c r="E36" i="5"/>
  <c r="B41" i="17" l="1"/>
  <c r="J40" i="17"/>
  <c r="E40" i="17"/>
  <c r="K39" i="17"/>
  <c r="F35" i="17"/>
  <c r="H34" i="17"/>
  <c r="AH27" i="4"/>
  <c r="B212" i="16"/>
  <c r="Y32" i="4"/>
  <c r="F106" i="16"/>
  <c r="F120" i="16" s="1"/>
  <c r="L59" i="4"/>
  <c r="M59" i="4" s="1"/>
  <c r="G56" i="4"/>
  <c r="B42" i="17" l="1"/>
  <c r="J41" i="17"/>
  <c r="E41" i="17"/>
  <c r="K40" i="17"/>
  <c r="F36" i="17"/>
  <c r="H35" i="17"/>
  <c r="AH28" i="4"/>
  <c r="B213" i="16"/>
  <c r="G51" i="4"/>
  <c r="C76" i="16" s="1"/>
  <c r="C81" i="16"/>
  <c r="Z32" i="4"/>
  <c r="AA32" i="4" s="1"/>
  <c r="AB32" i="4" s="1"/>
  <c r="AC32" i="4" s="1"/>
  <c r="AD32" i="4" s="1"/>
  <c r="AE32" i="4" s="1"/>
  <c r="AF32" i="4" s="1"/>
  <c r="G106" i="16"/>
  <c r="G120" i="16" s="1"/>
  <c r="G95" i="5"/>
  <c r="K95" i="5" s="1"/>
  <c r="K80" i="5" s="1"/>
  <c r="G61" i="4"/>
  <c r="C86" i="16" s="1"/>
  <c r="H53" i="4"/>
  <c r="D78" i="16" s="1"/>
  <c r="E42" i="17" l="1"/>
  <c r="K41" i="17"/>
  <c r="B43" i="17"/>
  <c r="J42" i="17"/>
  <c r="F37" i="17"/>
  <c r="H36" i="17"/>
  <c r="AH29" i="4"/>
  <c r="B214" i="16"/>
  <c r="AI9" i="4"/>
  <c r="AI10" i="4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B44" i="17" l="1"/>
  <c r="J43" i="17"/>
  <c r="E43" i="17"/>
  <c r="K42" i="17"/>
  <c r="F38" i="17"/>
  <c r="H37" i="17"/>
  <c r="AH30" i="4"/>
  <c r="B215" i="16"/>
  <c r="G24" i="7"/>
  <c r="G23" i="7"/>
  <c r="B45" i="17" l="1"/>
  <c r="J44" i="17"/>
  <c r="E44" i="17"/>
  <c r="K43" i="17"/>
  <c r="F39" i="17"/>
  <c r="H38" i="17"/>
  <c r="AH31" i="4"/>
  <c r="B216" i="16"/>
  <c r="G27" i="7"/>
  <c r="B46" i="17" l="1"/>
  <c r="J45" i="17"/>
  <c r="E45" i="17"/>
  <c r="K44" i="17"/>
  <c r="F40" i="17"/>
  <c r="H39" i="17"/>
  <c r="AH32" i="4"/>
  <c r="B217" i="16"/>
  <c r="I24" i="7"/>
  <c r="I27" i="7"/>
  <c r="I26" i="7"/>
  <c r="F26" i="7"/>
  <c r="E46" i="17" l="1"/>
  <c r="K45" i="17"/>
  <c r="B47" i="17"/>
  <c r="J46" i="17"/>
  <c r="F41" i="17"/>
  <c r="H40" i="17"/>
  <c r="AH33" i="4"/>
  <c r="B218" i="16"/>
  <c r="I23" i="7"/>
  <c r="K24" i="7"/>
  <c r="E47" i="17" l="1"/>
  <c r="K46" i="17"/>
  <c r="B48" i="17"/>
  <c r="J47" i="17"/>
  <c r="F42" i="17"/>
  <c r="H41" i="17"/>
  <c r="AH34" i="4"/>
  <c r="B219" i="16"/>
  <c r="K23" i="7"/>
  <c r="H23" i="7"/>
  <c r="E48" i="17" l="1"/>
  <c r="K47" i="17"/>
  <c r="B49" i="17"/>
  <c r="J48" i="17"/>
  <c r="F43" i="17"/>
  <c r="H42" i="17"/>
  <c r="AH35" i="4"/>
  <c r="B220" i="16"/>
  <c r="M8" i="5"/>
  <c r="F41" i="5"/>
  <c r="E41" i="5"/>
  <c r="F42" i="4"/>
  <c r="F43" i="4" s="1"/>
  <c r="C43" i="4"/>
  <c r="E42" i="4"/>
  <c r="B42" i="4"/>
  <c r="D41" i="5" s="1"/>
  <c r="E49" i="17" l="1"/>
  <c r="K48" i="17"/>
  <c r="B50" i="17"/>
  <c r="J49" i="17"/>
  <c r="F44" i="17"/>
  <c r="H43" i="17"/>
  <c r="AH36" i="4"/>
  <c r="B221" i="16"/>
  <c r="N8" i="5"/>
  <c r="AJ51" i="4"/>
  <c r="F40" i="4"/>
  <c r="B51" i="17" l="1"/>
  <c r="J50" i="17"/>
  <c r="E50" i="17"/>
  <c r="K49" i="17"/>
  <c r="F45" i="17"/>
  <c r="H44" i="17"/>
  <c r="AH37" i="4"/>
  <c r="B222" i="16"/>
  <c r="O8" i="5"/>
  <c r="B52" i="17" l="1"/>
  <c r="J51" i="17"/>
  <c r="E51" i="17"/>
  <c r="K50" i="17"/>
  <c r="F46" i="17"/>
  <c r="H45" i="17"/>
  <c r="AH38" i="4"/>
  <c r="B223" i="16"/>
  <c r="P8" i="5"/>
  <c r="Q8" i="5" s="1"/>
  <c r="E52" i="17" l="1"/>
  <c r="K51" i="17"/>
  <c r="B53" i="17"/>
  <c r="J52" i="17"/>
  <c r="F47" i="17"/>
  <c r="H46" i="17"/>
  <c r="AH39" i="4"/>
  <c r="B224" i="16"/>
  <c r="R8" i="5"/>
  <c r="E53" i="17" l="1"/>
  <c r="K52" i="17"/>
  <c r="B54" i="17"/>
  <c r="J53" i="17"/>
  <c r="F48" i="17"/>
  <c r="H47" i="17"/>
  <c r="AH40" i="4"/>
  <c r="B225" i="16"/>
  <c r="S8" i="5"/>
  <c r="T8" i="5" s="1"/>
  <c r="B55" i="17" l="1"/>
  <c r="J54" i="17"/>
  <c r="E54" i="17"/>
  <c r="K53" i="17"/>
  <c r="F49" i="17"/>
  <c r="H48" i="17"/>
  <c r="AH41" i="4"/>
  <c r="B226" i="16"/>
  <c r="U8" i="5"/>
  <c r="A11" i="6"/>
  <c r="D11" i="19" s="1"/>
  <c r="E11" i="19" s="1"/>
  <c r="I4" i="6"/>
  <c r="A140" i="5"/>
  <c r="A139" i="5"/>
  <c r="A138" i="5"/>
  <c r="A137" i="5"/>
  <c r="A136" i="5"/>
  <c r="A135" i="5"/>
  <c r="T53" i="4" s="1"/>
  <c r="A134" i="5"/>
  <c r="T51" i="4"/>
  <c r="T38" i="4"/>
  <c r="T37" i="4"/>
  <c r="T35" i="4"/>
  <c r="T34" i="4"/>
  <c r="T33" i="4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J68" i="5"/>
  <c r="J62" i="5"/>
  <c r="J56" i="5"/>
  <c r="J50" i="5"/>
  <c r="J44" i="5"/>
  <c r="I61" i="5"/>
  <c r="D40" i="5"/>
  <c r="F39" i="5"/>
  <c r="D39" i="5"/>
  <c r="F38" i="5"/>
  <c r="E38" i="5"/>
  <c r="D38" i="5"/>
  <c r="A32" i="5"/>
  <c r="AE31" i="5"/>
  <c r="AD31" i="5"/>
  <c r="AC31" i="5"/>
  <c r="A31" i="5"/>
  <c r="A30" i="5"/>
  <c r="A29" i="5"/>
  <c r="S17" i="4" s="1"/>
  <c r="T17" i="4" s="1"/>
  <c r="A28" i="5"/>
  <c r="C27" i="5"/>
  <c r="A27" i="5"/>
  <c r="C26" i="5"/>
  <c r="A26" i="5"/>
  <c r="A25" i="5"/>
  <c r="A24" i="5"/>
  <c r="S15" i="4" s="1"/>
  <c r="T15" i="4" s="1"/>
  <c r="A23" i="5"/>
  <c r="S14" i="4" s="1"/>
  <c r="T14" i="4" s="1"/>
  <c r="A22" i="5"/>
  <c r="A21" i="5"/>
  <c r="S12" i="4" s="1"/>
  <c r="T12" i="4" s="1"/>
  <c r="A20" i="5"/>
  <c r="S11" i="4" s="1"/>
  <c r="T11" i="4" s="1"/>
  <c r="A19" i="5"/>
  <c r="S10" i="4" s="1"/>
  <c r="T10" i="4" s="1"/>
  <c r="A18" i="5"/>
  <c r="A17" i="5"/>
  <c r="S8" i="4" s="1"/>
  <c r="T8" i="4" s="1"/>
  <c r="I3" i="5"/>
  <c r="K14" i="5" s="1"/>
  <c r="T54" i="4"/>
  <c r="V47" i="4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X46" i="4"/>
  <c r="Y46" i="4" s="1"/>
  <c r="Z46" i="4" s="1"/>
  <c r="AA46" i="4" s="1"/>
  <c r="AB46" i="4" s="1"/>
  <c r="AC46" i="4" s="1"/>
  <c r="AD46" i="4" s="1"/>
  <c r="AE46" i="4" s="1"/>
  <c r="AF46" i="4" s="1"/>
  <c r="X31" i="4"/>
  <c r="E40" i="5"/>
  <c r="F39" i="4"/>
  <c r="F4" i="16" s="1"/>
  <c r="W22" i="4"/>
  <c r="X22" i="4" s="1"/>
  <c r="Y22" i="4" s="1"/>
  <c r="Z22" i="4" s="1"/>
  <c r="AA22" i="4" s="1"/>
  <c r="AB22" i="4" s="1"/>
  <c r="AC22" i="4" s="1"/>
  <c r="AD22" i="4" s="1"/>
  <c r="AE22" i="4" s="1"/>
  <c r="AF22" i="4" s="1"/>
  <c r="S22" i="4"/>
  <c r="T22" i="4" s="1"/>
  <c r="R14" i="4"/>
  <c r="R12" i="4"/>
  <c r="R11" i="4"/>
  <c r="R10" i="4"/>
  <c r="R9" i="4"/>
  <c r="R8" i="4"/>
  <c r="W6" i="4"/>
  <c r="S6" i="4"/>
  <c r="T6" i="4" s="1"/>
  <c r="R6" i="4"/>
  <c r="AJ8" i="6" l="1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AR8" i="6"/>
  <c r="AQ8" i="6"/>
  <c r="AP8" i="6"/>
  <c r="AO8" i="6"/>
  <c r="AN8" i="6"/>
  <c r="AM8" i="6"/>
  <c r="AL8" i="6"/>
  <c r="AK8" i="6"/>
  <c r="E55" i="17"/>
  <c r="K54" i="17"/>
  <c r="B56" i="17"/>
  <c r="J55" i="17"/>
  <c r="F50" i="17"/>
  <c r="H49" i="17"/>
  <c r="AH42" i="4"/>
  <c r="B227" i="16"/>
  <c r="S9" i="4"/>
  <c r="T9" i="4" s="1"/>
  <c r="Y31" i="4"/>
  <c r="F105" i="16"/>
  <c r="F119" i="16" s="1"/>
  <c r="V8" i="5"/>
  <c r="W8" i="5" s="1"/>
  <c r="L127" i="5"/>
  <c r="M127" i="5" s="1"/>
  <c r="N127" i="5" s="1"/>
  <c r="O127" i="5" s="1"/>
  <c r="P127" i="5" s="1"/>
  <c r="Q127" i="5" s="1"/>
  <c r="R127" i="5" s="1"/>
  <c r="S127" i="5" s="1"/>
  <c r="T127" i="5" s="1"/>
  <c r="U127" i="5" s="1"/>
  <c r="V127" i="5" s="1"/>
  <c r="W127" i="5" s="1"/>
  <c r="X127" i="5" s="1"/>
  <c r="Y127" i="5" s="1"/>
  <c r="Z127" i="5" s="1"/>
  <c r="AA127" i="5" s="1"/>
  <c r="AB127" i="5" s="1"/>
  <c r="AC127" i="5" s="1"/>
  <c r="AD127" i="5" s="1"/>
  <c r="AE127" i="5" s="1"/>
  <c r="AF127" i="5" s="1"/>
  <c r="AG127" i="5" s="1"/>
  <c r="AH127" i="5" s="1"/>
  <c r="AI127" i="5" s="1"/>
  <c r="AJ127" i="5" s="1"/>
  <c r="AK127" i="5" s="1"/>
  <c r="AL127" i="5" s="1"/>
  <c r="AM127" i="5" s="1"/>
  <c r="AN127" i="5" s="1"/>
  <c r="AO127" i="5" s="1"/>
  <c r="AP127" i="5" s="1"/>
  <c r="AQ127" i="5" s="1"/>
  <c r="AR127" i="5" s="1"/>
  <c r="AS127" i="5" s="1"/>
  <c r="AT127" i="5" s="1"/>
  <c r="AU127" i="5" s="1"/>
  <c r="J31" i="5"/>
  <c r="S16" i="4"/>
  <c r="T16" i="4" s="1"/>
  <c r="S24" i="4"/>
  <c r="T24" i="4" s="1"/>
  <c r="I55" i="5"/>
  <c r="I43" i="5"/>
  <c r="I49" i="5"/>
  <c r="AJ52" i="4"/>
  <c r="X6" i="4"/>
  <c r="I5" i="5"/>
  <c r="H50" i="4"/>
  <c r="D75" i="16" s="1"/>
  <c r="E39" i="5"/>
  <c r="K2" i="5"/>
  <c r="L2" i="5" s="1"/>
  <c r="L12" i="5" s="1"/>
  <c r="R31" i="4"/>
  <c r="V32" i="4"/>
  <c r="D106" i="16" s="1"/>
  <c r="D120" i="16" s="1"/>
  <c r="I7" i="5"/>
  <c r="H34" i="4"/>
  <c r="I12" i="5" s="1"/>
  <c r="H8" i="4"/>
  <c r="R22" i="4"/>
  <c r="E40" i="4"/>
  <c r="I4" i="5"/>
  <c r="J69" i="5"/>
  <c r="AR4" i="6"/>
  <c r="AR3" i="6"/>
  <c r="AS2" i="6"/>
  <c r="AT2" i="6" s="1"/>
  <c r="M5" i="6" l="1"/>
  <c r="M7" i="6"/>
  <c r="M6" i="6"/>
  <c r="Q5" i="6"/>
  <c r="Q7" i="6"/>
  <c r="Q6" i="6"/>
  <c r="U5" i="6"/>
  <c r="U7" i="6"/>
  <c r="U6" i="6"/>
  <c r="Y5" i="6"/>
  <c r="Y7" i="6"/>
  <c r="Y6" i="6"/>
  <c r="AC5" i="6"/>
  <c r="AC7" i="6"/>
  <c r="AC6" i="6"/>
  <c r="AG5" i="6"/>
  <c r="AG7" i="6"/>
  <c r="AG6" i="6"/>
  <c r="N6" i="6"/>
  <c r="N7" i="6"/>
  <c r="N5" i="6"/>
  <c r="R7" i="6"/>
  <c r="R6" i="6"/>
  <c r="R5" i="6"/>
  <c r="V5" i="6"/>
  <c r="V6" i="6"/>
  <c r="V7" i="6"/>
  <c r="Z6" i="6"/>
  <c r="Z7" i="6"/>
  <c r="Z5" i="6"/>
  <c r="AD6" i="6"/>
  <c r="AD7" i="6"/>
  <c r="AD5" i="6"/>
  <c r="AH5" i="6"/>
  <c r="AH6" i="6"/>
  <c r="AH7" i="6"/>
  <c r="K6" i="6"/>
  <c r="K5" i="6"/>
  <c r="K7" i="6"/>
  <c r="O6" i="6"/>
  <c r="O5" i="6"/>
  <c r="O7" i="6"/>
  <c r="S6" i="6"/>
  <c r="S7" i="6"/>
  <c r="S5" i="6"/>
  <c r="W6" i="6"/>
  <c r="W7" i="6"/>
  <c r="W5" i="6"/>
  <c r="AA6" i="6"/>
  <c r="AA5" i="6"/>
  <c r="AA7" i="6"/>
  <c r="AE6" i="6"/>
  <c r="AE5" i="6"/>
  <c r="AE7" i="6"/>
  <c r="AI6" i="6"/>
  <c r="AI7" i="6"/>
  <c r="AI5" i="6"/>
  <c r="L5" i="6"/>
  <c r="L6" i="6"/>
  <c r="L7" i="6"/>
  <c r="P5" i="6"/>
  <c r="P6" i="6"/>
  <c r="P7" i="6"/>
  <c r="T6" i="6"/>
  <c r="T5" i="6"/>
  <c r="T7" i="6"/>
  <c r="X7" i="6"/>
  <c r="X5" i="6"/>
  <c r="X6" i="6"/>
  <c r="AB7" i="6"/>
  <c r="AB5" i="6"/>
  <c r="AB6" i="6"/>
  <c r="AF5" i="6"/>
  <c r="AF6" i="6"/>
  <c r="AF7" i="6"/>
  <c r="AJ6" i="6"/>
  <c r="AJ5" i="6"/>
  <c r="AJ7" i="6"/>
  <c r="AO6" i="6"/>
  <c r="AO5" i="6"/>
  <c r="AO7" i="6"/>
  <c r="AL6" i="6"/>
  <c r="AL5" i="6"/>
  <c r="AL7" i="6"/>
  <c r="AP5" i="6"/>
  <c r="AP7" i="6"/>
  <c r="AP6" i="6"/>
  <c r="AK5" i="6"/>
  <c r="AK7" i="6"/>
  <c r="AK6" i="6"/>
  <c r="AM5" i="6"/>
  <c r="AM7" i="6"/>
  <c r="AM6" i="6"/>
  <c r="AQ7" i="6"/>
  <c r="AQ5" i="6"/>
  <c r="AQ6" i="6"/>
  <c r="AN5" i="6"/>
  <c r="AN7" i="6"/>
  <c r="AN6" i="6"/>
  <c r="B57" i="17"/>
  <c r="J56" i="17"/>
  <c r="E56" i="17"/>
  <c r="K55" i="17"/>
  <c r="F51" i="17"/>
  <c r="H50" i="17"/>
  <c r="H7" i="4"/>
  <c r="F115" i="5"/>
  <c r="AH43" i="4"/>
  <c r="B228" i="16"/>
  <c r="Z31" i="4"/>
  <c r="AA31" i="4" s="1"/>
  <c r="AB31" i="4" s="1"/>
  <c r="AC31" i="4" s="1"/>
  <c r="AD31" i="4" s="1"/>
  <c r="AE31" i="4" s="1"/>
  <c r="AF31" i="4" s="1"/>
  <c r="G105" i="16"/>
  <c r="G119" i="16" s="1"/>
  <c r="F98" i="5"/>
  <c r="G135" i="5"/>
  <c r="G136" i="5" s="1"/>
  <c r="K12" i="5"/>
  <c r="K13" i="5" s="1"/>
  <c r="Y6" i="4"/>
  <c r="M2" i="5"/>
  <c r="K11" i="5"/>
  <c r="K10" i="5" s="1"/>
  <c r="X8" i="5"/>
  <c r="H54" i="4"/>
  <c r="D79" i="16" s="1"/>
  <c r="I13" i="5"/>
  <c r="I14" i="5"/>
  <c r="E43" i="4"/>
  <c r="D43" i="4" s="1"/>
  <c r="W23" i="4"/>
  <c r="W7" i="4" s="1"/>
  <c r="K4" i="5"/>
  <c r="L6" i="5"/>
  <c r="K3" i="5"/>
  <c r="F40" i="5"/>
  <c r="H52" i="4"/>
  <c r="D77" i="16" s="1"/>
  <c r="AS8" i="6"/>
  <c r="AS4" i="6"/>
  <c r="AS3" i="6"/>
  <c r="AR6" i="6"/>
  <c r="AR5" i="6"/>
  <c r="AR7" i="6"/>
  <c r="F136" i="5"/>
  <c r="I6" i="5"/>
  <c r="O43" i="4"/>
  <c r="E57" i="17" l="1"/>
  <c r="K56" i="17"/>
  <c r="B58" i="17"/>
  <c r="J57" i="17"/>
  <c r="F52" i="17"/>
  <c r="H51" i="17"/>
  <c r="AH44" i="4"/>
  <c r="B229" i="16"/>
  <c r="H51" i="4"/>
  <c r="Y8" i="5"/>
  <c r="Z8" i="5" s="1"/>
  <c r="M11" i="5"/>
  <c r="M10" i="5" s="1"/>
  <c r="M12" i="5"/>
  <c r="M13" i="5" s="1"/>
  <c r="M14" i="5"/>
  <c r="Z6" i="4"/>
  <c r="L14" i="5"/>
  <c r="L11" i="5"/>
  <c r="L10" i="5" s="1"/>
  <c r="M3" i="5"/>
  <c r="N2" i="5"/>
  <c r="M6" i="5"/>
  <c r="M4" i="5"/>
  <c r="L4" i="5"/>
  <c r="L3" i="5"/>
  <c r="X23" i="4"/>
  <c r="X7" i="4" s="1"/>
  <c r="L5" i="5"/>
  <c r="L7" i="5"/>
  <c r="N7" i="5"/>
  <c r="AT8" i="6"/>
  <c r="AU2" i="6"/>
  <c r="AU11" i="6" s="1"/>
  <c r="AT4" i="6"/>
  <c r="AT3" i="6"/>
  <c r="K9" i="5"/>
  <c r="AS7" i="6"/>
  <c r="AS6" i="6"/>
  <c r="AS5" i="6"/>
  <c r="B59" i="17" l="1"/>
  <c r="J58" i="17"/>
  <c r="E58" i="17"/>
  <c r="K57" i="17"/>
  <c r="F53" i="17"/>
  <c r="H52" i="17"/>
  <c r="AH45" i="4"/>
  <c r="B230" i="16"/>
  <c r="L115" i="5"/>
  <c r="M115" i="5"/>
  <c r="M113" i="5" s="1"/>
  <c r="H61" i="4"/>
  <c r="D86" i="16" s="1"/>
  <c r="D76" i="16"/>
  <c r="M98" i="5"/>
  <c r="M96" i="5" s="1"/>
  <c r="L98" i="5"/>
  <c r="L9" i="5"/>
  <c r="L124" i="5" s="1"/>
  <c r="N12" i="5"/>
  <c r="N13" i="5" s="1"/>
  <c r="N14" i="5"/>
  <c r="L13" i="5"/>
  <c r="L36" i="5" s="1"/>
  <c r="L38" i="5" s="1"/>
  <c r="AA6" i="4"/>
  <c r="N11" i="5"/>
  <c r="N10" i="5" s="1"/>
  <c r="AA8" i="5"/>
  <c r="N4" i="5"/>
  <c r="O2" i="5"/>
  <c r="N3" i="5"/>
  <c r="M5" i="5"/>
  <c r="M7" i="5"/>
  <c r="Y23" i="4"/>
  <c r="Y7" i="4" s="1"/>
  <c r="N6" i="5"/>
  <c r="N5" i="5"/>
  <c r="L136" i="5"/>
  <c r="M9" i="5"/>
  <c r="M79" i="5" s="1"/>
  <c r="M91" i="5" s="1"/>
  <c r="M136" i="5"/>
  <c r="M134" i="5" s="1"/>
  <c r="AT6" i="6"/>
  <c r="AT7" i="6"/>
  <c r="AT5" i="6"/>
  <c r="AU8" i="6"/>
  <c r="AU4" i="6"/>
  <c r="AV2" i="6"/>
  <c r="AV11" i="6" s="1"/>
  <c r="AU3" i="6"/>
  <c r="B60" i="17" l="1"/>
  <c r="J59" i="17"/>
  <c r="E59" i="17"/>
  <c r="K58" i="17"/>
  <c r="F54" i="17"/>
  <c r="H53" i="17"/>
  <c r="AH46" i="4"/>
  <c r="B231" i="16"/>
  <c r="M105" i="5"/>
  <c r="L113" i="5"/>
  <c r="N115" i="5"/>
  <c r="L105" i="5"/>
  <c r="L79" i="5"/>
  <c r="L91" i="5" s="1"/>
  <c r="L92" i="5" s="1"/>
  <c r="L88" i="5" s="1"/>
  <c r="L96" i="5"/>
  <c r="N98" i="5"/>
  <c r="N96" i="5" s="1"/>
  <c r="L39" i="5"/>
  <c r="L51" i="5" s="1"/>
  <c r="L41" i="5"/>
  <c r="L63" i="5" s="1"/>
  <c r="AB8" i="5"/>
  <c r="AC8" i="5" s="1"/>
  <c r="L40" i="5"/>
  <c r="L57" i="5" s="1"/>
  <c r="O11" i="5"/>
  <c r="O10" i="5" s="1"/>
  <c r="O14" i="5"/>
  <c r="O136" i="5" s="1"/>
  <c r="O134" i="5" s="1"/>
  <c r="O12" i="5"/>
  <c r="O13" i="5" s="1"/>
  <c r="L45" i="5"/>
  <c r="L134" i="5"/>
  <c r="AB6" i="4"/>
  <c r="O4" i="5"/>
  <c r="O3" i="5"/>
  <c r="P2" i="5"/>
  <c r="N9" i="5"/>
  <c r="N79" i="5" s="1"/>
  <c r="N91" i="5" s="1"/>
  <c r="N136" i="5"/>
  <c r="N134" i="5" s="1"/>
  <c r="Z23" i="4"/>
  <c r="Z7" i="4" s="1"/>
  <c r="O7" i="5"/>
  <c r="O6" i="5"/>
  <c r="O5" i="5"/>
  <c r="M124" i="5"/>
  <c r="M36" i="5"/>
  <c r="AV8" i="6"/>
  <c r="AV4" i="6"/>
  <c r="AW2" i="6"/>
  <c r="AW11" i="6" s="1"/>
  <c r="AV3" i="6"/>
  <c r="AU7" i="6"/>
  <c r="AU5" i="6"/>
  <c r="AU6" i="6"/>
  <c r="E60" i="17" l="1"/>
  <c r="K59" i="17"/>
  <c r="B61" i="17"/>
  <c r="J60" i="17"/>
  <c r="F55" i="17"/>
  <c r="H54" i="17"/>
  <c r="N113" i="5"/>
  <c r="AH47" i="4"/>
  <c r="B233" i="16" s="1"/>
  <c r="B232" i="16"/>
  <c r="N105" i="5"/>
  <c r="O115" i="5"/>
  <c r="O98" i="5"/>
  <c r="O96" i="5" s="1"/>
  <c r="P11" i="5"/>
  <c r="P10" i="5" s="1"/>
  <c r="P14" i="5"/>
  <c r="P12" i="5"/>
  <c r="P13" i="5" s="1"/>
  <c r="Q2" i="5"/>
  <c r="Q3" i="5" s="1"/>
  <c r="AC6" i="4"/>
  <c r="P3" i="5"/>
  <c r="P4" i="5"/>
  <c r="N124" i="5"/>
  <c r="AD8" i="5"/>
  <c r="O9" i="5"/>
  <c r="O124" i="5" s="1"/>
  <c r="N36" i="5"/>
  <c r="AA23" i="4"/>
  <c r="AA7" i="4" s="1"/>
  <c r="P6" i="5"/>
  <c r="P7" i="5"/>
  <c r="P5" i="5"/>
  <c r="M40" i="5"/>
  <c r="M57" i="5" s="1"/>
  <c r="M39" i="5"/>
  <c r="M51" i="5" s="1"/>
  <c r="M41" i="5"/>
  <c r="M63" i="5" s="1"/>
  <c r="M38" i="5"/>
  <c r="Q6" i="5"/>
  <c r="Q7" i="5"/>
  <c r="Q5" i="5"/>
  <c r="AV5" i="6"/>
  <c r="AV6" i="6"/>
  <c r="AV7" i="6"/>
  <c r="AW8" i="6"/>
  <c r="AW4" i="6"/>
  <c r="AW3" i="6"/>
  <c r="AX2" i="6"/>
  <c r="AX11" i="6" s="1"/>
  <c r="B62" i="17" l="1"/>
  <c r="J61" i="17"/>
  <c r="E61" i="17"/>
  <c r="K60" i="17"/>
  <c r="F56" i="17"/>
  <c r="H55" i="17"/>
  <c r="P115" i="5"/>
  <c r="O113" i="5"/>
  <c r="O105" i="5"/>
  <c r="O79" i="5"/>
  <c r="O91" i="5" s="1"/>
  <c r="P98" i="5"/>
  <c r="P96" i="5" s="1"/>
  <c r="AE8" i="5"/>
  <c r="AF8" i="5" s="1"/>
  <c r="Q11" i="5"/>
  <c r="Q10" i="5" s="1"/>
  <c r="Q12" i="5"/>
  <c r="Q13" i="5" s="1"/>
  <c r="Q14" i="5"/>
  <c r="R2" i="5"/>
  <c r="R11" i="5" s="1"/>
  <c r="R10" i="5" s="1"/>
  <c r="Q4" i="5"/>
  <c r="M45" i="5"/>
  <c r="Q9" i="5"/>
  <c r="AD6" i="4"/>
  <c r="O36" i="5"/>
  <c r="O40" i="5" s="1"/>
  <c r="O57" i="5" s="1"/>
  <c r="P136" i="5"/>
  <c r="N40" i="5"/>
  <c r="N57" i="5" s="1"/>
  <c r="N38" i="5"/>
  <c r="N41" i="5"/>
  <c r="N63" i="5" s="1"/>
  <c r="N39" i="5"/>
  <c r="N51" i="5" s="1"/>
  <c r="P9" i="5"/>
  <c r="P124" i="5" s="1"/>
  <c r="AB23" i="4"/>
  <c r="AB7" i="4" s="1"/>
  <c r="AX8" i="6"/>
  <c r="AX4" i="6"/>
  <c r="AY2" i="6"/>
  <c r="AY11" i="6" s="1"/>
  <c r="AX3" i="6"/>
  <c r="AW7" i="6"/>
  <c r="AW6" i="6"/>
  <c r="AW5" i="6"/>
  <c r="R5" i="5"/>
  <c r="R6" i="5"/>
  <c r="R7" i="5"/>
  <c r="E62" i="17" l="1"/>
  <c r="K61" i="17"/>
  <c r="B63" i="17"/>
  <c r="J62" i="17"/>
  <c r="F57" i="17"/>
  <c r="H56" i="17"/>
  <c r="P113" i="5"/>
  <c r="Q136" i="5"/>
  <c r="Q134" i="5" s="1"/>
  <c r="Q105" i="5"/>
  <c r="Q115" i="5"/>
  <c r="P105" i="5"/>
  <c r="Q79" i="5"/>
  <c r="Q91" i="5" s="1"/>
  <c r="P79" i="5"/>
  <c r="P91" i="5" s="1"/>
  <c r="Q98" i="5"/>
  <c r="Q96" i="5" s="1"/>
  <c r="S2" i="5"/>
  <c r="S12" i="5" s="1"/>
  <c r="S13" i="5" s="1"/>
  <c r="R4" i="5"/>
  <c r="R3" i="5"/>
  <c r="O41" i="5"/>
  <c r="O63" i="5" s="1"/>
  <c r="R12" i="5"/>
  <c r="R13" i="5" s="1"/>
  <c r="R14" i="5"/>
  <c r="Q36" i="5"/>
  <c r="Q40" i="5" s="1"/>
  <c r="N45" i="5"/>
  <c r="O38" i="5"/>
  <c r="Q124" i="5"/>
  <c r="O39" i="5"/>
  <c r="O51" i="5" s="1"/>
  <c r="P134" i="5"/>
  <c r="AE6" i="4"/>
  <c r="AG8" i="5"/>
  <c r="P36" i="5"/>
  <c r="AC23" i="4"/>
  <c r="AC7" i="4" s="1"/>
  <c r="AY4" i="6"/>
  <c r="AY8" i="6"/>
  <c r="AZ2" i="6"/>
  <c r="AZ11" i="6" s="1"/>
  <c r="AY3" i="6"/>
  <c r="AX6" i="6"/>
  <c r="AX7" i="6"/>
  <c r="AX5" i="6"/>
  <c r="B64" i="17" l="1"/>
  <c r="J63" i="17"/>
  <c r="E63" i="17"/>
  <c r="K62" i="17"/>
  <c r="F58" i="17"/>
  <c r="H57" i="17"/>
  <c r="R115" i="5"/>
  <c r="Q113" i="5"/>
  <c r="S14" i="5"/>
  <c r="T2" i="5"/>
  <c r="T12" i="5" s="1"/>
  <c r="T13" i="5" s="1"/>
  <c r="S4" i="5"/>
  <c r="S3" i="5"/>
  <c r="Q41" i="5"/>
  <c r="Q63" i="5" s="1"/>
  <c r="S11" i="5"/>
  <c r="S10" i="5" s="1"/>
  <c r="R98" i="5"/>
  <c r="R96" i="5" s="1"/>
  <c r="Q39" i="5"/>
  <c r="Q51" i="5" s="1"/>
  <c r="Q38" i="5"/>
  <c r="Q45" i="5" s="1"/>
  <c r="AH8" i="5"/>
  <c r="AI8" i="5" s="1"/>
  <c r="R9" i="5"/>
  <c r="R124" i="5" s="1"/>
  <c r="R136" i="5"/>
  <c r="R134" i="5" s="1"/>
  <c r="O45" i="5"/>
  <c r="AF6" i="4"/>
  <c r="P41" i="5"/>
  <c r="P63" i="5" s="1"/>
  <c r="P39" i="5"/>
  <c r="P51" i="5" s="1"/>
  <c r="P40" i="5"/>
  <c r="P57" i="5" s="1"/>
  <c r="P38" i="5"/>
  <c r="S136" i="5"/>
  <c r="S134" i="5" s="1"/>
  <c r="S5" i="5"/>
  <c r="S6" i="5"/>
  <c r="AD23" i="4"/>
  <c r="AD7" i="4" s="1"/>
  <c r="T5" i="5"/>
  <c r="S7" i="5"/>
  <c r="Q57" i="5"/>
  <c r="AZ4" i="6"/>
  <c r="AZ8" i="6"/>
  <c r="BA2" i="6"/>
  <c r="BA11" i="6" s="1"/>
  <c r="AZ3" i="6"/>
  <c r="AY6" i="6"/>
  <c r="AY7" i="6"/>
  <c r="AY5" i="6"/>
  <c r="E64" i="17" l="1"/>
  <c r="K63" i="17"/>
  <c r="B65" i="17"/>
  <c r="J64" i="17"/>
  <c r="F59" i="17"/>
  <c r="H58" i="17"/>
  <c r="R113" i="5"/>
  <c r="S98" i="5"/>
  <c r="S96" i="5" s="1"/>
  <c r="S115" i="5"/>
  <c r="R105" i="5"/>
  <c r="S9" i="5"/>
  <c r="S105" i="5" s="1"/>
  <c r="T14" i="5"/>
  <c r="T136" i="5" s="1"/>
  <c r="T134" i="5" s="1"/>
  <c r="T4" i="5"/>
  <c r="U2" i="5"/>
  <c r="U11" i="5" s="1"/>
  <c r="U10" i="5" s="1"/>
  <c r="T11" i="5"/>
  <c r="T10" i="5" s="1"/>
  <c r="T3" i="5"/>
  <c r="R79" i="5"/>
  <c r="R91" i="5" s="1"/>
  <c r="R36" i="5"/>
  <c r="P45" i="5"/>
  <c r="AJ8" i="5"/>
  <c r="T6" i="5"/>
  <c r="T7" i="5"/>
  <c r="AE23" i="4"/>
  <c r="AE7" i="4" s="1"/>
  <c r="U6" i="5"/>
  <c r="U7" i="5"/>
  <c r="U5" i="5"/>
  <c r="BA8" i="6"/>
  <c r="BA4" i="6"/>
  <c r="BA3" i="6"/>
  <c r="BB2" i="6"/>
  <c r="BB11" i="6" s="1"/>
  <c r="AZ7" i="6"/>
  <c r="AZ5" i="6"/>
  <c r="AZ6" i="6"/>
  <c r="E65" i="17" l="1"/>
  <c r="K64" i="17"/>
  <c r="B66" i="17"/>
  <c r="J65" i="17"/>
  <c r="F60" i="17"/>
  <c r="H59" i="17"/>
  <c r="S124" i="5"/>
  <c r="T9" i="5"/>
  <c r="T79" i="5" s="1"/>
  <c r="T91" i="5" s="1"/>
  <c r="T115" i="5"/>
  <c r="S113" i="5"/>
  <c r="U4" i="5"/>
  <c r="S79" i="5"/>
  <c r="S91" i="5" s="1"/>
  <c r="S36" i="5"/>
  <c r="T98" i="5"/>
  <c r="T96" i="5" s="1"/>
  <c r="V2" i="5"/>
  <c r="V12" i="5" s="1"/>
  <c r="V13" i="5" s="1"/>
  <c r="U14" i="5"/>
  <c r="U12" i="5"/>
  <c r="U13" i="5" s="1"/>
  <c r="U3" i="5"/>
  <c r="R39" i="5"/>
  <c r="R51" i="5" s="1"/>
  <c r="R41" i="5"/>
  <c r="R63" i="5" s="1"/>
  <c r="R40" i="5"/>
  <c r="R57" i="5" s="1"/>
  <c r="R38" i="5"/>
  <c r="R45" i="5" s="1"/>
  <c r="AK8" i="5"/>
  <c r="AL8" i="5" s="1"/>
  <c r="U136" i="5"/>
  <c r="U134" i="5" s="1"/>
  <c r="T124" i="5"/>
  <c r="AF23" i="4"/>
  <c r="AF7" i="4" s="1"/>
  <c r="BB8" i="6"/>
  <c r="BB4" i="6"/>
  <c r="BC2" i="6"/>
  <c r="BC11" i="6" s="1"/>
  <c r="BB3" i="6"/>
  <c r="V5" i="5"/>
  <c r="V6" i="5"/>
  <c r="V7" i="5"/>
  <c r="BA7" i="6"/>
  <c r="BA6" i="6"/>
  <c r="BA5" i="6"/>
  <c r="V3" i="5" l="1"/>
  <c r="B67" i="17"/>
  <c r="J66" i="17"/>
  <c r="E66" i="17"/>
  <c r="K65" i="17"/>
  <c r="F61" i="17"/>
  <c r="H60" i="17"/>
  <c r="T113" i="5"/>
  <c r="T36" i="5"/>
  <c r="T41" i="5" s="1"/>
  <c r="T63" i="5" s="1"/>
  <c r="T105" i="5"/>
  <c r="V11" i="5"/>
  <c r="V10" i="5" s="1"/>
  <c r="W2" i="5"/>
  <c r="W11" i="5" s="1"/>
  <c r="W10" i="5" s="1"/>
  <c r="U98" i="5"/>
  <c r="U96" i="5" s="1"/>
  <c r="U115" i="5"/>
  <c r="V4" i="5"/>
  <c r="U9" i="5"/>
  <c r="U79" i="5" s="1"/>
  <c r="U91" i="5" s="1"/>
  <c r="V14" i="5"/>
  <c r="V98" i="5" s="1"/>
  <c r="V96" i="5" s="1"/>
  <c r="S39" i="5"/>
  <c r="S51" i="5" s="1"/>
  <c r="S38" i="5"/>
  <c r="S45" i="5" s="1"/>
  <c r="S41" i="5"/>
  <c r="S63" i="5" s="1"/>
  <c r="S40" i="5"/>
  <c r="S57" i="5" s="1"/>
  <c r="AM8" i="5"/>
  <c r="W4" i="5"/>
  <c r="T40" i="5"/>
  <c r="T57" i="5" s="1"/>
  <c r="W6" i="5"/>
  <c r="W7" i="5"/>
  <c r="W5" i="5"/>
  <c r="BC8" i="6"/>
  <c r="BC4" i="6"/>
  <c r="BD2" i="6"/>
  <c r="BD11" i="6" s="1"/>
  <c r="BC3" i="6"/>
  <c r="BB6" i="6"/>
  <c r="BB5" i="6"/>
  <c r="BB7" i="6"/>
  <c r="B68" i="17" l="1"/>
  <c r="J67" i="17"/>
  <c r="E67" i="17"/>
  <c r="K66" i="17"/>
  <c r="F62" i="17"/>
  <c r="H61" i="17"/>
  <c r="T38" i="5"/>
  <c r="T45" i="5" s="1"/>
  <c r="T39" i="5"/>
  <c r="T51" i="5" s="1"/>
  <c r="X2" i="5"/>
  <c r="W12" i="5"/>
  <c r="W13" i="5" s="1"/>
  <c r="U113" i="5"/>
  <c r="W14" i="5"/>
  <c r="W9" i="5" s="1"/>
  <c r="W79" i="5" s="1"/>
  <c r="W91" i="5" s="1"/>
  <c r="U124" i="5"/>
  <c r="W3" i="5"/>
  <c r="V136" i="5"/>
  <c r="V134" i="5" s="1"/>
  <c r="V9" i="5"/>
  <c r="V124" i="5" s="1"/>
  <c r="U36" i="5"/>
  <c r="U41" i="5" s="1"/>
  <c r="U63" i="5" s="1"/>
  <c r="V115" i="5"/>
  <c r="W115" i="5"/>
  <c r="W113" i="5" s="1"/>
  <c r="U105" i="5"/>
  <c r="AN8" i="5"/>
  <c r="X11" i="5"/>
  <c r="X10" i="5" s="1"/>
  <c r="X14" i="5"/>
  <c r="X12" i="5"/>
  <c r="X13" i="5" s="1"/>
  <c r="Y2" i="5"/>
  <c r="AO8" i="5"/>
  <c r="X4" i="5"/>
  <c r="X3" i="5"/>
  <c r="W136" i="5"/>
  <c r="W134" i="5" s="1"/>
  <c r="BD8" i="6"/>
  <c r="BD4" i="6"/>
  <c r="BE2" i="6"/>
  <c r="BE11" i="6" s="1"/>
  <c r="BD3" i="6"/>
  <c r="BC6" i="6"/>
  <c r="BC7" i="6"/>
  <c r="BC5" i="6"/>
  <c r="X7" i="5"/>
  <c r="X5" i="5"/>
  <c r="X6" i="5"/>
  <c r="W98" i="5" l="1"/>
  <c r="W96" i="5" s="1"/>
  <c r="B69" i="17"/>
  <c r="J68" i="17"/>
  <c r="E68" i="17"/>
  <c r="K67" i="17"/>
  <c r="F63" i="17"/>
  <c r="H62" i="17"/>
  <c r="V113" i="5"/>
  <c r="V79" i="5"/>
  <c r="V91" i="5" s="1"/>
  <c r="V105" i="5"/>
  <c r="V36" i="5"/>
  <c r="W124" i="5"/>
  <c r="U40" i="5"/>
  <c r="U57" i="5" s="1"/>
  <c r="U39" i="5"/>
  <c r="U51" i="5" s="1"/>
  <c r="U38" i="5"/>
  <c r="W105" i="5"/>
  <c r="X9" i="5"/>
  <c r="X105" i="5" s="1"/>
  <c r="X115" i="5"/>
  <c r="W36" i="5"/>
  <c r="W38" i="5" s="1"/>
  <c r="W45" i="5" s="1"/>
  <c r="X136" i="5"/>
  <c r="X134" i="5" s="1"/>
  <c r="X98" i="5"/>
  <c r="X96" i="5" s="1"/>
  <c r="Y12" i="5"/>
  <c r="Y13" i="5" s="1"/>
  <c r="Y14" i="5"/>
  <c r="U45" i="5"/>
  <c r="V39" i="5"/>
  <c r="V51" i="5" s="1"/>
  <c r="Y4" i="5"/>
  <c r="Z2" i="5"/>
  <c r="Y3" i="5"/>
  <c r="Y11" i="5"/>
  <c r="Y10" i="5" s="1"/>
  <c r="V40" i="5"/>
  <c r="V57" i="5" s="1"/>
  <c r="V38" i="5"/>
  <c r="V41" i="5"/>
  <c r="V63" i="5" s="1"/>
  <c r="AP8" i="5"/>
  <c r="X124" i="5"/>
  <c r="BE8" i="6"/>
  <c r="BE4" i="6"/>
  <c r="BE3" i="6"/>
  <c r="BF2" i="6"/>
  <c r="BF11" i="6" s="1"/>
  <c r="BD6" i="6"/>
  <c r="BD7" i="6"/>
  <c r="BD5" i="6"/>
  <c r="Y6" i="5"/>
  <c r="Y5" i="5"/>
  <c r="Y7" i="5"/>
  <c r="B70" i="17" l="1"/>
  <c r="J69" i="17"/>
  <c r="E69" i="17"/>
  <c r="K68" i="17"/>
  <c r="F64" i="17"/>
  <c r="H63" i="17"/>
  <c r="X36" i="5"/>
  <c r="X38" i="5" s="1"/>
  <c r="X45" i="5" s="1"/>
  <c r="X79" i="5"/>
  <c r="X91" i="5" s="1"/>
  <c r="X113" i="5"/>
  <c r="W40" i="5"/>
  <c r="W57" i="5" s="1"/>
  <c r="W41" i="5"/>
  <c r="W63" i="5" s="1"/>
  <c r="W39" i="5"/>
  <c r="W51" i="5" s="1"/>
  <c r="Y115" i="5"/>
  <c r="Y98" i="5"/>
  <c r="Y96" i="5" s="1"/>
  <c r="AQ8" i="5"/>
  <c r="AR8" i="5" s="1"/>
  <c r="Z11" i="5"/>
  <c r="Z10" i="5" s="1"/>
  <c r="Z12" i="5"/>
  <c r="Z13" i="5" s="1"/>
  <c r="Z14" i="5"/>
  <c r="Y9" i="5"/>
  <c r="Y36" i="5" s="1"/>
  <c r="V45" i="5"/>
  <c r="AA2" i="5"/>
  <c r="Z3" i="5"/>
  <c r="Z4" i="5"/>
  <c r="Y136" i="5"/>
  <c r="Y134" i="5" s="1"/>
  <c r="X41" i="5"/>
  <c r="X63" i="5" s="1"/>
  <c r="Z5" i="5"/>
  <c r="Z6" i="5"/>
  <c r="Z7" i="5"/>
  <c r="BE7" i="6"/>
  <c r="BE6" i="6"/>
  <c r="BE5" i="6"/>
  <c r="BF8" i="6"/>
  <c r="BF4" i="6"/>
  <c r="BG2" i="6"/>
  <c r="BG11" i="6" s="1"/>
  <c r="BG10" i="6" s="1"/>
  <c r="BF3" i="6"/>
  <c r="B71" i="17" l="1"/>
  <c r="J70" i="17"/>
  <c r="E70" i="17"/>
  <c r="K69" i="17"/>
  <c r="F65" i="17"/>
  <c r="H64" i="17"/>
  <c r="X40" i="5"/>
  <c r="X57" i="5" s="1"/>
  <c r="X39" i="5"/>
  <c r="X51" i="5" s="1"/>
  <c r="Y113" i="5"/>
  <c r="Z115" i="5"/>
  <c r="Y105" i="5"/>
  <c r="Y79" i="5"/>
  <c r="Y91" i="5" s="1"/>
  <c r="Z98" i="5"/>
  <c r="Z96" i="5" s="1"/>
  <c r="Y124" i="5"/>
  <c r="AA14" i="5"/>
  <c r="AA12" i="5"/>
  <c r="AA13" i="5" s="1"/>
  <c r="Z9" i="5"/>
  <c r="Z36" i="5" s="1"/>
  <c r="Z136" i="5"/>
  <c r="Z134" i="5" s="1"/>
  <c r="AA4" i="5"/>
  <c r="AB2" i="5"/>
  <c r="AA11" i="5"/>
  <c r="AA10" i="5" s="1"/>
  <c r="AA3" i="5"/>
  <c r="AS8" i="5"/>
  <c r="BF7" i="6"/>
  <c r="BF6" i="6"/>
  <c r="BF5" i="6"/>
  <c r="BG4" i="6"/>
  <c r="BG8" i="6"/>
  <c r="BH2" i="6"/>
  <c r="BH11" i="6" s="1"/>
  <c r="BG3" i="6"/>
  <c r="AA6" i="5"/>
  <c r="AA7" i="5"/>
  <c r="AA5" i="5"/>
  <c r="Y38" i="5"/>
  <c r="Y45" i="5" s="1"/>
  <c r="Y39" i="5"/>
  <c r="Y51" i="5" s="1"/>
  <c r="Y41" i="5"/>
  <c r="Y63" i="5" s="1"/>
  <c r="Y40" i="5"/>
  <c r="Y57" i="5" s="1"/>
  <c r="E71" i="17" l="1"/>
  <c r="K70" i="17"/>
  <c r="B72" i="17"/>
  <c r="J71" i="17"/>
  <c r="F66" i="17"/>
  <c r="H65" i="17"/>
  <c r="Z113" i="5"/>
  <c r="AA9" i="5"/>
  <c r="AA105" i="5" s="1"/>
  <c r="AA115" i="5"/>
  <c r="Z105" i="5"/>
  <c r="Z79" i="5"/>
  <c r="Z91" i="5" s="1"/>
  <c r="AA136" i="5"/>
  <c r="AA134" i="5" s="1"/>
  <c r="AA98" i="5"/>
  <c r="AA96" i="5" s="1"/>
  <c r="AT8" i="5"/>
  <c r="AB4" i="5"/>
  <c r="AB14" i="5"/>
  <c r="AB12" i="5"/>
  <c r="AB13" i="5" s="1"/>
  <c r="AB3" i="5"/>
  <c r="Z124" i="5"/>
  <c r="AC2" i="5"/>
  <c r="AB11" i="5"/>
  <c r="AB10" i="5" s="1"/>
  <c r="AU8" i="5"/>
  <c r="Z38" i="5"/>
  <c r="Z45" i="5" s="1"/>
  <c r="Z39" i="5"/>
  <c r="Z51" i="5" s="1"/>
  <c r="Z41" i="5"/>
  <c r="Z63" i="5" s="1"/>
  <c r="Z40" i="5"/>
  <c r="Z57" i="5" s="1"/>
  <c r="AA124" i="5"/>
  <c r="BH4" i="6"/>
  <c r="BH8" i="6"/>
  <c r="BI2" i="6"/>
  <c r="BI11" i="6" s="1"/>
  <c r="BH3" i="6"/>
  <c r="BG6" i="6"/>
  <c r="BG5" i="6"/>
  <c r="BG7" i="6"/>
  <c r="AB7" i="5"/>
  <c r="AB5" i="5"/>
  <c r="AB6" i="5"/>
  <c r="E72" i="17" l="1"/>
  <c r="K71" i="17"/>
  <c r="B73" i="17"/>
  <c r="J72" i="17"/>
  <c r="F67" i="17"/>
  <c r="H66" i="17"/>
  <c r="AA79" i="5"/>
  <c r="AA91" i="5" s="1"/>
  <c r="AA36" i="5"/>
  <c r="AA40" i="5" s="1"/>
  <c r="AA57" i="5" s="1"/>
  <c r="AA113" i="5"/>
  <c r="AB115" i="5"/>
  <c r="AB98" i="5"/>
  <c r="AB96" i="5" s="1"/>
  <c r="AC12" i="5"/>
  <c r="AC13" i="5" s="1"/>
  <c r="AC14" i="5"/>
  <c r="AC3" i="5"/>
  <c r="AC4" i="5"/>
  <c r="AB9" i="5"/>
  <c r="AB36" i="5" s="1"/>
  <c r="AB136" i="5"/>
  <c r="AB134" i="5" s="1"/>
  <c r="AD2" i="5"/>
  <c r="AC11" i="5"/>
  <c r="AC10" i="5" s="1"/>
  <c r="BH6" i="6"/>
  <c r="BH5" i="6"/>
  <c r="BH7" i="6"/>
  <c r="AA38" i="5"/>
  <c r="AA45" i="5" s="1"/>
  <c r="AC6" i="5"/>
  <c r="AC5" i="5"/>
  <c r="AC7" i="5"/>
  <c r="BI8" i="6"/>
  <c r="BI4" i="6"/>
  <c r="BI3" i="6"/>
  <c r="BJ2" i="6"/>
  <c r="BJ11" i="6" s="1"/>
  <c r="E73" i="17" l="1"/>
  <c r="K72" i="17"/>
  <c r="B74" i="17"/>
  <c r="J73" i="17"/>
  <c r="F68" i="17"/>
  <c r="H67" i="17"/>
  <c r="AA39" i="5"/>
  <c r="AA51" i="5" s="1"/>
  <c r="AB113" i="5"/>
  <c r="AA41" i="5"/>
  <c r="AA63" i="5" s="1"/>
  <c r="AC136" i="5"/>
  <c r="AC134" i="5" s="1"/>
  <c r="AC115" i="5"/>
  <c r="AB105" i="5"/>
  <c r="AB79" i="5"/>
  <c r="AB91" i="5" s="1"/>
  <c r="AC98" i="5"/>
  <c r="AC96" i="5" s="1"/>
  <c r="AC9" i="5"/>
  <c r="AC79" i="5" s="1"/>
  <c r="AC91" i="5" s="1"/>
  <c r="AD11" i="5"/>
  <c r="AD10" i="5" s="1"/>
  <c r="AD12" i="5"/>
  <c r="AD13" i="5" s="1"/>
  <c r="AD14" i="5"/>
  <c r="AD3" i="5"/>
  <c r="AB124" i="5"/>
  <c r="AD4" i="5"/>
  <c r="AE2" i="5"/>
  <c r="AB38" i="5"/>
  <c r="AB45" i="5" s="1"/>
  <c r="AB39" i="5"/>
  <c r="AB51" i="5" s="1"/>
  <c r="AB40" i="5"/>
  <c r="AB57" i="5" s="1"/>
  <c r="AB41" i="5"/>
  <c r="AB63" i="5" s="1"/>
  <c r="AD5" i="5"/>
  <c r="AD6" i="5"/>
  <c r="AD7" i="5"/>
  <c r="BI7" i="6"/>
  <c r="BI6" i="6"/>
  <c r="BI5" i="6"/>
  <c r="BJ8" i="6"/>
  <c r="BK2" i="6"/>
  <c r="BK11" i="6" s="1"/>
  <c r="BJ4" i="6"/>
  <c r="BJ3" i="6"/>
  <c r="E74" i="17" l="1"/>
  <c r="K73" i="17"/>
  <c r="B75" i="17"/>
  <c r="J74" i="17"/>
  <c r="F69" i="17"/>
  <c r="H68" i="17"/>
  <c r="AC113" i="5"/>
  <c r="AD115" i="5"/>
  <c r="AC105" i="5"/>
  <c r="AC36" i="5"/>
  <c r="AC40" i="5" s="1"/>
  <c r="AC57" i="5" s="1"/>
  <c r="AC124" i="5"/>
  <c r="AD98" i="5"/>
  <c r="AD96" i="5" s="1"/>
  <c r="AD9" i="5"/>
  <c r="AD79" i="5" s="1"/>
  <c r="AD91" i="5" s="1"/>
  <c r="AE14" i="5"/>
  <c r="AE12" i="5"/>
  <c r="AE13" i="5" s="1"/>
  <c r="AE3" i="5"/>
  <c r="AD136" i="5"/>
  <c r="AD134" i="5" s="1"/>
  <c r="AE4" i="5"/>
  <c r="AE11" i="5"/>
  <c r="AE10" i="5" s="1"/>
  <c r="AF2" i="5"/>
  <c r="AC41" i="5"/>
  <c r="AC63" i="5" s="1"/>
  <c r="AB37" i="5"/>
  <c r="BK8" i="6"/>
  <c r="BK4" i="6"/>
  <c r="BL2" i="6"/>
  <c r="BL11" i="6" s="1"/>
  <c r="BK3" i="6"/>
  <c r="AE6" i="5"/>
  <c r="AE7" i="5"/>
  <c r="AE5" i="5"/>
  <c r="BJ6" i="6"/>
  <c r="BJ7" i="6"/>
  <c r="BJ5" i="6"/>
  <c r="E75" i="17" l="1"/>
  <c r="K74" i="17"/>
  <c r="B76" i="17"/>
  <c r="J75" i="17"/>
  <c r="F70" i="17"/>
  <c r="H69" i="17"/>
  <c r="AD113" i="5"/>
  <c r="AE115" i="5"/>
  <c r="AC38" i="5"/>
  <c r="AC45" i="5" s="1"/>
  <c r="AD105" i="5"/>
  <c r="AC39" i="5"/>
  <c r="AC51" i="5" s="1"/>
  <c r="AD124" i="5"/>
  <c r="AD36" i="5"/>
  <c r="AD41" i="5" s="1"/>
  <c r="AD63" i="5" s="1"/>
  <c r="AE98" i="5"/>
  <c r="AE96" i="5" s="1"/>
  <c r="AE9" i="5"/>
  <c r="AE79" i="5" s="1"/>
  <c r="AE91" i="5" s="1"/>
  <c r="AD39" i="5"/>
  <c r="AD51" i="5" s="1"/>
  <c r="AF14" i="5"/>
  <c r="AF12" i="5"/>
  <c r="AF13" i="5" s="1"/>
  <c r="AD40" i="5"/>
  <c r="AD57" i="5" s="1"/>
  <c r="AG2" i="5"/>
  <c r="AG4" i="5" s="1"/>
  <c r="AF3" i="5"/>
  <c r="AF4" i="5"/>
  <c r="AE136" i="5"/>
  <c r="AE134" i="5" s="1"/>
  <c r="AF11" i="5"/>
  <c r="AF10" i="5" s="1"/>
  <c r="BL8" i="6"/>
  <c r="BL4" i="6"/>
  <c r="BM2" i="6"/>
  <c r="BM11" i="6" s="1"/>
  <c r="BL3" i="6"/>
  <c r="BK7" i="6"/>
  <c r="BK5" i="6"/>
  <c r="BK6" i="6"/>
  <c r="AF7" i="5"/>
  <c r="AF5" i="5"/>
  <c r="AF6" i="5"/>
  <c r="E76" i="17" l="1"/>
  <c r="K75" i="17"/>
  <c r="B77" i="17"/>
  <c r="J76" i="17"/>
  <c r="F71" i="17"/>
  <c r="H70" i="17"/>
  <c r="AE113" i="5"/>
  <c r="AC37" i="5"/>
  <c r="AF115" i="5"/>
  <c r="AE105" i="5"/>
  <c r="AD38" i="5"/>
  <c r="AD45" i="5" s="1"/>
  <c r="AE36" i="5"/>
  <c r="AE40" i="5" s="1"/>
  <c r="AE57" i="5" s="1"/>
  <c r="AE124" i="5"/>
  <c r="AF136" i="5"/>
  <c r="AF134" i="5" s="1"/>
  <c r="AF9" i="5"/>
  <c r="AF124" i="5" s="1"/>
  <c r="AF98" i="5"/>
  <c r="AF96" i="5" s="1"/>
  <c r="AG3" i="5"/>
  <c r="AG12" i="5"/>
  <c r="AG13" i="5" s="1"/>
  <c r="AG14" i="5"/>
  <c r="AG11" i="5"/>
  <c r="AG10" i="5" s="1"/>
  <c r="AH2" i="5"/>
  <c r="AH4" i="5" s="1"/>
  <c r="BM8" i="6"/>
  <c r="BM4" i="6"/>
  <c r="BM3" i="6"/>
  <c r="BN2" i="6"/>
  <c r="BN11" i="6" s="1"/>
  <c r="AE38" i="5"/>
  <c r="AE39" i="5"/>
  <c r="AE51" i="5" s="1"/>
  <c r="BL5" i="6"/>
  <c r="BL6" i="6"/>
  <c r="BL7" i="6"/>
  <c r="AG6" i="5"/>
  <c r="AG7" i="5"/>
  <c r="AG5" i="5"/>
  <c r="AE41" i="5" l="1"/>
  <c r="AE63" i="5" s="1"/>
  <c r="E77" i="17"/>
  <c r="K76" i="17"/>
  <c r="B78" i="17"/>
  <c r="J78" i="17" s="1"/>
  <c r="J77" i="17"/>
  <c r="F72" i="17"/>
  <c r="H71" i="17"/>
  <c r="AF113" i="5"/>
  <c r="AG9" i="5"/>
  <c r="AG105" i="5" s="1"/>
  <c r="AG115" i="5"/>
  <c r="AF105" i="5"/>
  <c r="AD37" i="5"/>
  <c r="AF36" i="5"/>
  <c r="AF39" i="5" s="1"/>
  <c r="AF51" i="5" s="1"/>
  <c r="AF79" i="5"/>
  <c r="AF91" i="5" s="1"/>
  <c r="AG136" i="5"/>
  <c r="AG134" i="5" s="1"/>
  <c r="AG98" i="5"/>
  <c r="AG96" i="5" s="1"/>
  <c r="AH12" i="5"/>
  <c r="AH13" i="5" s="1"/>
  <c r="AH14" i="5"/>
  <c r="AI2" i="5"/>
  <c r="AI3" i="5" s="1"/>
  <c r="AH3" i="5"/>
  <c r="AH11" i="5"/>
  <c r="AH10" i="5" s="1"/>
  <c r="AF40" i="5"/>
  <c r="AF57" i="5" s="1"/>
  <c r="AG36" i="5"/>
  <c r="AG124" i="5"/>
  <c r="AE45" i="5"/>
  <c r="AE37" i="5"/>
  <c r="AH5" i="5"/>
  <c r="AH6" i="5"/>
  <c r="AH7" i="5"/>
  <c r="BM7" i="6"/>
  <c r="BM6" i="6"/>
  <c r="BM5" i="6"/>
  <c r="BN8" i="6"/>
  <c r="BN4" i="6"/>
  <c r="BO2" i="6"/>
  <c r="BO11" i="6" s="1"/>
  <c r="BN3" i="6"/>
  <c r="AF38" i="5" l="1"/>
  <c r="AF45" i="5" s="1"/>
  <c r="E78" i="17"/>
  <c r="K78" i="17" s="1"/>
  <c r="K77" i="17"/>
  <c r="F73" i="17"/>
  <c r="H72" i="17"/>
  <c r="AG79" i="5"/>
  <c r="AG91" i="5" s="1"/>
  <c r="AG113" i="5"/>
  <c r="AF41" i="5"/>
  <c r="AF63" i="5" s="1"/>
  <c r="AH9" i="5"/>
  <c r="AH105" i="5"/>
  <c r="AH115" i="5"/>
  <c r="AH79" i="5"/>
  <c r="AH91" i="5" s="1"/>
  <c r="AH136" i="5"/>
  <c r="AH134" i="5" s="1"/>
  <c r="AH98" i="5"/>
  <c r="AH96" i="5" s="1"/>
  <c r="AI4" i="5"/>
  <c r="AJ2" i="5"/>
  <c r="AJ14" i="5" s="1"/>
  <c r="AI14" i="5"/>
  <c r="AI12" i="5"/>
  <c r="AI13" i="5" s="1"/>
  <c r="AI11" i="5"/>
  <c r="AI10" i="5" s="1"/>
  <c r="AF37" i="5"/>
  <c r="AH124" i="5"/>
  <c r="AH36" i="5"/>
  <c r="AI6" i="5"/>
  <c r="AI7" i="5"/>
  <c r="AI5" i="5"/>
  <c r="AG41" i="5"/>
  <c r="AG63" i="5" s="1"/>
  <c r="AG38" i="5"/>
  <c r="AG39" i="5"/>
  <c r="AG51" i="5" s="1"/>
  <c r="AG40" i="5"/>
  <c r="AG57" i="5" s="1"/>
  <c r="BO4" i="6"/>
  <c r="BP2" i="6"/>
  <c r="BP11" i="6" s="1"/>
  <c r="BO3" i="6"/>
  <c r="BO8" i="6"/>
  <c r="BN6" i="6"/>
  <c r="BN7" i="6"/>
  <c r="BN5" i="6"/>
  <c r="AI9" i="5"/>
  <c r="F74" i="17" l="1"/>
  <c r="H73" i="17"/>
  <c r="AH113" i="5"/>
  <c r="AJ115" i="5"/>
  <c r="AJ113" i="5" s="1"/>
  <c r="AI105" i="5"/>
  <c r="AI115" i="5"/>
  <c r="AI79" i="5"/>
  <c r="AI91" i="5" s="1"/>
  <c r="AI136" i="5"/>
  <c r="AI134" i="5" s="1"/>
  <c r="AI98" i="5"/>
  <c r="AI96" i="5" s="1"/>
  <c r="AJ98" i="5"/>
  <c r="AJ96" i="5" s="1"/>
  <c r="AK2" i="5"/>
  <c r="AK14" i="5" s="1"/>
  <c r="AJ3" i="5"/>
  <c r="AI36" i="5"/>
  <c r="AI39" i="5" s="1"/>
  <c r="AI51" i="5" s="1"/>
  <c r="AJ4" i="5"/>
  <c r="AJ11" i="5"/>
  <c r="AJ10" i="5" s="1"/>
  <c r="AJ12" i="5"/>
  <c r="AJ13" i="5" s="1"/>
  <c r="AH39" i="5"/>
  <c r="AH51" i="5" s="1"/>
  <c r="AH38" i="5"/>
  <c r="AH45" i="5" s="1"/>
  <c r="AH41" i="5"/>
  <c r="AH63" i="5" s="1"/>
  <c r="AH40" i="5"/>
  <c r="AH57" i="5" s="1"/>
  <c r="BO6" i="6"/>
  <c r="BO7" i="6"/>
  <c r="BO5" i="6"/>
  <c r="AJ9" i="5"/>
  <c r="AJ124" i="5" s="1"/>
  <c r="AJ136" i="5"/>
  <c r="AJ134" i="5" s="1"/>
  <c r="AJ7" i="5"/>
  <c r="AJ5" i="5"/>
  <c r="AJ6" i="5"/>
  <c r="BP4" i="6"/>
  <c r="BP8" i="6"/>
  <c r="BQ2" i="6"/>
  <c r="BQ11" i="6" s="1"/>
  <c r="BP3" i="6"/>
  <c r="AG45" i="5"/>
  <c r="AG37" i="5"/>
  <c r="AI124" i="5"/>
  <c r="AK11" i="5" l="1"/>
  <c r="AK10" i="5" s="1"/>
  <c r="F75" i="17"/>
  <c r="H74" i="17"/>
  <c r="AI113" i="5"/>
  <c r="AK115" i="5"/>
  <c r="AK113" i="5" s="1"/>
  <c r="AJ105" i="5"/>
  <c r="AK4" i="5"/>
  <c r="AI38" i="5"/>
  <c r="AJ79" i="5"/>
  <c r="AJ91" i="5" s="1"/>
  <c r="AK3" i="5"/>
  <c r="AK98" i="5"/>
  <c r="AK96" i="5" s="1"/>
  <c r="AI40" i="5"/>
  <c r="AI57" i="5" s="1"/>
  <c r="AI41" i="5"/>
  <c r="AI63" i="5" s="1"/>
  <c r="AL2" i="5"/>
  <c r="AL14" i="5" s="1"/>
  <c r="AK12" i="5"/>
  <c r="AK13" i="5" s="1"/>
  <c r="AH37" i="5"/>
  <c r="AJ36" i="5"/>
  <c r="AI45" i="5"/>
  <c r="BQ8" i="6"/>
  <c r="BQ4" i="6"/>
  <c r="BQ3" i="6"/>
  <c r="BR2" i="6"/>
  <c r="BR11" i="6" s="1"/>
  <c r="BP7" i="6"/>
  <c r="BP5" i="6"/>
  <c r="BP6" i="6"/>
  <c r="AK136" i="5"/>
  <c r="AK134" i="5" s="1"/>
  <c r="AK9" i="5"/>
  <c r="AK79" i="5" s="1"/>
  <c r="AK91" i="5" s="1"/>
  <c r="AK5" i="5"/>
  <c r="AK6" i="5"/>
  <c r="AK7" i="5"/>
  <c r="F76" i="17" l="1"/>
  <c r="H75" i="17"/>
  <c r="AK105" i="5"/>
  <c r="AL115" i="5"/>
  <c r="AL113" i="5" s="1"/>
  <c r="AI37" i="5"/>
  <c r="AL98" i="5"/>
  <c r="AL96" i="5" s="1"/>
  <c r="AL3" i="5"/>
  <c r="AL4" i="5"/>
  <c r="AL11" i="5"/>
  <c r="AL10" i="5" s="1"/>
  <c r="AM2" i="5"/>
  <c r="AM12" i="5" s="1"/>
  <c r="AM13" i="5" s="1"/>
  <c r="AL12" i="5"/>
  <c r="AL13" i="5" s="1"/>
  <c r="AK36" i="5"/>
  <c r="AK39" i="5" s="1"/>
  <c r="AK51" i="5" s="1"/>
  <c r="AJ41" i="5"/>
  <c r="AJ63" i="5" s="1"/>
  <c r="AJ39" i="5"/>
  <c r="AJ51" i="5" s="1"/>
  <c r="AJ38" i="5"/>
  <c r="AJ45" i="5" s="1"/>
  <c r="AJ40" i="5"/>
  <c r="AJ57" i="5" s="1"/>
  <c r="AK124" i="5"/>
  <c r="BQ7" i="6"/>
  <c r="BQ6" i="6"/>
  <c r="BQ5" i="6"/>
  <c r="BR8" i="6"/>
  <c r="BR4" i="6"/>
  <c r="BS2" i="6"/>
  <c r="BS11" i="6" s="1"/>
  <c r="BR3" i="6"/>
  <c r="AL9" i="5"/>
  <c r="AL124" i="5" s="1"/>
  <c r="AL136" i="5"/>
  <c r="AL134" i="5" s="1"/>
  <c r="AL5" i="5"/>
  <c r="AL6" i="5"/>
  <c r="AL7" i="5"/>
  <c r="F77" i="17" l="1"/>
  <c r="H76" i="17"/>
  <c r="AL105" i="5"/>
  <c r="AK38" i="5"/>
  <c r="AK40" i="5"/>
  <c r="AK57" i="5" s="1"/>
  <c r="AL79" i="5"/>
  <c r="AL91" i="5" s="1"/>
  <c r="AM14" i="5"/>
  <c r="AN2" i="5"/>
  <c r="AN12" i="5" s="1"/>
  <c r="AN13" i="5" s="1"/>
  <c r="AM3" i="5"/>
  <c r="AM11" i="5"/>
  <c r="AM10" i="5" s="1"/>
  <c r="AM4" i="5"/>
  <c r="AK41" i="5"/>
  <c r="AK63" i="5" s="1"/>
  <c r="AJ37" i="5"/>
  <c r="BR6" i="6"/>
  <c r="BR7" i="6"/>
  <c r="BR5" i="6"/>
  <c r="AK45" i="5"/>
  <c r="BS8" i="6"/>
  <c r="BS4" i="6"/>
  <c r="BT2" i="6"/>
  <c r="BT11" i="6" s="1"/>
  <c r="BS3" i="6"/>
  <c r="AL36" i="5"/>
  <c r="AM6" i="5"/>
  <c r="AM7" i="5"/>
  <c r="AM5" i="5"/>
  <c r="F78" i="17" l="1"/>
  <c r="H78" i="17" s="1"/>
  <c r="H77" i="17"/>
  <c r="AM136" i="5"/>
  <c r="AM134" i="5" s="1"/>
  <c r="AM115" i="5"/>
  <c r="AM9" i="5"/>
  <c r="AM36" i="5" s="1"/>
  <c r="AO2" i="5"/>
  <c r="AO11" i="5" s="1"/>
  <c r="AO10" i="5" s="1"/>
  <c r="AN4" i="5"/>
  <c r="AN14" i="5"/>
  <c r="AN3" i="5"/>
  <c r="AN11" i="5"/>
  <c r="AN10" i="5" s="1"/>
  <c r="AM98" i="5"/>
  <c r="AM96" i="5" s="1"/>
  <c r="AN98" i="5"/>
  <c r="AN96" i="5" s="1"/>
  <c r="AK37" i="5"/>
  <c r="AL39" i="5"/>
  <c r="AL51" i="5" s="1"/>
  <c r="AL41" i="5"/>
  <c r="AL63" i="5" s="1"/>
  <c r="AL38" i="5"/>
  <c r="AL40" i="5"/>
  <c r="AL57" i="5" s="1"/>
  <c r="BT8" i="6"/>
  <c r="BT4" i="6"/>
  <c r="BU2" i="6"/>
  <c r="BU11" i="6" s="1"/>
  <c r="BT3" i="6"/>
  <c r="AN7" i="5"/>
  <c r="AN5" i="5"/>
  <c r="AN6" i="5"/>
  <c r="BS6" i="6"/>
  <c r="BS7" i="6"/>
  <c r="BS5" i="6"/>
  <c r="AM113" i="5" l="1"/>
  <c r="AN9" i="5"/>
  <c r="AN105" i="5" s="1"/>
  <c r="AN115" i="5"/>
  <c r="AN136" i="5"/>
  <c r="AN134" i="5" s="1"/>
  <c r="AM105" i="5"/>
  <c r="AM124" i="5"/>
  <c r="AM79" i="5"/>
  <c r="AM91" i="5" s="1"/>
  <c r="AP2" i="5"/>
  <c r="AP12" i="5" s="1"/>
  <c r="AP13" i="5" s="1"/>
  <c r="AO4" i="5"/>
  <c r="AO14" i="5"/>
  <c r="AO98" i="5" s="1"/>
  <c r="AO96" i="5" s="1"/>
  <c r="AO12" i="5"/>
  <c r="AO13" i="5" s="1"/>
  <c r="AO3" i="5"/>
  <c r="AM38" i="5"/>
  <c r="AM45" i="5" s="1"/>
  <c r="AM41" i="5"/>
  <c r="AM63" i="5" s="1"/>
  <c r="AM39" i="5"/>
  <c r="AM51" i="5" s="1"/>
  <c r="AM40" i="5"/>
  <c r="AM57" i="5" s="1"/>
  <c r="AN36" i="5"/>
  <c r="BU8" i="6"/>
  <c r="BU4" i="6"/>
  <c r="BU3" i="6"/>
  <c r="BV2" i="6"/>
  <c r="BV11" i="6" s="1"/>
  <c r="AL45" i="5"/>
  <c r="AL37" i="5"/>
  <c r="AO5" i="5"/>
  <c r="AO6" i="5"/>
  <c r="AO7" i="5"/>
  <c r="BT6" i="6"/>
  <c r="BT7" i="6"/>
  <c r="BT5" i="6"/>
  <c r="AN79" i="5" l="1"/>
  <c r="AN91" i="5" s="1"/>
  <c r="AN124" i="5"/>
  <c r="AN113" i="5"/>
  <c r="AP11" i="5"/>
  <c r="AP10" i="5" s="1"/>
  <c r="AP14" i="5"/>
  <c r="AP98" i="5" s="1"/>
  <c r="AP96" i="5" s="1"/>
  <c r="AP3" i="5"/>
  <c r="AO9" i="5"/>
  <c r="AO105" i="5" s="1"/>
  <c r="AO115" i="5"/>
  <c r="AQ2" i="5"/>
  <c r="AQ14" i="5" s="1"/>
  <c r="AP4" i="5"/>
  <c r="AO136" i="5"/>
  <c r="AO134" i="5" s="1"/>
  <c r="AN38" i="5"/>
  <c r="AN45" i="5" s="1"/>
  <c r="AN41" i="5"/>
  <c r="AN63" i="5" s="1"/>
  <c r="AN39" i="5"/>
  <c r="AN51" i="5" s="1"/>
  <c r="AN40" i="5"/>
  <c r="AN57" i="5" s="1"/>
  <c r="AM37" i="5"/>
  <c r="BV8" i="6"/>
  <c r="BV4" i="6"/>
  <c r="BW2" i="6"/>
  <c r="BW11" i="6" s="1"/>
  <c r="BV3" i="6"/>
  <c r="AP9" i="5"/>
  <c r="AP79" i="5" s="1"/>
  <c r="AP91" i="5" s="1"/>
  <c r="BU7" i="6"/>
  <c r="BU6" i="6"/>
  <c r="BU5" i="6"/>
  <c r="AR2" i="5"/>
  <c r="AP5" i="5"/>
  <c r="AP6" i="5"/>
  <c r="AP7" i="5"/>
  <c r="AP136" i="5" l="1"/>
  <c r="AP134" i="5" s="1"/>
  <c r="AO113" i="5"/>
  <c r="AQ4" i="5"/>
  <c r="AO124" i="5"/>
  <c r="AO79" i="5"/>
  <c r="AO91" i="5" s="1"/>
  <c r="AQ115" i="5"/>
  <c r="AQ113" i="5" s="1"/>
  <c r="AQ12" i="5"/>
  <c r="AQ13" i="5" s="1"/>
  <c r="AP105" i="5"/>
  <c r="AP115" i="5"/>
  <c r="AO36" i="5"/>
  <c r="AO40" i="5" s="1"/>
  <c r="AO57" i="5" s="1"/>
  <c r="AQ3" i="5"/>
  <c r="AQ11" i="5"/>
  <c r="AQ10" i="5" s="1"/>
  <c r="AQ98" i="5"/>
  <c r="AQ96" i="5" s="1"/>
  <c r="AR14" i="5"/>
  <c r="AR12" i="5"/>
  <c r="AR13" i="5" s="1"/>
  <c r="AR11" i="5"/>
  <c r="AR10" i="5" s="1"/>
  <c r="AN37" i="5"/>
  <c r="AP36" i="5"/>
  <c r="AP124" i="5"/>
  <c r="AQ6" i="5"/>
  <c r="AQ7" i="5"/>
  <c r="AQ5" i="5"/>
  <c r="BW4" i="6"/>
  <c r="BX2" i="6"/>
  <c r="BX11" i="6" s="1"/>
  <c r="BW8" i="6"/>
  <c r="BW3" i="6"/>
  <c r="AQ9" i="5"/>
  <c r="AQ124" i="5" s="1"/>
  <c r="AQ136" i="5"/>
  <c r="AQ134" i="5" s="1"/>
  <c r="BV7" i="6"/>
  <c r="BV6" i="6"/>
  <c r="BV5" i="6"/>
  <c r="AR4" i="5"/>
  <c r="AR3" i="5"/>
  <c r="AS2" i="5"/>
  <c r="AP113" i="5" l="1"/>
  <c r="AQ105" i="5"/>
  <c r="AO41" i="5"/>
  <c r="AO63" i="5" s="1"/>
  <c r="AO38" i="5"/>
  <c r="AO39" i="5"/>
  <c r="AO51" i="5" s="1"/>
  <c r="AR115" i="5"/>
  <c r="AR113" i="5" s="1"/>
  <c r="AQ79" i="5"/>
  <c r="AQ91" i="5" s="1"/>
  <c r="AR98" i="5"/>
  <c r="AR96" i="5" s="1"/>
  <c r="AS12" i="5"/>
  <c r="AS13" i="5" s="1"/>
  <c r="AS14" i="5"/>
  <c r="AS11" i="5"/>
  <c r="AS10" i="5" s="1"/>
  <c r="AP39" i="5"/>
  <c r="AP51" i="5" s="1"/>
  <c r="AP38" i="5"/>
  <c r="AP45" i="5" s="1"/>
  <c r="AP41" i="5"/>
  <c r="AP63" i="5" s="1"/>
  <c r="AP40" i="5"/>
  <c r="AP57" i="5" s="1"/>
  <c r="AQ36" i="5"/>
  <c r="AR7" i="5"/>
  <c r="AR5" i="5"/>
  <c r="AR6" i="5"/>
  <c r="BX4" i="6"/>
  <c r="BX8" i="6"/>
  <c r="BY2" i="6"/>
  <c r="BY11" i="6" s="1"/>
  <c r="BX3" i="6"/>
  <c r="AS4" i="5"/>
  <c r="AS3" i="5"/>
  <c r="AT2" i="5"/>
  <c r="AR136" i="5"/>
  <c r="AR134" i="5" s="1"/>
  <c r="AR9" i="5"/>
  <c r="AR79" i="5" s="1"/>
  <c r="AR91" i="5" s="1"/>
  <c r="BW6" i="6"/>
  <c r="BW5" i="6"/>
  <c r="BW7" i="6"/>
  <c r="AO45" i="5" l="1"/>
  <c r="AO37" i="5"/>
  <c r="AS115" i="5"/>
  <c r="AS113" i="5" s="1"/>
  <c r="AR105" i="5"/>
  <c r="AS98" i="5"/>
  <c r="AS96" i="5" s="1"/>
  <c r="AT12" i="5"/>
  <c r="AT13" i="5" s="1"/>
  <c r="AT14" i="5"/>
  <c r="AT11" i="5"/>
  <c r="AT10" i="5" s="1"/>
  <c r="AP37" i="5"/>
  <c r="AQ41" i="5"/>
  <c r="AQ63" i="5" s="1"/>
  <c r="AQ38" i="5"/>
  <c r="AQ45" i="5" s="1"/>
  <c r="AQ39" i="5"/>
  <c r="AQ51" i="5" s="1"/>
  <c r="AQ40" i="5"/>
  <c r="AQ57" i="5" s="1"/>
  <c r="AR124" i="5"/>
  <c r="AU2" i="5"/>
  <c r="AT4" i="5"/>
  <c r="AT3" i="5"/>
  <c r="AR36" i="5"/>
  <c r="AS9" i="5"/>
  <c r="AS36" i="5" s="1"/>
  <c r="AS136" i="5"/>
  <c r="AS134" i="5" s="1"/>
  <c r="AS5" i="5"/>
  <c r="AS6" i="5"/>
  <c r="AS7" i="5"/>
  <c r="BY8" i="6"/>
  <c r="BY4" i="6"/>
  <c r="BY3" i="6"/>
  <c r="BZ2" i="6"/>
  <c r="BZ11" i="6" s="1"/>
  <c r="BX6" i="6"/>
  <c r="BX5" i="6"/>
  <c r="BX7" i="6"/>
  <c r="AS105" i="5" l="1"/>
  <c r="AT115" i="5"/>
  <c r="AT113" i="5" s="1"/>
  <c r="AS79" i="5"/>
  <c r="AS91" i="5" s="1"/>
  <c r="AT98" i="5"/>
  <c r="AT96" i="5" s="1"/>
  <c r="AU14" i="5"/>
  <c r="AU12" i="5"/>
  <c r="AU13" i="5" s="1"/>
  <c r="AU11" i="5"/>
  <c r="AU10" i="5" s="1"/>
  <c r="AQ37" i="5"/>
  <c r="AS124" i="5"/>
  <c r="AS39" i="5"/>
  <c r="AS51" i="5" s="1"/>
  <c r="AS41" i="5"/>
  <c r="AS63" i="5" s="1"/>
  <c r="AS38" i="5"/>
  <c r="AS40" i="5"/>
  <c r="AS57" i="5" s="1"/>
  <c r="BZ8" i="6"/>
  <c r="CA2" i="6"/>
  <c r="CA11" i="6" s="1"/>
  <c r="BZ4" i="6"/>
  <c r="BZ3" i="6"/>
  <c r="AR41" i="5"/>
  <c r="AR63" i="5" s="1"/>
  <c r="AR39" i="5"/>
  <c r="AR51" i="5" s="1"/>
  <c r="AR38" i="5"/>
  <c r="AR40" i="5"/>
  <c r="AR57" i="5" s="1"/>
  <c r="AT136" i="5"/>
  <c r="AT134" i="5" s="1"/>
  <c r="AT9" i="5"/>
  <c r="AT79" i="5" s="1"/>
  <c r="AT91" i="5" s="1"/>
  <c r="AU4" i="5"/>
  <c r="AU3" i="5"/>
  <c r="AT5" i="5"/>
  <c r="AT6" i="5"/>
  <c r="AT7" i="5"/>
  <c r="BY7" i="6"/>
  <c r="BY6" i="6"/>
  <c r="BY5" i="6"/>
  <c r="AU115" i="5" l="1"/>
  <c r="AU113" i="5" s="1"/>
  <c r="AT105" i="5"/>
  <c r="AU98" i="5"/>
  <c r="AU96" i="5" s="1"/>
  <c r="AT36" i="5"/>
  <c r="AT124" i="5"/>
  <c r="BZ6" i="6"/>
  <c r="BZ7" i="6"/>
  <c r="BZ5" i="6"/>
  <c r="AU6" i="5"/>
  <c r="AU7" i="5"/>
  <c r="AU5" i="5"/>
  <c r="AU9" i="5"/>
  <c r="AU79" i="5" s="1"/>
  <c r="AU91" i="5" s="1"/>
  <c r="AU136" i="5"/>
  <c r="AU134" i="5" s="1"/>
  <c r="AS45" i="5"/>
  <c r="AS37" i="5"/>
  <c r="AR45" i="5"/>
  <c r="AR37" i="5"/>
  <c r="CA8" i="6"/>
  <c r="CA4" i="6"/>
  <c r="CB2" i="6"/>
  <c r="CB11" i="6" s="1"/>
  <c r="CA3" i="6"/>
  <c r="AU105" i="5" l="1"/>
  <c r="AT38" i="5"/>
  <c r="AT45" i="5" s="1"/>
  <c r="AT39" i="5"/>
  <c r="AT51" i="5" s="1"/>
  <c r="AT41" i="5"/>
  <c r="AT63" i="5" s="1"/>
  <c r="AT40" i="5"/>
  <c r="AT57" i="5" s="1"/>
  <c r="AU36" i="5"/>
  <c r="AU124" i="5"/>
  <c r="CB8" i="6"/>
  <c r="CB4" i="6"/>
  <c r="CC2" i="6"/>
  <c r="CC11" i="6" s="1"/>
  <c r="CB3" i="6"/>
  <c r="CA7" i="6"/>
  <c r="CA5" i="6"/>
  <c r="CA6" i="6"/>
  <c r="AU39" i="5" l="1"/>
  <c r="AU51" i="5" s="1"/>
  <c r="AT37" i="5"/>
  <c r="AU38" i="5"/>
  <c r="AU45" i="5" s="1"/>
  <c r="AU41" i="5"/>
  <c r="AU63" i="5" s="1"/>
  <c r="AU40" i="5"/>
  <c r="AU57" i="5" s="1"/>
  <c r="CC8" i="6"/>
  <c r="CC4" i="6"/>
  <c r="CC3" i="6"/>
  <c r="CD2" i="6"/>
  <c r="CD11" i="6" s="1"/>
  <c r="J11" i="6" s="1"/>
  <c r="CB5" i="6"/>
  <c r="CB6" i="6"/>
  <c r="CB7" i="6"/>
  <c r="AU37" i="5" l="1"/>
  <c r="CC7" i="6"/>
  <c r="CC6" i="6"/>
  <c r="CC5" i="6"/>
  <c r="CD8" i="6"/>
  <c r="CD4" i="6"/>
  <c r="CD3" i="6"/>
  <c r="CD6" i="6" l="1"/>
  <c r="CD7" i="6"/>
  <c r="CD5" i="6"/>
  <c r="L37" i="19"/>
  <c r="M36" i="19"/>
  <c r="K36" i="19"/>
  <c r="L36" i="19"/>
  <c r="K37" i="19"/>
  <c r="M37" i="19"/>
  <c r="K38" i="19" l="1"/>
  <c r="L38" i="19"/>
  <c r="M38" i="19"/>
  <c r="J41" i="5"/>
  <c r="J57" i="5"/>
  <c r="J51" i="5"/>
  <c r="J63" i="5" l="1"/>
  <c r="J38" i="5"/>
  <c r="J40" i="5"/>
  <c r="J39" i="5"/>
  <c r="J45" i="5"/>
  <c r="J36" i="5" l="1"/>
  <c r="V48" i="4"/>
  <c r="V51" i="4"/>
  <c r="V49" i="4"/>
  <c r="D121" i="16" l="1"/>
  <c r="V50" i="4"/>
  <c r="V52" i="4" s="1"/>
  <c r="D122" i="16"/>
  <c r="D124" i="16"/>
  <c r="J136" i="5"/>
  <c r="AD24" i="4"/>
  <c r="AA38" i="4"/>
  <c r="X53" i="4"/>
  <c r="AF54" i="4"/>
  <c r="AF24" i="4"/>
  <c r="W16" i="4"/>
  <c r="AD54" i="4"/>
  <c r="AE24" i="4"/>
  <c r="AA16" i="4"/>
  <c r="X54" i="4"/>
  <c r="AC16" i="4"/>
  <c r="X37" i="4"/>
  <c r="AA54" i="4"/>
  <c r="AE38" i="4"/>
  <c r="AC53" i="4"/>
  <c r="Z54" i="4"/>
  <c r="AA37" i="4"/>
  <c r="V53" i="4"/>
  <c r="Z37" i="4"/>
  <c r="X24" i="4"/>
  <c r="X16" i="4"/>
  <c r="AB16" i="4"/>
  <c r="AB38" i="4"/>
  <c r="AD53" i="4"/>
  <c r="Z16" i="4"/>
  <c r="AD16" i="4"/>
  <c r="W38" i="4"/>
  <c r="AA53" i="4"/>
  <c r="AD37" i="4"/>
  <c r="AE54" i="4"/>
  <c r="Y53" i="4"/>
  <c r="AF38" i="4"/>
  <c r="AC24" i="4"/>
  <c r="W54" i="4"/>
  <c r="W37" i="4"/>
  <c r="V35" i="4"/>
  <c r="Y37" i="4"/>
  <c r="Z24" i="4"/>
  <c r="AF37" i="4"/>
  <c r="AB54" i="4"/>
  <c r="AC37" i="4"/>
  <c r="Y54" i="4"/>
  <c r="V54" i="4"/>
  <c r="AF16" i="4"/>
  <c r="AE16" i="4"/>
  <c r="AD38" i="4"/>
  <c r="AC38" i="4"/>
  <c r="W24" i="4"/>
  <c r="AB53" i="4"/>
  <c r="V33" i="4"/>
  <c r="Z53" i="4"/>
  <c r="Y38" i="4"/>
  <c r="AC54" i="4"/>
  <c r="AA24" i="4"/>
  <c r="Y24" i="4"/>
  <c r="AB24" i="4"/>
  <c r="AF53" i="4"/>
  <c r="V37" i="4"/>
  <c r="W53" i="4"/>
  <c r="AE53" i="4"/>
  <c r="X38" i="4"/>
  <c r="Y16" i="4"/>
  <c r="O41" i="19" l="1"/>
  <c r="P41" i="19"/>
  <c r="N41" i="19"/>
  <c r="D194" i="16"/>
  <c r="D205" i="16" s="1"/>
  <c r="D234" i="16" s="1"/>
  <c r="H326" i="16"/>
  <c r="G326" i="16"/>
  <c r="F326" i="16"/>
  <c r="I314" i="16"/>
  <c r="H314" i="16"/>
  <c r="G314" i="16"/>
  <c r="D123" i="16"/>
  <c r="D125" i="16"/>
  <c r="J113" i="5"/>
  <c r="J115" i="5"/>
  <c r="J105" i="5"/>
  <c r="E126" i="16"/>
  <c r="G126" i="16"/>
  <c r="F126" i="16"/>
  <c r="E112" i="16"/>
  <c r="G112" i="16"/>
  <c r="E111" i="16"/>
  <c r="F112" i="16"/>
  <c r="D107" i="16"/>
  <c r="F111" i="16"/>
  <c r="D111" i="16"/>
  <c r="G111" i="16"/>
  <c r="D109" i="16"/>
  <c r="J96" i="5"/>
  <c r="J98" i="5"/>
  <c r="W15" i="4"/>
  <c r="J124" i="5"/>
  <c r="AA15" i="4"/>
  <c r="AD15" i="4"/>
  <c r="AE15" i="4"/>
  <c r="AC15" i="4"/>
  <c r="U16" i="4"/>
  <c r="Y15" i="4"/>
  <c r="AB15" i="4"/>
  <c r="Z15" i="4"/>
  <c r="X15" i="4"/>
  <c r="AF15" i="4"/>
  <c r="AB37" i="4"/>
  <c r="AE37" i="4"/>
  <c r="V38" i="4"/>
  <c r="Z38" i="4"/>
  <c r="D338" i="16" l="1"/>
  <c r="E338" i="16" s="1"/>
  <c r="D112" i="16"/>
  <c r="U38" i="4"/>
  <c r="C112" i="16" s="1"/>
  <c r="U37" i="4"/>
  <c r="C111" i="16" s="1"/>
  <c r="J79" i="5"/>
  <c r="U15" i="4"/>
  <c r="F338" i="16" l="1"/>
  <c r="M53" i="4"/>
  <c r="M55" i="4"/>
  <c r="G338" i="16" l="1"/>
  <c r="H338" i="16" l="1"/>
  <c r="I338" i="16" l="1"/>
  <c r="P27" i="19"/>
  <c r="M27" i="19"/>
  <c r="L22" i="19"/>
  <c r="O17" i="19"/>
  <c r="K29" i="19"/>
  <c r="M29" i="19"/>
  <c r="O23" i="19"/>
  <c r="M23" i="19"/>
  <c r="O26" i="19"/>
  <c r="L13" i="19"/>
  <c r="K26" i="19"/>
  <c r="N15" i="19"/>
  <c r="L26" i="19"/>
  <c r="N11" i="19"/>
  <c r="P24" i="19"/>
  <c r="K13" i="19"/>
  <c r="L11" i="19"/>
  <c r="O37" i="19"/>
  <c r="M15" i="19"/>
  <c r="K24" i="19"/>
  <c r="L27" i="19"/>
  <c r="L30" i="19"/>
  <c r="M30" i="19"/>
  <c r="P21" i="19"/>
  <c r="K14" i="19"/>
  <c r="O27" i="19"/>
  <c r="N12" i="19"/>
  <c r="P29" i="19"/>
  <c r="O36" i="19"/>
  <c r="M20" i="19"/>
  <c r="M22" i="19"/>
  <c r="O25" i="19"/>
  <c r="N23" i="19"/>
  <c r="M24" i="19"/>
  <c r="P25" i="19"/>
  <c r="O30" i="19"/>
  <c r="P36" i="19"/>
  <c r="P12" i="19"/>
  <c r="N28" i="19"/>
  <c r="M28" i="19"/>
  <c r="M26" i="19"/>
  <c r="L28" i="19"/>
  <c r="M11" i="19"/>
  <c r="K30" i="19"/>
  <c r="L23" i="19"/>
  <c r="P11" i="19"/>
  <c r="L25" i="19"/>
  <c r="K22" i="19"/>
  <c r="P17" i="19"/>
  <c r="P15" i="19"/>
  <c r="N20" i="19"/>
  <c r="K27" i="19"/>
  <c r="K15" i="19"/>
  <c r="K12" i="19"/>
  <c r="O13" i="19"/>
  <c r="L24" i="19"/>
  <c r="O24" i="19"/>
  <c r="M13" i="19"/>
  <c r="M21" i="19"/>
  <c r="O12" i="19"/>
  <c r="K20" i="19"/>
  <c r="M17" i="19"/>
  <c r="K28" i="19"/>
  <c r="L14" i="19"/>
  <c r="N37" i="19"/>
  <c r="N24" i="19"/>
  <c r="L21" i="19"/>
  <c r="P37" i="19"/>
  <c r="K25" i="19"/>
  <c r="N36" i="19"/>
  <c r="L12" i="19"/>
  <c r="P26" i="19"/>
  <c r="M12" i="19"/>
  <c r="O22" i="19"/>
  <c r="P22" i="19"/>
  <c r="L15" i="19"/>
  <c r="O21" i="19"/>
  <c r="L17" i="19"/>
  <c r="N27" i="19"/>
  <c r="K17" i="19"/>
  <c r="N26" i="19"/>
  <c r="O28" i="19"/>
  <c r="O11" i="19"/>
  <c r="P28" i="19"/>
  <c r="P20" i="19"/>
  <c r="N30" i="19"/>
  <c r="N17" i="19"/>
  <c r="O14" i="19"/>
  <c r="O20" i="19"/>
  <c r="K21" i="19"/>
  <c r="N29" i="19"/>
  <c r="K11" i="19"/>
  <c r="L20" i="19"/>
  <c r="N13" i="19"/>
  <c r="M25" i="19"/>
  <c r="N14" i="19"/>
  <c r="P13" i="19"/>
  <c r="K23" i="19"/>
  <c r="N21" i="19"/>
  <c r="O29" i="19"/>
  <c r="M14" i="19"/>
  <c r="N25" i="19"/>
  <c r="L29" i="19"/>
  <c r="O15" i="19"/>
  <c r="N22" i="19"/>
  <c r="P23" i="19"/>
  <c r="P30" i="19"/>
  <c r="P14" i="19"/>
  <c r="L30" i="4" l="1"/>
  <c r="AS17" i="18" s="1"/>
  <c r="L32" i="4"/>
  <c r="AS19" i="18" s="1"/>
  <c r="L28" i="4"/>
  <c r="AS15" i="18" s="1"/>
  <c r="R17" i="19"/>
  <c r="V17" i="19"/>
  <c r="U17" i="19"/>
  <c r="S17" i="19"/>
  <c r="T17" i="19"/>
  <c r="R25" i="19"/>
  <c r="U29" i="19"/>
  <c r="S30" i="19"/>
  <c r="R28" i="19"/>
  <c r="U26" i="19"/>
  <c r="S25" i="19"/>
  <c r="R30" i="19"/>
  <c r="S28" i="19"/>
  <c r="V28" i="19"/>
  <c r="U20" i="19"/>
  <c r="V30" i="19"/>
  <c r="V20" i="19"/>
  <c r="R27" i="19"/>
  <c r="V25" i="19"/>
  <c r="T27" i="19"/>
  <c r="S29" i="19"/>
  <c r="U25" i="19"/>
  <c r="T30" i="19"/>
  <c r="S20" i="19"/>
  <c r="T28" i="19"/>
  <c r="U27" i="19"/>
  <c r="T25" i="19"/>
  <c r="S26" i="19"/>
  <c r="R29" i="19"/>
  <c r="V27" i="19"/>
  <c r="T29" i="19"/>
  <c r="R26" i="19"/>
  <c r="V29" i="19"/>
  <c r="U28" i="19"/>
  <c r="T20" i="19"/>
  <c r="V26" i="19"/>
  <c r="U30" i="19"/>
  <c r="T26" i="19"/>
  <c r="S27" i="19"/>
  <c r="R20" i="19"/>
  <c r="R21" i="19"/>
  <c r="S23" i="19"/>
  <c r="S21" i="19"/>
  <c r="S24" i="19"/>
  <c r="T23" i="19"/>
  <c r="V21" i="19"/>
  <c r="T21" i="19"/>
  <c r="T22" i="19"/>
  <c r="V23" i="19"/>
  <c r="U23" i="19"/>
  <c r="S22" i="19"/>
  <c r="V22" i="19"/>
  <c r="T24" i="19"/>
  <c r="R23" i="19"/>
  <c r="R22" i="19"/>
  <c r="U24" i="19"/>
  <c r="V24" i="19"/>
  <c r="R24" i="19"/>
  <c r="U22" i="19"/>
  <c r="U21" i="19"/>
  <c r="U12" i="19"/>
  <c r="S13" i="19"/>
  <c r="V14" i="19"/>
  <c r="T13" i="19"/>
  <c r="U14" i="19"/>
  <c r="R13" i="19"/>
  <c r="R12" i="19"/>
  <c r="R14" i="19"/>
  <c r="V13" i="19"/>
  <c r="U13" i="19"/>
  <c r="T14" i="19"/>
  <c r="T12" i="19"/>
  <c r="S12" i="19"/>
  <c r="S14" i="19"/>
  <c r="V12" i="19"/>
  <c r="T11" i="19"/>
  <c r="V11" i="19"/>
  <c r="S11" i="19"/>
  <c r="U11" i="19"/>
  <c r="R11" i="19"/>
  <c r="J21" i="19"/>
  <c r="D263" i="16"/>
  <c r="F261" i="16"/>
  <c r="D261" i="16"/>
  <c r="D262" i="16"/>
  <c r="F263" i="16"/>
  <c r="E263" i="16"/>
  <c r="J22" i="19"/>
  <c r="F262" i="16"/>
  <c r="D264" i="16"/>
  <c r="E264" i="16"/>
  <c r="F264" i="16"/>
  <c r="J23" i="19"/>
  <c r="J24" i="19"/>
  <c r="E262" i="16"/>
  <c r="E261" i="16"/>
  <c r="D316" i="16"/>
  <c r="E316" i="16"/>
  <c r="J37" i="19"/>
  <c r="O38" i="19"/>
  <c r="X18" i="4" s="1"/>
  <c r="P38" i="19"/>
  <c r="Y18" i="4" s="1"/>
  <c r="N38" i="19"/>
  <c r="W18" i="4" s="1"/>
  <c r="F316" i="16"/>
  <c r="D303" i="16"/>
  <c r="D301" i="16"/>
  <c r="D306" i="16"/>
  <c r="D309" i="16"/>
  <c r="D298" i="16"/>
  <c r="D307" i="16"/>
  <c r="D302" i="16"/>
  <c r="D308" i="16"/>
  <c r="D311" i="16"/>
  <c r="D300" i="16"/>
  <c r="D310" i="16"/>
  <c r="D305" i="16"/>
  <c r="D299" i="16"/>
  <c r="E307" i="16"/>
  <c r="E302" i="16"/>
  <c r="E306" i="16"/>
  <c r="E309" i="16"/>
  <c r="E298" i="16"/>
  <c r="E303" i="16"/>
  <c r="E308" i="16"/>
  <c r="E311" i="16"/>
  <c r="E300" i="16"/>
  <c r="E301" i="16"/>
  <c r="E310" i="16"/>
  <c r="E305" i="16"/>
  <c r="E299" i="16"/>
  <c r="F310" i="16"/>
  <c r="F311" i="16"/>
  <c r="F305" i="16"/>
  <c r="F298" i="16"/>
  <c r="F301" i="16"/>
  <c r="F302" i="16"/>
  <c r="F306" i="16"/>
  <c r="F303" i="16"/>
  <c r="F300" i="16"/>
  <c r="F309" i="16"/>
  <c r="F307" i="16"/>
  <c r="F308" i="16"/>
  <c r="F299" i="16"/>
  <c r="I311" i="16"/>
  <c r="G310" i="16"/>
  <c r="I310" i="16"/>
  <c r="H306" i="16"/>
  <c r="H309" i="16"/>
  <c r="G311" i="16"/>
  <c r="I308" i="16"/>
  <c r="H307" i="16"/>
  <c r="G309" i="16"/>
  <c r="I307" i="16"/>
  <c r="H308" i="16"/>
  <c r="H311" i="16"/>
  <c r="G306" i="16"/>
  <c r="I306" i="16"/>
  <c r="I309" i="16"/>
  <c r="H310" i="16"/>
  <c r="G307" i="16"/>
  <c r="G308" i="16"/>
  <c r="I305" i="16"/>
  <c r="G305" i="16"/>
  <c r="H305" i="16"/>
  <c r="H303" i="16"/>
  <c r="I303" i="16"/>
  <c r="G303" i="16"/>
  <c r="G302" i="16"/>
  <c r="I302" i="16"/>
  <c r="H302" i="16"/>
  <c r="I301" i="16"/>
  <c r="G301" i="16"/>
  <c r="H301" i="16"/>
  <c r="I300" i="16"/>
  <c r="G300" i="16"/>
  <c r="H300" i="16"/>
  <c r="I299" i="16"/>
  <c r="H299" i="16"/>
  <c r="G299" i="16"/>
  <c r="H298" i="16"/>
  <c r="G298" i="16"/>
  <c r="I298" i="16"/>
  <c r="F286" i="16"/>
  <c r="D286" i="16"/>
  <c r="E286" i="16"/>
  <c r="E285" i="16"/>
  <c r="F285" i="16"/>
  <c r="D285" i="16"/>
  <c r="K31" i="19"/>
  <c r="L31" i="19"/>
  <c r="P31" i="19"/>
  <c r="O31" i="19"/>
  <c r="N31" i="19"/>
  <c r="M31" i="19"/>
  <c r="F265" i="16"/>
  <c r="F267" i="16"/>
  <c r="F269" i="16"/>
  <c r="F266" i="16"/>
  <c r="F268" i="16"/>
  <c r="F270" i="16"/>
  <c r="F260" i="16"/>
  <c r="E265" i="16"/>
  <c r="E267" i="16"/>
  <c r="E269" i="16"/>
  <c r="E266" i="16"/>
  <c r="E268" i="16"/>
  <c r="E270" i="16"/>
  <c r="E260" i="16"/>
  <c r="D266" i="16"/>
  <c r="D268" i="16"/>
  <c r="D270" i="16"/>
  <c r="D265" i="16"/>
  <c r="D267" i="16"/>
  <c r="D269" i="16"/>
  <c r="D260" i="16"/>
  <c r="L16" i="19"/>
  <c r="L18" i="19" s="1"/>
  <c r="M16" i="19"/>
  <c r="M18" i="19" s="1"/>
  <c r="K16" i="19"/>
  <c r="J11" i="19"/>
  <c r="N16" i="19"/>
  <c r="N18" i="19" s="1"/>
  <c r="O16" i="19"/>
  <c r="O18" i="19" s="1"/>
  <c r="P16" i="19"/>
  <c r="P18" i="19" s="1"/>
  <c r="J36" i="19"/>
  <c r="J25" i="19"/>
  <c r="J27" i="19"/>
  <c r="J26" i="19"/>
  <c r="J20" i="19"/>
  <c r="J17" i="19"/>
  <c r="J12" i="19"/>
  <c r="J14" i="19"/>
  <c r="J13" i="19"/>
  <c r="J15" i="19"/>
  <c r="I316" i="16" l="1"/>
  <c r="H316" i="16"/>
  <c r="G316" i="16"/>
  <c r="D287" i="16"/>
  <c r="S31" i="19"/>
  <c r="U31" i="19"/>
  <c r="R31" i="19"/>
  <c r="T31" i="19"/>
  <c r="V31" i="19"/>
  <c r="E278" i="16"/>
  <c r="F278" i="16"/>
  <c r="F287" i="16"/>
  <c r="J38" i="19"/>
  <c r="D304" i="16"/>
  <c r="E304" i="16"/>
  <c r="D297" i="16"/>
  <c r="D296" i="16" s="1"/>
  <c r="F297" i="16"/>
  <c r="F296" i="16" s="1"/>
  <c r="E297" i="16"/>
  <c r="E296" i="16" s="1"/>
  <c r="F304" i="16"/>
  <c r="M307" i="16"/>
  <c r="L309" i="16"/>
  <c r="L306" i="16"/>
  <c r="L307" i="16"/>
  <c r="L310" i="16"/>
  <c r="L308" i="16"/>
  <c r="M310" i="16"/>
  <c r="M308" i="16"/>
  <c r="M309" i="16"/>
  <c r="M306" i="16"/>
  <c r="H297" i="16"/>
  <c r="H296" i="16" s="1"/>
  <c r="I297" i="16"/>
  <c r="I296" i="16" s="1"/>
  <c r="G297" i="16"/>
  <c r="G296" i="16" s="1"/>
  <c r="E287" i="16"/>
  <c r="D278" i="16"/>
  <c r="E271" i="16"/>
  <c r="F271" i="16"/>
  <c r="D271" i="16"/>
  <c r="O32" i="19"/>
  <c r="O34" i="19" s="1"/>
  <c r="P32" i="19"/>
  <c r="P34" i="19" s="1"/>
  <c r="K18" i="19"/>
  <c r="J16" i="19"/>
  <c r="M32" i="19"/>
  <c r="M34" i="19" s="1"/>
  <c r="J31" i="19"/>
  <c r="N32" i="19"/>
  <c r="N34" i="19" s="1"/>
  <c r="L32" i="19"/>
  <c r="L34" i="19" s="1"/>
  <c r="T32" i="19" l="1"/>
  <c r="F279" i="16"/>
  <c r="E279" i="16"/>
  <c r="M42" i="19"/>
  <c r="S32" i="19"/>
  <c r="O45" i="19"/>
  <c r="U32" i="19"/>
  <c r="L42" i="19"/>
  <c r="P45" i="19"/>
  <c r="V32" i="19"/>
  <c r="M45" i="19"/>
  <c r="M43" i="19"/>
  <c r="L45" i="19"/>
  <c r="L43" i="19"/>
  <c r="D312" i="16"/>
  <c r="D315" i="16" s="1"/>
  <c r="E312" i="16"/>
  <c r="F312" i="16"/>
  <c r="L305" i="16"/>
  <c r="M311" i="16"/>
  <c r="L311" i="16"/>
  <c r="M305" i="16"/>
  <c r="I304" i="16"/>
  <c r="I312" i="16" s="1"/>
  <c r="H304" i="16"/>
  <c r="G304" i="16"/>
  <c r="J296" i="16"/>
  <c r="D335" i="16" s="1"/>
  <c r="N45" i="19"/>
  <c r="H24" i="4"/>
  <c r="H26" i="4" s="1"/>
  <c r="D279" i="16"/>
  <c r="K32" i="19"/>
  <c r="J18" i="19"/>
  <c r="J22" i="5"/>
  <c r="E315" i="16" l="1"/>
  <c r="E317" i="16" s="1"/>
  <c r="I315" i="16"/>
  <c r="I317" i="16" s="1"/>
  <c r="F315" i="16"/>
  <c r="F317" i="16" s="1"/>
  <c r="D317" i="16"/>
  <c r="K34" i="19"/>
  <c r="R32" i="19"/>
  <c r="K43" i="19"/>
  <c r="K42" i="19"/>
  <c r="L304" i="16"/>
  <c r="J304" i="16"/>
  <c r="H336" i="16" s="1"/>
  <c r="H312" i="16"/>
  <c r="M304" i="16"/>
  <c r="E335" i="16"/>
  <c r="G312" i="16"/>
  <c r="G42" i="4"/>
  <c r="G43" i="4" s="1"/>
  <c r="H39" i="4"/>
  <c r="H4" i="16" s="1"/>
  <c r="G40" i="4"/>
  <c r="G41" i="4"/>
  <c r="G39" i="4"/>
  <c r="G4" i="16" s="1"/>
  <c r="H42" i="4"/>
  <c r="H43" i="4" s="1"/>
  <c r="H41" i="4"/>
  <c r="H40" i="4"/>
  <c r="J32" i="19"/>
  <c r="K135" i="5"/>
  <c r="J135" i="5" s="1"/>
  <c r="H315" i="16" l="1"/>
  <c r="H317" i="16" s="1"/>
  <c r="G315" i="16"/>
  <c r="G317" i="16" s="1"/>
  <c r="J34" i="19"/>
  <c r="J39" i="19" s="1"/>
  <c r="H39" i="19" s="1"/>
  <c r="K45" i="19"/>
  <c r="J45" i="19" s="1"/>
  <c r="D336" i="16"/>
  <c r="D337" i="16" s="1"/>
  <c r="D339" i="16" s="1"/>
  <c r="I331" i="16"/>
  <c r="E331" i="16"/>
  <c r="D331" i="16"/>
  <c r="H331" i="16"/>
  <c r="F331" i="16"/>
  <c r="G331" i="16"/>
  <c r="E336" i="16"/>
  <c r="E337" i="16" s="1"/>
  <c r="E340" i="16" s="1"/>
  <c r="F336" i="16"/>
  <c r="I336" i="16"/>
  <c r="G336" i="16"/>
  <c r="F335" i="16"/>
  <c r="J312" i="16"/>
  <c r="K134" i="5"/>
  <c r="D340" i="16" l="1"/>
  <c r="E339" i="16"/>
  <c r="G335" i="16"/>
  <c r="F337" i="16"/>
  <c r="J134" i="5"/>
  <c r="K137" i="5"/>
  <c r="F339" i="16" l="1"/>
  <c r="F340" i="16"/>
  <c r="H335" i="16"/>
  <c r="G337" i="16"/>
  <c r="V55" i="4"/>
  <c r="D128" i="16" s="1"/>
  <c r="D126" i="16"/>
  <c r="E127" i="16"/>
  <c r="F127" i="16"/>
  <c r="G127" i="16"/>
  <c r="D127" i="16"/>
  <c r="V34" i="4"/>
  <c r="G339" i="16" l="1"/>
  <c r="G340" i="16"/>
  <c r="I335" i="16"/>
  <c r="I337" i="16" s="1"/>
  <c r="H337" i="16"/>
  <c r="BR16" i="6"/>
  <c r="AI17" i="5" s="1"/>
  <c r="Z20" i="5"/>
  <c r="BP16" i="6"/>
  <c r="BF16" i="6"/>
  <c r="W17" i="5" s="1"/>
  <c r="AR16" i="6"/>
  <c r="AR18" i="6" s="1"/>
  <c r="L19" i="5" s="1"/>
  <c r="CA16" i="6"/>
  <c r="AR17" i="5" s="1"/>
  <c r="AA20" i="5"/>
  <c r="AD20" i="5"/>
  <c r="AG20" i="5"/>
  <c r="BB16" i="6"/>
  <c r="S17" i="5" s="1"/>
  <c r="BX16" i="6"/>
  <c r="AO17" i="5" s="1"/>
  <c r="BG16" i="6"/>
  <c r="X17" i="5" s="1"/>
  <c r="BC16" i="6"/>
  <c r="V20" i="5"/>
  <c r="BH16" i="6"/>
  <c r="AU20" i="5"/>
  <c r="P20" i="5"/>
  <c r="BI16" i="6"/>
  <c r="Z17" i="5" s="1"/>
  <c r="BE16" i="6"/>
  <c r="AU16" i="6"/>
  <c r="L17" i="5" s="1"/>
  <c r="N20" i="5"/>
  <c r="AV16" i="6"/>
  <c r="U20" i="5"/>
  <c r="BO16" i="6"/>
  <c r="AF17" i="5" s="1"/>
  <c r="BV16" i="6"/>
  <c r="AM17" i="5" s="1"/>
  <c r="AL20" i="5"/>
  <c r="AH20" i="5"/>
  <c r="AR20" i="5"/>
  <c r="L20" i="5"/>
  <c r="AE20" i="5"/>
  <c r="BY16" i="6"/>
  <c r="AP17" i="5" s="1"/>
  <c r="CB16" i="6"/>
  <c r="AS17" i="5" s="1"/>
  <c r="BN16" i="6"/>
  <c r="AE17" i="5" s="1"/>
  <c r="BU16" i="6"/>
  <c r="AL17" i="5" s="1"/>
  <c r="AO20" i="5"/>
  <c r="X20" i="5"/>
  <c r="AW16" i="6"/>
  <c r="T20" i="5"/>
  <c r="BW16" i="6"/>
  <c r="AN17" i="5" s="1"/>
  <c r="BD16" i="6"/>
  <c r="U17" i="5" s="1"/>
  <c r="AB20" i="5"/>
  <c r="CC16" i="6"/>
  <c r="Y20" i="5"/>
  <c r="AP20" i="5"/>
  <c r="BA16" i="6"/>
  <c r="BL16" i="6"/>
  <c r="AC17" i="5" s="1"/>
  <c r="V36" i="4"/>
  <c r="V40" i="4" s="1"/>
  <c r="P17" i="4" s="1"/>
  <c r="D108" i="16"/>
  <c r="BK16" i="6"/>
  <c r="AB17" i="5" s="1"/>
  <c r="BJ16" i="6"/>
  <c r="AA17" i="5" s="1"/>
  <c r="AZ16" i="6"/>
  <c r="Q17" i="5" s="1"/>
  <c r="AX16" i="6"/>
  <c r="AN20" i="5"/>
  <c r="CD16" i="6"/>
  <c r="AT20" i="5"/>
  <c r="BZ16" i="6"/>
  <c r="AQ17" i="5" s="1"/>
  <c r="AK20" i="5"/>
  <c r="AJ20" i="5"/>
  <c r="BQ16" i="6"/>
  <c r="AH17" i="5" s="1"/>
  <c r="AC20" i="5"/>
  <c r="AI20" i="5"/>
  <c r="BM16" i="6"/>
  <c r="AD17" i="5" s="1"/>
  <c r="Q20" i="5"/>
  <c r="AQ20" i="5"/>
  <c r="S20" i="5"/>
  <c r="O20" i="5"/>
  <c r="AS16" i="6"/>
  <c r="M20" i="5"/>
  <c r="R20" i="5"/>
  <c r="W20" i="5"/>
  <c r="BT16" i="6"/>
  <c r="AK17" i="5" s="1"/>
  <c r="AS20" i="5"/>
  <c r="AM20" i="5"/>
  <c r="AT16" i="6"/>
  <c r="AY16" i="6"/>
  <c r="P17" i="5" s="1"/>
  <c r="AF20" i="5"/>
  <c r="BS16" i="6"/>
  <c r="AJ17" i="5" s="1"/>
  <c r="L93" i="5"/>
  <c r="M90" i="5" s="1"/>
  <c r="M92" i="5" s="1"/>
  <c r="M88" i="5" s="1"/>
  <c r="X11" i="4"/>
  <c r="AD11" i="4"/>
  <c r="AE9" i="4"/>
  <c r="X9" i="4"/>
  <c r="Y11" i="4"/>
  <c r="W11" i="4"/>
  <c r="Z9" i="4"/>
  <c r="AD9" i="4"/>
  <c r="AF9" i="4"/>
  <c r="AF11" i="4"/>
  <c r="AB11" i="4"/>
  <c r="AC11" i="4"/>
  <c r="Z11" i="4"/>
  <c r="AC9" i="4"/>
  <c r="AB9" i="4"/>
  <c r="Y9" i="4"/>
  <c r="AA9" i="4"/>
  <c r="AE11" i="4"/>
  <c r="W9" i="4"/>
  <c r="AA11" i="4"/>
  <c r="J16" i="6" l="1"/>
  <c r="BX18" i="6"/>
  <c r="BX32" i="6" s="1"/>
  <c r="BX34" i="6" s="1"/>
  <c r="I340" i="16"/>
  <c r="I339" i="16"/>
  <c r="H340" i="16"/>
  <c r="H339" i="16"/>
  <c r="L21" i="5"/>
  <c r="L23" i="5" s="1"/>
  <c r="L43" i="5" s="1"/>
  <c r="L46" i="5" s="1"/>
  <c r="L84" i="5" s="1"/>
  <c r="L85" i="5" s="1"/>
  <c r="L81" i="5" s="1"/>
  <c r="L108" i="5" s="1"/>
  <c r="L112" i="5" s="1"/>
  <c r="AW18" i="6"/>
  <c r="Q19" i="5" s="1"/>
  <c r="Q21" i="5" s="1"/>
  <c r="Q23" i="5" s="1"/>
  <c r="Q43" i="5" s="1"/>
  <c r="N17" i="5"/>
  <c r="BH18" i="6"/>
  <c r="AB19" i="5" s="1"/>
  <c r="AB21" i="5" s="1"/>
  <c r="AB23" i="5" s="1"/>
  <c r="AB43" i="5" s="1"/>
  <c r="Y17" i="5"/>
  <c r="AX18" i="6"/>
  <c r="R19" i="5" s="1"/>
  <c r="R21" i="5" s="1"/>
  <c r="R23" i="5" s="1"/>
  <c r="R43" i="5" s="1"/>
  <c r="O17" i="5"/>
  <c r="BA18" i="6"/>
  <c r="U19" i="5" s="1"/>
  <c r="U21" i="5" s="1"/>
  <c r="U23" i="5" s="1"/>
  <c r="U43" i="5" s="1"/>
  <c r="R17" i="5"/>
  <c r="BP18" i="6"/>
  <c r="AJ19" i="5" s="1"/>
  <c r="AJ21" i="5" s="1"/>
  <c r="AJ23" i="5" s="1"/>
  <c r="AJ43" i="5" s="1"/>
  <c r="AG17" i="5"/>
  <c r="CC18" i="6"/>
  <c r="AT17" i="5"/>
  <c r="AV18" i="6"/>
  <c r="P19" i="5" s="1"/>
  <c r="P21" i="5" s="1"/>
  <c r="P23" i="5" s="1"/>
  <c r="P43" i="5" s="1"/>
  <c r="M17" i="5"/>
  <c r="CD18" i="6"/>
  <c r="AU17" i="5"/>
  <c r="BE18" i="6"/>
  <c r="Y19" i="5" s="1"/>
  <c r="Y21" i="5" s="1"/>
  <c r="Y23" i="5" s="1"/>
  <c r="Y43" i="5" s="1"/>
  <c r="V17" i="5"/>
  <c r="BC18" i="6"/>
  <c r="W19" i="5" s="1"/>
  <c r="W21" i="5" s="1"/>
  <c r="W23" i="5" s="1"/>
  <c r="W43" i="5" s="1"/>
  <c r="T17" i="5"/>
  <c r="AW32" i="6"/>
  <c r="AW34" i="6" s="1"/>
  <c r="BR18" i="6"/>
  <c r="AL19" i="5" s="1"/>
  <c r="AL21" i="5" s="1"/>
  <c r="AL23" i="5" s="1"/>
  <c r="AL43" i="5" s="1"/>
  <c r="BO18" i="6"/>
  <c r="AI19" i="5" s="1"/>
  <c r="AI21" i="5" s="1"/>
  <c r="AI23" i="5" s="1"/>
  <c r="AI43" i="5" s="1"/>
  <c r="AZ18" i="6"/>
  <c r="T19" i="5" s="1"/>
  <c r="T21" i="5" s="1"/>
  <c r="T23" i="5" s="1"/>
  <c r="T43" i="5" s="1"/>
  <c r="BQ18" i="6"/>
  <c r="AK19" i="5" s="1"/>
  <c r="AK21" i="5" s="1"/>
  <c r="AK23" i="5" s="1"/>
  <c r="AK43" i="5" s="1"/>
  <c r="AR32" i="6"/>
  <c r="AR34" i="6" s="1"/>
  <c r="BL18" i="6"/>
  <c r="AF19" i="5" s="1"/>
  <c r="AF21" i="5" s="1"/>
  <c r="AF23" i="5" s="1"/>
  <c r="AF43" i="5" s="1"/>
  <c r="BT18" i="6"/>
  <c r="AN19" i="5" s="1"/>
  <c r="AN21" i="5" s="1"/>
  <c r="AN23" i="5" s="1"/>
  <c r="AN43" i="5" s="1"/>
  <c r="BZ18" i="6"/>
  <c r="AT19" i="5" s="1"/>
  <c r="AT21" i="5" s="1"/>
  <c r="AT23" i="5" s="1"/>
  <c r="AT43" i="5" s="1"/>
  <c r="BD18" i="6"/>
  <c r="BD32" i="6" s="1"/>
  <c r="BD34" i="6" s="1"/>
  <c r="AS18" i="6"/>
  <c r="M19" i="5" s="1"/>
  <c r="M21" i="5" s="1"/>
  <c r="M23" i="5" s="1"/>
  <c r="M43" i="5" s="1"/>
  <c r="BG18" i="6"/>
  <c r="AA19" i="5" s="1"/>
  <c r="AA21" i="5" s="1"/>
  <c r="AA23" i="5" s="1"/>
  <c r="AA43" i="5" s="1"/>
  <c r="BI18" i="6"/>
  <c r="AC19" i="5" s="1"/>
  <c r="AC21" i="5" s="1"/>
  <c r="AC23" i="5" s="1"/>
  <c r="AC43" i="5" s="1"/>
  <c r="AY18" i="6"/>
  <c r="S19" i="5" s="1"/>
  <c r="S21" i="5" s="1"/>
  <c r="S23" i="5" s="1"/>
  <c r="S43" i="5" s="1"/>
  <c r="BU18" i="6"/>
  <c r="AO19" i="5" s="1"/>
  <c r="AO21" i="5" s="1"/>
  <c r="AO23" i="5" s="1"/>
  <c r="AO43" i="5" s="1"/>
  <c r="J20" i="5"/>
  <c r="J18" i="5"/>
  <c r="BK18" i="6"/>
  <c r="BK32" i="6" s="1"/>
  <c r="BK34" i="6" s="1"/>
  <c r="U11" i="4"/>
  <c r="U9" i="4"/>
  <c r="CB18" i="6"/>
  <c r="BB18" i="6"/>
  <c r="AT18" i="6"/>
  <c r="N19" i="5" s="1"/>
  <c r="N21" i="5" s="1"/>
  <c r="N23" i="5" s="1"/>
  <c r="N43" i="5" s="1"/>
  <c r="D110" i="16"/>
  <c r="V39" i="4"/>
  <c r="D113" i="16" s="1"/>
  <c r="BW18" i="6"/>
  <c r="AQ19" i="5" s="1"/>
  <c r="AQ21" i="5" s="1"/>
  <c r="AQ23" i="5" s="1"/>
  <c r="AQ43" i="5" s="1"/>
  <c r="AU18" i="6"/>
  <c r="CA18" i="6"/>
  <c r="BJ18" i="6"/>
  <c r="AD19" i="5" s="1"/>
  <c r="AD21" i="5" s="1"/>
  <c r="AD23" i="5" s="1"/>
  <c r="AD43" i="5" s="1"/>
  <c r="BN18" i="6"/>
  <c r="BF18" i="6"/>
  <c r="BS18" i="6"/>
  <c r="AM19" i="5" s="1"/>
  <c r="AM21" i="5" s="1"/>
  <c r="AM23" i="5" s="1"/>
  <c r="AM43" i="5" s="1"/>
  <c r="BM18" i="6"/>
  <c r="BY18" i="6"/>
  <c r="BV18" i="6"/>
  <c r="AA8" i="4"/>
  <c r="AE8" i="4"/>
  <c r="AC8" i="4"/>
  <c r="AF8" i="4"/>
  <c r="Z8" i="4"/>
  <c r="X8" i="4"/>
  <c r="Y8" i="4"/>
  <c r="W8" i="4"/>
  <c r="AD8" i="4"/>
  <c r="AB8" i="4"/>
  <c r="AR19" i="5" l="1"/>
  <c r="AR21" i="5" s="1"/>
  <c r="AR23" i="5" s="1"/>
  <c r="AR43" i="5" s="1"/>
  <c r="BP32" i="6"/>
  <c r="BP34" i="6" s="1"/>
  <c r="BE32" i="6"/>
  <c r="BE34" i="6" s="1"/>
  <c r="L47" i="5"/>
  <c r="M44" i="5" s="1"/>
  <c r="M46" i="5" s="1"/>
  <c r="M25" i="5" s="1"/>
  <c r="AV32" i="6"/>
  <c r="AV34" i="6" s="1"/>
  <c r="J18" i="6"/>
  <c r="AX32" i="6"/>
  <c r="AX34" i="6" s="1"/>
  <c r="L25" i="5"/>
  <c r="L49" i="5"/>
  <c r="L52" i="5" s="1"/>
  <c r="L55" i="5" s="1"/>
  <c r="L58" i="5" s="1"/>
  <c r="L61" i="5" s="1"/>
  <c r="L64" i="5" s="1"/>
  <c r="L67" i="5" s="1"/>
  <c r="L70" i="5" s="1"/>
  <c r="L71" i="5" s="1"/>
  <c r="M68" i="5" s="1"/>
  <c r="L86" i="5"/>
  <c r="M83" i="5" s="1"/>
  <c r="BH32" i="6"/>
  <c r="BH34" i="6" s="1"/>
  <c r="BA32" i="6"/>
  <c r="BA34" i="6" s="1"/>
  <c r="CD32" i="6"/>
  <c r="CD34" i="6" s="1"/>
  <c r="CC32" i="6"/>
  <c r="CC34" i="6" s="1"/>
  <c r="L129" i="5"/>
  <c r="L130" i="5" s="1"/>
  <c r="L132" i="5" s="1"/>
  <c r="L80" i="5"/>
  <c r="L99" i="5" s="1"/>
  <c r="L109" i="5"/>
  <c r="L107" i="5" s="1"/>
  <c r="BC32" i="6"/>
  <c r="BC34" i="6" s="1"/>
  <c r="BR32" i="6"/>
  <c r="BR34" i="6" s="1"/>
  <c r="BO32" i="6"/>
  <c r="BO34" i="6" s="1"/>
  <c r="AZ32" i="6"/>
  <c r="AZ34" i="6" s="1"/>
  <c r="BQ32" i="6"/>
  <c r="BQ34" i="6" s="1"/>
  <c r="BJ32" i="6"/>
  <c r="BJ34" i="6" s="1"/>
  <c r="BG32" i="6"/>
  <c r="BG34" i="6" s="1"/>
  <c r="BL32" i="6"/>
  <c r="BL34" i="6" s="1"/>
  <c r="X19" i="5"/>
  <c r="X21" i="5" s="1"/>
  <c r="X23" i="5" s="1"/>
  <c r="X43" i="5" s="1"/>
  <c r="AS32" i="6"/>
  <c r="AS34" i="6" s="1"/>
  <c r="BT32" i="6"/>
  <c r="BT34" i="6" s="1"/>
  <c r="BZ32" i="6"/>
  <c r="BZ34" i="6" s="1"/>
  <c r="J17" i="5"/>
  <c r="BI32" i="6"/>
  <c r="BI34" i="6" s="1"/>
  <c r="AY32" i="6"/>
  <c r="AY34" i="6" s="1"/>
  <c r="BU32" i="6"/>
  <c r="BU34" i="6" s="1"/>
  <c r="AD10" i="4"/>
  <c r="AD12" i="4" s="1"/>
  <c r="AE19" i="5"/>
  <c r="AE21" i="5" s="1"/>
  <c r="AE23" i="5" s="1"/>
  <c r="AE43" i="5" s="1"/>
  <c r="BW32" i="6"/>
  <c r="BW34" i="6" s="1"/>
  <c r="BS32" i="6"/>
  <c r="BS34" i="6" s="1"/>
  <c r="AE10" i="4"/>
  <c r="AE12" i="4" s="1"/>
  <c r="Y10" i="4"/>
  <c r="Y12" i="4" s="1"/>
  <c r="AF10" i="4"/>
  <c r="AF12" i="4" s="1"/>
  <c r="W10" i="4"/>
  <c r="W12" i="4" s="1"/>
  <c r="U8" i="4"/>
  <c r="Z10" i="4"/>
  <c r="Z12" i="4" s="1"/>
  <c r="AC10" i="4"/>
  <c r="AC12" i="4" s="1"/>
  <c r="AB10" i="4"/>
  <c r="AB12" i="4" s="1"/>
  <c r="AA10" i="4"/>
  <c r="AA12" i="4" s="1"/>
  <c r="X10" i="4"/>
  <c r="X12" i="4" s="1"/>
  <c r="AP19" i="5"/>
  <c r="AP21" i="5" s="1"/>
  <c r="AP23" i="5" s="1"/>
  <c r="AP43" i="5" s="1"/>
  <c r="BV32" i="6"/>
  <c r="BV34" i="6" s="1"/>
  <c r="Z19" i="5"/>
  <c r="Z21" i="5" s="1"/>
  <c r="Z23" i="5" s="1"/>
  <c r="Z43" i="5" s="1"/>
  <c r="BF32" i="6"/>
  <c r="BF34" i="6" s="1"/>
  <c r="O19" i="5"/>
  <c r="O21" i="5" s="1"/>
  <c r="O23" i="5" s="1"/>
  <c r="O43" i="5" s="1"/>
  <c r="AU32" i="6"/>
  <c r="AU34" i="6" s="1"/>
  <c r="CB32" i="6"/>
  <c r="CB34" i="6" s="1"/>
  <c r="AG19" i="5"/>
  <c r="AG21" i="5" s="1"/>
  <c r="AG23" i="5" s="1"/>
  <c r="AG43" i="5" s="1"/>
  <c r="BM32" i="6"/>
  <c r="BM34" i="6" s="1"/>
  <c r="AU19" i="5"/>
  <c r="AU21" i="5" s="1"/>
  <c r="AU23" i="5" s="1"/>
  <c r="AU43" i="5" s="1"/>
  <c r="CA32" i="6"/>
  <c r="CA34" i="6" s="1"/>
  <c r="V19" i="5"/>
  <c r="V21" i="5" s="1"/>
  <c r="V23" i="5" s="1"/>
  <c r="V43" i="5" s="1"/>
  <c r="BB32" i="6"/>
  <c r="BB34" i="6" s="1"/>
  <c r="AT32" i="6"/>
  <c r="AT34" i="6" s="1"/>
  <c r="BY32" i="6"/>
  <c r="BY34" i="6" s="1"/>
  <c r="AS19" i="5"/>
  <c r="AS21" i="5" s="1"/>
  <c r="AS23" i="5" s="1"/>
  <c r="AS43" i="5" s="1"/>
  <c r="BN32" i="6"/>
  <c r="BN34" i="6" s="1"/>
  <c r="AH19" i="5"/>
  <c r="AH21" i="5" s="1"/>
  <c r="AH23" i="5" s="1"/>
  <c r="AH43" i="5" s="1"/>
  <c r="M93" i="5"/>
  <c r="N90" i="5" s="1"/>
  <c r="N92" i="5" s="1"/>
  <c r="N88" i="5" s="1"/>
  <c r="AF26" i="4" l="1"/>
  <c r="X25" i="4"/>
  <c r="G328" i="16" s="1"/>
  <c r="Z26" i="4"/>
  <c r="Y25" i="4"/>
  <c r="P42" i="19" s="1"/>
  <c r="AA25" i="4"/>
  <c r="AE25" i="4"/>
  <c r="AE14" i="4"/>
  <c r="AE17" i="4" s="1"/>
  <c r="AD25" i="4"/>
  <c r="AC26" i="4"/>
  <c r="AB25" i="4"/>
  <c r="W26" i="4"/>
  <c r="N43" i="19" s="1"/>
  <c r="U13" i="4"/>
  <c r="L133" i="5"/>
  <c r="L131" i="5" s="1"/>
  <c r="L128" i="5"/>
  <c r="L126" i="5" s="1"/>
  <c r="J32" i="6"/>
  <c r="J34" i="6"/>
  <c r="I23" i="5" s="1"/>
  <c r="L27" i="5"/>
  <c r="L111" i="5"/>
  <c r="L110" i="5" s="1"/>
  <c r="L106" i="5" s="1"/>
  <c r="L116" i="5" s="1"/>
  <c r="L26" i="5"/>
  <c r="L30" i="5"/>
  <c r="L28" i="5"/>
  <c r="L59" i="5"/>
  <c r="M56" i="5" s="1"/>
  <c r="L53" i="5"/>
  <c r="M50" i="5" s="1"/>
  <c r="L65" i="5"/>
  <c r="M62" i="5" s="1"/>
  <c r="AF25" i="4"/>
  <c r="X14" i="4"/>
  <c r="X17" i="4" s="1"/>
  <c r="X19" i="4" s="1"/>
  <c r="O46" i="19" s="1"/>
  <c r="O47" i="19" s="1"/>
  <c r="AA26" i="4"/>
  <c r="M84" i="5"/>
  <c r="M85" i="5" s="1"/>
  <c r="M86" i="5" s="1"/>
  <c r="N83" i="5" s="1"/>
  <c r="Z25" i="4"/>
  <c r="AE26" i="4"/>
  <c r="AC25" i="4"/>
  <c r="AD14" i="4"/>
  <c r="AD17" i="4" s="1"/>
  <c r="M47" i="5"/>
  <c r="N44" i="5" s="1"/>
  <c r="N46" i="5" s="1"/>
  <c r="N84" i="5" s="1"/>
  <c r="M49" i="5"/>
  <c r="Y26" i="4"/>
  <c r="U12" i="4"/>
  <c r="Z14" i="4"/>
  <c r="Z17" i="4" s="1"/>
  <c r="J19" i="5"/>
  <c r="W25" i="4"/>
  <c r="AA14" i="4"/>
  <c r="AA17" i="4" s="1"/>
  <c r="L125" i="5"/>
  <c r="L137" i="5" s="1"/>
  <c r="AC14" i="4"/>
  <c r="AC17" i="4" s="1"/>
  <c r="AF14" i="4"/>
  <c r="AF17" i="4" s="1"/>
  <c r="U10" i="4"/>
  <c r="G325" i="16"/>
  <c r="J23" i="5"/>
  <c r="H325" i="16"/>
  <c r="AB14" i="4"/>
  <c r="AB17" i="4" s="1"/>
  <c r="F325" i="16"/>
  <c r="J21" i="5"/>
  <c r="AD26" i="4"/>
  <c r="Y14" i="4"/>
  <c r="Y17" i="4" s="1"/>
  <c r="Y19" i="4" s="1"/>
  <c r="P46" i="19" s="1"/>
  <c r="P47" i="19" s="1"/>
  <c r="AB26" i="4"/>
  <c r="X26" i="4"/>
  <c r="O42" i="19" l="1"/>
  <c r="H319" i="16"/>
  <c r="H320" i="16" s="1"/>
  <c r="I319" i="16"/>
  <c r="I320" i="16" s="1"/>
  <c r="H328" i="16"/>
  <c r="F327" i="16"/>
  <c r="W14" i="4"/>
  <c r="W17" i="4" s="1"/>
  <c r="W19" i="4" s="1"/>
  <c r="N46" i="19" s="1"/>
  <c r="N47" i="19" s="1"/>
  <c r="M52" i="5"/>
  <c r="M53" i="5" s="1"/>
  <c r="N50" i="5" s="1"/>
  <c r="L24" i="5"/>
  <c r="L29" i="5" s="1"/>
  <c r="L32" i="5" s="1"/>
  <c r="I34" i="19"/>
  <c r="H34" i="19" s="1"/>
  <c r="M81" i="5"/>
  <c r="M108" i="5" s="1"/>
  <c r="M112" i="5" s="1"/>
  <c r="G327" i="16"/>
  <c r="O43" i="19"/>
  <c r="F328" i="16"/>
  <c r="N42" i="19"/>
  <c r="H327" i="16"/>
  <c r="P43" i="19"/>
  <c r="V25" i="4"/>
  <c r="E328" i="16" s="1"/>
  <c r="N49" i="5"/>
  <c r="N52" i="5" s="1"/>
  <c r="N53" i="5" s="1"/>
  <c r="N47" i="5"/>
  <c r="O44" i="5" s="1"/>
  <c r="O46" i="5" s="1"/>
  <c r="O84" i="5" s="1"/>
  <c r="N25" i="5"/>
  <c r="U25" i="4"/>
  <c r="M12" i="4" s="1"/>
  <c r="U26" i="4"/>
  <c r="D327" i="16" s="1"/>
  <c r="D343" i="16" s="1"/>
  <c r="V26" i="4"/>
  <c r="E327" i="16" s="1"/>
  <c r="H23" i="5"/>
  <c r="M26" i="5"/>
  <c r="M55" i="5"/>
  <c r="M58" i="5" s="1"/>
  <c r="M59" i="5" s="1"/>
  <c r="N56" i="5" s="1"/>
  <c r="N85" i="5"/>
  <c r="N81" i="5" s="1"/>
  <c r="N108" i="5" s="1"/>
  <c r="N112" i="5" s="1"/>
  <c r="M80" i="5"/>
  <c r="U17" i="4" l="1"/>
  <c r="G319" i="16"/>
  <c r="G320" i="16" s="1"/>
  <c r="U14" i="4"/>
  <c r="M129" i="5"/>
  <c r="M130" i="5" s="1"/>
  <c r="D328" i="16"/>
  <c r="D346" i="16" s="1"/>
  <c r="N12" i="4"/>
  <c r="O47" i="5"/>
  <c r="P44" i="5" s="1"/>
  <c r="P46" i="5" s="1"/>
  <c r="P49" i="5" s="1"/>
  <c r="O25" i="5"/>
  <c r="O49" i="5"/>
  <c r="P12" i="4"/>
  <c r="O12" i="4"/>
  <c r="N26" i="5"/>
  <c r="N55" i="5"/>
  <c r="N58" i="5" s="1"/>
  <c r="M27" i="5"/>
  <c r="M61" i="5"/>
  <c r="M64" i="5" s="1"/>
  <c r="M28" i="5" s="1"/>
  <c r="M109" i="5"/>
  <c r="M133" i="5"/>
  <c r="N129" i="5"/>
  <c r="N86" i="5"/>
  <c r="O83" i="5" s="1"/>
  <c r="M99" i="5"/>
  <c r="N93" i="5"/>
  <c r="O90" i="5" s="1"/>
  <c r="O92" i="5" s="1"/>
  <c r="O88" i="5" s="1"/>
  <c r="O50" i="5"/>
  <c r="N80" i="5"/>
  <c r="N99" i="5" s="1"/>
  <c r="P25" i="5" l="1"/>
  <c r="P84" i="5"/>
  <c r="P47" i="5"/>
  <c r="Q44" i="5" s="1"/>
  <c r="Q46" i="5" s="1"/>
  <c r="Q84" i="5" s="1"/>
  <c r="O52" i="5"/>
  <c r="O53" i="5" s="1"/>
  <c r="P50" i="5" s="1"/>
  <c r="P52" i="5" s="1"/>
  <c r="M24" i="5"/>
  <c r="M29" i="5" s="1"/>
  <c r="M65" i="5"/>
  <c r="N62" i="5" s="1"/>
  <c r="M67" i="5"/>
  <c r="M70" i="5" s="1"/>
  <c r="M30" i="5" s="1"/>
  <c r="M111" i="5"/>
  <c r="M110" i="5" s="1"/>
  <c r="M107" i="5"/>
  <c r="N130" i="5"/>
  <c r="N132" i="5" s="1"/>
  <c r="M128" i="5"/>
  <c r="M126" i="5" s="1"/>
  <c r="N133" i="5"/>
  <c r="M132" i="5"/>
  <c r="M131" i="5" s="1"/>
  <c r="O85" i="5"/>
  <c r="O81" i="5" s="1"/>
  <c r="O108" i="5" s="1"/>
  <c r="O112" i="5" s="1"/>
  <c r="O93" i="5"/>
  <c r="P90" i="5" s="1"/>
  <c r="P92" i="5" s="1"/>
  <c r="P88" i="5" s="1"/>
  <c r="N27" i="5"/>
  <c r="N59" i="5"/>
  <c r="O56" i="5" s="1"/>
  <c r="N61" i="5"/>
  <c r="Q49" i="5" l="1"/>
  <c r="Q47" i="5"/>
  <c r="R44" i="5" s="1"/>
  <c r="R46" i="5" s="1"/>
  <c r="R84" i="5" s="1"/>
  <c r="Q25" i="5"/>
  <c r="O26" i="5"/>
  <c r="O55" i="5"/>
  <c r="O58" i="5" s="1"/>
  <c r="O59" i="5" s="1"/>
  <c r="P56" i="5" s="1"/>
  <c r="M71" i="5"/>
  <c r="N68" i="5" s="1"/>
  <c r="M106" i="5"/>
  <c r="N109" i="5"/>
  <c r="M125" i="5"/>
  <c r="M137" i="5" s="1"/>
  <c r="N128" i="5"/>
  <c r="N126" i="5" s="1"/>
  <c r="N131" i="5"/>
  <c r="O129" i="5"/>
  <c r="O80" i="5"/>
  <c r="O99" i="5" s="1"/>
  <c r="O86" i="5"/>
  <c r="P83" i="5" s="1"/>
  <c r="P26" i="5"/>
  <c r="P55" i="5"/>
  <c r="N64" i="5"/>
  <c r="N67" i="5" s="1"/>
  <c r="M32" i="5"/>
  <c r="P53" i="5"/>
  <c r="N70" i="5" l="1"/>
  <c r="N71" i="5" s="1"/>
  <c r="O68" i="5" s="1"/>
  <c r="M116" i="5"/>
  <c r="N111" i="5"/>
  <c r="N110" i="5" s="1"/>
  <c r="N107" i="5"/>
  <c r="N125" i="5"/>
  <c r="O130" i="5"/>
  <c r="O128" i="5" s="1"/>
  <c r="O126" i="5" s="1"/>
  <c r="O133" i="5"/>
  <c r="P85" i="5"/>
  <c r="P81" i="5" s="1"/>
  <c r="P108" i="5" s="1"/>
  <c r="P112" i="5" s="1"/>
  <c r="P93" i="5"/>
  <c r="Q90" i="5" s="1"/>
  <c r="Q92" i="5" s="1"/>
  <c r="Q88" i="5" s="1"/>
  <c r="Q50" i="5"/>
  <c r="Q52" i="5" s="1"/>
  <c r="Q53" i="5" s="1"/>
  <c r="R47" i="5"/>
  <c r="S44" i="5" s="1"/>
  <c r="S46" i="5" s="1"/>
  <c r="S84" i="5" s="1"/>
  <c r="P58" i="5"/>
  <c r="P27" i="5" s="1"/>
  <c r="O27" i="5"/>
  <c r="R25" i="5"/>
  <c r="R49" i="5"/>
  <c r="N28" i="5"/>
  <c r="N24" i="5" s="1"/>
  <c r="N65" i="5"/>
  <c r="O62" i="5" s="1"/>
  <c r="O61" i="5"/>
  <c r="N30" i="5" l="1"/>
  <c r="N106" i="5"/>
  <c r="O109" i="5"/>
  <c r="N137" i="5"/>
  <c r="O132" i="5"/>
  <c r="O131" i="5" s="1"/>
  <c r="O125" i="5" s="1"/>
  <c r="P129" i="5"/>
  <c r="P80" i="5"/>
  <c r="P99" i="5" s="1"/>
  <c r="P86" i="5"/>
  <c r="Q83" i="5" s="1"/>
  <c r="Q93" i="5"/>
  <c r="R90" i="5" s="1"/>
  <c r="R92" i="5" s="1"/>
  <c r="R88" i="5" s="1"/>
  <c r="R50" i="5"/>
  <c r="R52" i="5" s="1"/>
  <c r="R26" i="5" s="1"/>
  <c r="S47" i="5"/>
  <c r="T44" i="5" s="1"/>
  <c r="T46" i="5" s="1"/>
  <c r="T84" i="5" s="1"/>
  <c r="P61" i="5"/>
  <c r="P59" i="5"/>
  <c r="Q56" i="5" s="1"/>
  <c r="O64" i="5"/>
  <c r="Q26" i="5"/>
  <c r="Q55" i="5"/>
  <c r="S25" i="5"/>
  <c r="S49" i="5"/>
  <c r="AJ8" i="4"/>
  <c r="E194" i="16" l="1"/>
  <c r="F194" i="16" s="1"/>
  <c r="AK8" i="4"/>
  <c r="G194" i="16" s="1"/>
  <c r="N116" i="5"/>
  <c r="O111" i="5"/>
  <c r="O110" i="5" s="1"/>
  <c r="O107" i="5"/>
  <c r="P109" i="5"/>
  <c r="O137" i="5"/>
  <c r="P133" i="5"/>
  <c r="P130" i="5"/>
  <c r="Q85" i="5"/>
  <c r="Q81" i="5" s="1"/>
  <c r="Q108" i="5" s="1"/>
  <c r="Q112" i="5" s="1"/>
  <c r="T47" i="5"/>
  <c r="U44" i="5" s="1"/>
  <c r="U46" i="5" s="1"/>
  <c r="U84" i="5" s="1"/>
  <c r="Q58" i="5"/>
  <c r="Q59" i="5" s="1"/>
  <c r="R56" i="5" s="1"/>
  <c r="R55" i="5"/>
  <c r="R53" i="5"/>
  <c r="O28" i="5"/>
  <c r="O24" i="5" s="1"/>
  <c r="T25" i="5"/>
  <c r="T49" i="5"/>
  <c r="N29" i="5"/>
  <c r="O67" i="5"/>
  <c r="O70" i="5" s="1"/>
  <c r="O65" i="5"/>
  <c r="P62" i="5" s="1"/>
  <c r="O106" i="5" l="1"/>
  <c r="O116" i="5" s="1"/>
  <c r="P111" i="5"/>
  <c r="P110" i="5" s="1"/>
  <c r="P107" i="5"/>
  <c r="Q86" i="5"/>
  <c r="R83" i="5" s="1"/>
  <c r="R85" i="5" s="1"/>
  <c r="R81" i="5" s="1"/>
  <c r="R108" i="5" s="1"/>
  <c r="R112" i="5" s="1"/>
  <c r="Q129" i="5"/>
  <c r="Q80" i="5"/>
  <c r="Q99" i="5" s="1"/>
  <c r="P128" i="5"/>
  <c r="P126" i="5" s="1"/>
  <c r="P132" i="5"/>
  <c r="P131" i="5" s="1"/>
  <c r="R93" i="5"/>
  <c r="S90" i="5" s="1"/>
  <c r="S92" i="5" s="1"/>
  <c r="S88" i="5" s="1"/>
  <c r="S50" i="5"/>
  <c r="S52" i="5" s="1"/>
  <c r="S26" i="5" s="1"/>
  <c r="U47" i="5"/>
  <c r="V44" i="5" s="1"/>
  <c r="V46" i="5" s="1"/>
  <c r="V84" i="5" s="1"/>
  <c r="R58" i="5"/>
  <c r="R27" i="5" s="1"/>
  <c r="Q27" i="5"/>
  <c r="Q61" i="5"/>
  <c r="P64" i="5"/>
  <c r="P65" i="5" s="1"/>
  <c r="Q62" i="5" s="1"/>
  <c r="O30" i="5"/>
  <c r="O71" i="5"/>
  <c r="P68" i="5" s="1"/>
  <c r="N32" i="5"/>
  <c r="U25" i="5"/>
  <c r="U49" i="5"/>
  <c r="P106" i="5" l="1"/>
  <c r="P116" i="5" s="1"/>
  <c r="Q109" i="5"/>
  <c r="S53" i="5"/>
  <c r="T50" i="5" s="1"/>
  <c r="T52" i="5" s="1"/>
  <c r="T26" i="5" s="1"/>
  <c r="P125" i="5"/>
  <c r="Q130" i="5"/>
  <c r="Q133" i="5"/>
  <c r="R86" i="5"/>
  <c r="S83" i="5" s="1"/>
  <c r="R129" i="5"/>
  <c r="R80" i="5"/>
  <c r="R99" i="5" s="1"/>
  <c r="S55" i="5"/>
  <c r="S93" i="5"/>
  <c r="T90" i="5" s="1"/>
  <c r="T92" i="5" s="1"/>
  <c r="T88" i="5" s="1"/>
  <c r="V47" i="5"/>
  <c r="W44" i="5" s="1"/>
  <c r="W46" i="5" s="1"/>
  <c r="R59" i="5"/>
  <c r="S56" i="5" s="1"/>
  <c r="R61" i="5"/>
  <c r="Q64" i="5"/>
  <c r="Q65" i="5" s="1"/>
  <c r="R62" i="5" s="1"/>
  <c r="O29" i="5"/>
  <c r="V25" i="5"/>
  <c r="V49" i="5"/>
  <c r="P28" i="5"/>
  <c r="P24" i="5" s="1"/>
  <c r="P67" i="5"/>
  <c r="P70" i="5" s="1"/>
  <c r="Q111" i="5" l="1"/>
  <c r="Q110" i="5" s="1"/>
  <c r="Q107" i="5"/>
  <c r="R109" i="5"/>
  <c r="P137" i="5"/>
  <c r="S85" i="5"/>
  <c r="S81" i="5" s="1"/>
  <c r="S108" i="5" s="1"/>
  <c r="S112" i="5" s="1"/>
  <c r="R130" i="5"/>
  <c r="R133" i="5"/>
  <c r="Q128" i="5"/>
  <c r="Q126" i="5" s="1"/>
  <c r="Q132" i="5"/>
  <c r="Q131" i="5" s="1"/>
  <c r="S58" i="5"/>
  <c r="S27" i="5" s="1"/>
  <c r="T53" i="5"/>
  <c r="U50" i="5" s="1"/>
  <c r="U52" i="5" s="1"/>
  <c r="U26" i="5" s="1"/>
  <c r="T55" i="5"/>
  <c r="W84" i="5"/>
  <c r="P30" i="5"/>
  <c r="P71" i="5"/>
  <c r="Q68" i="5" s="1"/>
  <c r="W25" i="5"/>
  <c r="W49" i="5"/>
  <c r="R64" i="5"/>
  <c r="R65" i="5" s="1"/>
  <c r="S62" i="5" s="1"/>
  <c r="O32" i="5"/>
  <c r="Q28" i="5"/>
  <c r="Q24" i="5" s="1"/>
  <c r="Q67" i="5"/>
  <c r="W47" i="5"/>
  <c r="X44" i="5" s="1"/>
  <c r="Q106" i="5" l="1"/>
  <c r="Q116" i="5" s="1"/>
  <c r="R111" i="5"/>
  <c r="R110" i="5" s="1"/>
  <c r="R107" i="5"/>
  <c r="S86" i="5"/>
  <c r="T83" i="5" s="1"/>
  <c r="T85" i="5" s="1"/>
  <c r="T81" i="5" s="1"/>
  <c r="T108" i="5" s="1"/>
  <c r="T112" i="5" s="1"/>
  <c r="R128" i="5"/>
  <c r="R126" i="5" s="1"/>
  <c r="R132" i="5"/>
  <c r="R131" i="5" s="1"/>
  <c r="Q125" i="5"/>
  <c r="S129" i="5"/>
  <c r="S80" i="5"/>
  <c r="S99" i="5" s="1"/>
  <c r="S59" i="5"/>
  <c r="T56" i="5" s="1"/>
  <c r="T58" i="5" s="1"/>
  <c r="T59" i="5" s="1"/>
  <c r="U56" i="5" s="1"/>
  <c r="S61" i="5"/>
  <c r="U53" i="5"/>
  <c r="V50" i="5" s="1"/>
  <c r="V52" i="5" s="1"/>
  <c r="U55" i="5"/>
  <c r="T93" i="5"/>
  <c r="U90" i="5" s="1"/>
  <c r="U92" i="5" s="1"/>
  <c r="U88" i="5" s="1"/>
  <c r="Q29" i="5"/>
  <c r="X46" i="5"/>
  <c r="Q70" i="5"/>
  <c r="Q30" i="5" s="1"/>
  <c r="P29" i="5"/>
  <c r="R28" i="5"/>
  <c r="R24" i="5" s="1"/>
  <c r="R67" i="5"/>
  <c r="AJ9" i="4"/>
  <c r="E195" i="16" l="1"/>
  <c r="F195" i="16" s="1"/>
  <c r="AK9" i="4"/>
  <c r="G195" i="16" s="1"/>
  <c r="R106" i="5"/>
  <c r="R116" i="5" s="1"/>
  <c r="S64" i="5"/>
  <c r="S65" i="5" s="1"/>
  <c r="T62" i="5" s="1"/>
  <c r="Q137" i="5"/>
  <c r="R125" i="5"/>
  <c r="T129" i="5"/>
  <c r="T80" i="5"/>
  <c r="T99" i="5" s="1"/>
  <c r="S133" i="5"/>
  <c r="S130" i="5"/>
  <c r="T86" i="5"/>
  <c r="U83" i="5" s="1"/>
  <c r="U58" i="5"/>
  <c r="U27" i="5" s="1"/>
  <c r="T61" i="5"/>
  <c r="T27" i="5"/>
  <c r="U93" i="5"/>
  <c r="V90" i="5" s="1"/>
  <c r="V92" i="5" s="1"/>
  <c r="V88" i="5" s="1"/>
  <c r="X84" i="5"/>
  <c r="R29" i="5"/>
  <c r="Q32" i="5"/>
  <c r="P32" i="5"/>
  <c r="V26" i="5"/>
  <c r="V55" i="5"/>
  <c r="X49" i="5"/>
  <c r="X25" i="5"/>
  <c r="Q71" i="5"/>
  <c r="R68" i="5" s="1"/>
  <c r="V53" i="5"/>
  <c r="X47" i="5"/>
  <c r="Y44" i="5" s="1"/>
  <c r="S28" i="5" l="1"/>
  <c r="S24" i="5" s="1"/>
  <c r="S29" i="5" s="1"/>
  <c r="S67" i="5"/>
  <c r="T64" i="5"/>
  <c r="T28" i="5" s="1"/>
  <c r="T24" i="5" s="1"/>
  <c r="T29" i="5" s="1"/>
  <c r="S109" i="5"/>
  <c r="R137" i="5"/>
  <c r="U85" i="5"/>
  <c r="U81" i="5" s="1"/>
  <c r="U108" i="5" s="1"/>
  <c r="U112" i="5" s="1"/>
  <c r="T130" i="5"/>
  <c r="T133" i="5"/>
  <c r="S128" i="5"/>
  <c r="S126" i="5" s="1"/>
  <c r="S132" i="5"/>
  <c r="S131" i="5" s="1"/>
  <c r="U59" i="5"/>
  <c r="V56" i="5" s="1"/>
  <c r="V58" i="5" s="1"/>
  <c r="V27" i="5" s="1"/>
  <c r="U61" i="5"/>
  <c r="V93" i="5"/>
  <c r="W90" i="5" s="1"/>
  <c r="W92" i="5" s="1"/>
  <c r="W88" i="5" s="1"/>
  <c r="W50" i="5"/>
  <c r="W52" i="5" s="1"/>
  <c r="W53" i="5" s="1"/>
  <c r="R70" i="5"/>
  <c r="R30" i="5" s="1"/>
  <c r="Y46" i="5"/>
  <c r="Y84" i="5" s="1"/>
  <c r="S111" i="5" l="1"/>
  <c r="S110" i="5" s="1"/>
  <c r="T65" i="5"/>
  <c r="U62" i="5" s="1"/>
  <c r="U64" i="5" s="1"/>
  <c r="U65" i="5" s="1"/>
  <c r="V62" i="5" s="1"/>
  <c r="T67" i="5"/>
  <c r="S107" i="5"/>
  <c r="U109" i="5"/>
  <c r="T109" i="5"/>
  <c r="S125" i="5"/>
  <c r="T128" i="5"/>
  <c r="T126" i="5" s="1"/>
  <c r="T132" i="5"/>
  <c r="T131" i="5" s="1"/>
  <c r="U86" i="5"/>
  <c r="V83" i="5" s="1"/>
  <c r="U129" i="5"/>
  <c r="U80" i="5"/>
  <c r="U99" i="5" s="1"/>
  <c r="W93" i="5"/>
  <c r="X90" i="5" s="1"/>
  <c r="X92" i="5" s="1"/>
  <c r="X88" i="5" s="1"/>
  <c r="X50" i="5"/>
  <c r="X52" i="5" s="1"/>
  <c r="X53" i="5" s="1"/>
  <c r="Y47" i="5"/>
  <c r="Z44" i="5" s="1"/>
  <c r="Z46" i="5" s="1"/>
  <c r="R32" i="5"/>
  <c r="Y25" i="5"/>
  <c r="Y49" i="5"/>
  <c r="W26" i="5"/>
  <c r="W55" i="5"/>
  <c r="V61" i="5"/>
  <c r="V59" i="5"/>
  <c r="W56" i="5" s="1"/>
  <c r="R71" i="5"/>
  <c r="S68" i="5" s="1"/>
  <c r="S106" i="5" l="1"/>
  <c r="S116" i="5" s="1"/>
  <c r="T111" i="5"/>
  <c r="T110" i="5" s="1"/>
  <c r="U111" i="5"/>
  <c r="U110" i="5" s="1"/>
  <c r="U107" i="5"/>
  <c r="T107" i="5"/>
  <c r="S137" i="5"/>
  <c r="T125" i="5"/>
  <c r="V85" i="5"/>
  <c r="V81" i="5" s="1"/>
  <c r="V108" i="5" s="1"/>
  <c r="V112" i="5" s="1"/>
  <c r="U133" i="5"/>
  <c r="U130" i="5"/>
  <c r="X93" i="5"/>
  <c r="Y90" i="5" s="1"/>
  <c r="Y92" i="5" s="1"/>
  <c r="Y88" i="5" s="1"/>
  <c r="Y50" i="5"/>
  <c r="Y52" i="5" s="1"/>
  <c r="Y26" i="5" s="1"/>
  <c r="Z84" i="5"/>
  <c r="Z49" i="5"/>
  <c r="Z25" i="5"/>
  <c r="S70" i="5"/>
  <c r="S30" i="5" s="1"/>
  <c r="V64" i="5"/>
  <c r="V28" i="5" s="1"/>
  <c r="V24" i="5" s="1"/>
  <c r="W58" i="5"/>
  <c r="W27" i="5" s="1"/>
  <c r="Z47" i="5"/>
  <c r="AA44" i="5" s="1"/>
  <c r="X26" i="5"/>
  <c r="X55" i="5"/>
  <c r="U28" i="5"/>
  <c r="U24" i="5" s="1"/>
  <c r="U67" i="5"/>
  <c r="W35" i="4"/>
  <c r="W34" i="4"/>
  <c r="T106" i="5" l="1"/>
  <c r="U106" i="5"/>
  <c r="U116" i="5" s="1"/>
  <c r="V109" i="5"/>
  <c r="E109" i="16"/>
  <c r="E108" i="16"/>
  <c r="T137" i="5"/>
  <c r="V86" i="5"/>
  <c r="W83" i="5" s="1"/>
  <c r="W85" i="5" s="1"/>
  <c r="W81" i="5" s="1"/>
  <c r="W108" i="5" s="1"/>
  <c r="W112" i="5" s="1"/>
  <c r="U128" i="5"/>
  <c r="U126" i="5" s="1"/>
  <c r="U132" i="5"/>
  <c r="U131" i="5" s="1"/>
  <c r="V129" i="5"/>
  <c r="V80" i="5"/>
  <c r="V99" i="5" s="1"/>
  <c r="V29" i="5"/>
  <c r="U29" i="5"/>
  <c r="V65" i="5"/>
  <c r="W62" i="5" s="1"/>
  <c r="Y53" i="5"/>
  <c r="S71" i="5"/>
  <c r="T68" i="5" s="1"/>
  <c r="S32" i="5"/>
  <c r="AA46" i="5"/>
  <c r="AA84" i="5" s="1"/>
  <c r="W61" i="5"/>
  <c r="W59" i="5"/>
  <c r="X56" i="5" s="1"/>
  <c r="V67" i="5"/>
  <c r="Y55" i="5"/>
  <c r="W33" i="4"/>
  <c r="AJ10" i="4"/>
  <c r="E196" i="16" l="1"/>
  <c r="F196" i="16" s="1"/>
  <c r="AK10" i="4"/>
  <c r="G196" i="16" s="1"/>
  <c r="T116" i="5"/>
  <c r="V111" i="5"/>
  <c r="V110" i="5" s="1"/>
  <c r="V107" i="5"/>
  <c r="W109" i="5"/>
  <c r="E107" i="16"/>
  <c r="W36" i="4"/>
  <c r="E110" i="16" s="1"/>
  <c r="U125" i="5"/>
  <c r="W129" i="5"/>
  <c r="W80" i="5"/>
  <c r="W99" i="5" s="1"/>
  <c r="V133" i="5"/>
  <c r="V130" i="5"/>
  <c r="W86" i="5"/>
  <c r="X83" i="5" s="1"/>
  <c r="Y93" i="5"/>
  <c r="Z90" i="5" s="1"/>
  <c r="Z92" i="5" s="1"/>
  <c r="Z88" i="5" s="1"/>
  <c r="Z50" i="5"/>
  <c r="Z52" i="5" s="1"/>
  <c r="Z53" i="5" s="1"/>
  <c r="AA47" i="5"/>
  <c r="AB44" i="5" s="1"/>
  <c r="AB46" i="5" s="1"/>
  <c r="W64" i="5"/>
  <c r="W28" i="5" s="1"/>
  <c r="W24" i="5" s="1"/>
  <c r="W29" i="5" s="1"/>
  <c r="X58" i="5"/>
  <c r="X59" i="5" s="1"/>
  <c r="Y56" i="5" s="1"/>
  <c r="T70" i="5"/>
  <c r="T30" i="5" s="1"/>
  <c r="AA49" i="5"/>
  <c r="AA25" i="5"/>
  <c r="V106" i="5" l="1"/>
  <c r="V116" i="5" s="1"/>
  <c r="W111" i="5"/>
  <c r="W110" i="5" s="1"/>
  <c r="W107" i="5"/>
  <c r="V132" i="5"/>
  <c r="V131" i="5" s="1"/>
  <c r="W40" i="4"/>
  <c r="U137" i="5"/>
  <c r="W39" i="4"/>
  <c r="E113" i="16" s="1"/>
  <c r="X85" i="5"/>
  <c r="X81" i="5" s="1"/>
  <c r="X108" i="5" s="1"/>
  <c r="X112" i="5" s="1"/>
  <c r="V128" i="5"/>
  <c r="V126" i="5" s="1"/>
  <c r="W133" i="5"/>
  <c r="W130" i="5"/>
  <c r="Z93" i="5"/>
  <c r="AA90" i="5" s="1"/>
  <c r="AA92" i="5" s="1"/>
  <c r="AA88" i="5" s="1"/>
  <c r="AA50" i="5"/>
  <c r="AA52" i="5" s="1"/>
  <c r="AA26" i="5" s="1"/>
  <c r="AB84" i="5"/>
  <c r="W67" i="5"/>
  <c r="W65" i="5"/>
  <c r="X62" i="5" s="1"/>
  <c r="AB49" i="5"/>
  <c r="AB25" i="5"/>
  <c r="T32" i="5"/>
  <c r="Z26" i="5"/>
  <c r="Z55" i="5"/>
  <c r="Y58" i="5"/>
  <c r="AB47" i="5"/>
  <c r="AC44" i="5" s="1"/>
  <c r="T71" i="5"/>
  <c r="U68" i="5" s="1"/>
  <c r="X27" i="5"/>
  <c r="X61" i="5"/>
  <c r="W48" i="4"/>
  <c r="W49" i="4"/>
  <c r="E121" i="16" l="1"/>
  <c r="W106" i="5"/>
  <c r="W116" i="5" s="1"/>
  <c r="X109" i="5"/>
  <c r="E122" i="16"/>
  <c r="W50" i="4"/>
  <c r="X86" i="5"/>
  <c r="Y83" i="5" s="1"/>
  <c r="Y85" i="5" s="1"/>
  <c r="Y81" i="5" s="1"/>
  <c r="Y108" i="5" s="1"/>
  <c r="Y112" i="5" s="1"/>
  <c r="V125" i="5"/>
  <c r="W128" i="5"/>
  <c r="W126" i="5" s="1"/>
  <c r="W132" i="5"/>
  <c r="W131" i="5" s="1"/>
  <c r="X129" i="5"/>
  <c r="X80" i="5"/>
  <c r="X99" i="5" s="1"/>
  <c r="Y27" i="5"/>
  <c r="Y61" i="5"/>
  <c r="AA55" i="5"/>
  <c r="U70" i="5"/>
  <c r="U30" i="5" s="1"/>
  <c r="AC46" i="5"/>
  <c r="AC84" i="5" s="1"/>
  <c r="Y59" i="5"/>
  <c r="Z56" i="5" s="1"/>
  <c r="AA53" i="5"/>
  <c r="X64" i="5"/>
  <c r="W51" i="4"/>
  <c r="E123" i="16" l="1"/>
  <c r="W52" i="4"/>
  <c r="W56" i="4" s="1"/>
  <c r="X111" i="5"/>
  <c r="X110" i="5" s="1"/>
  <c r="X107" i="5"/>
  <c r="Y109" i="5"/>
  <c r="E124" i="16"/>
  <c r="V137" i="5"/>
  <c r="W125" i="5"/>
  <c r="Y86" i="5"/>
  <c r="Z83" i="5" s="1"/>
  <c r="X130" i="5"/>
  <c r="X133" i="5"/>
  <c r="Y129" i="5"/>
  <c r="Y80" i="5"/>
  <c r="Y99" i="5" s="1"/>
  <c r="AA93" i="5"/>
  <c r="AB90" i="5" s="1"/>
  <c r="AB92" i="5" s="1"/>
  <c r="AB88" i="5" s="1"/>
  <c r="AB50" i="5"/>
  <c r="AB52" i="5" s="1"/>
  <c r="AC47" i="5"/>
  <c r="AD44" i="5" s="1"/>
  <c r="AD46" i="5" s="1"/>
  <c r="AD84" i="5" s="1"/>
  <c r="X28" i="5"/>
  <c r="X24" i="5" s="1"/>
  <c r="X65" i="5"/>
  <c r="Y62" i="5" s="1"/>
  <c r="U71" i="5"/>
  <c r="V68" i="5" s="1"/>
  <c r="AC25" i="5"/>
  <c r="AC49" i="5"/>
  <c r="U32" i="5"/>
  <c r="Z58" i="5"/>
  <c r="Z59" i="5" s="1"/>
  <c r="AA56" i="5" s="1"/>
  <c r="X67" i="5"/>
  <c r="AJ11" i="4"/>
  <c r="E197" i="16" l="1"/>
  <c r="F197" i="16" s="1"/>
  <c r="AK11" i="4"/>
  <c r="G197" i="16" s="1"/>
  <c r="W55" i="4"/>
  <c r="E128" i="16" s="1"/>
  <c r="X106" i="5"/>
  <c r="X116" i="5" s="1"/>
  <c r="Y111" i="5"/>
  <c r="Y110" i="5" s="1"/>
  <c r="Y107" i="5"/>
  <c r="E125" i="16"/>
  <c r="W137" i="5"/>
  <c r="X128" i="5"/>
  <c r="X126" i="5" s="1"/>
  <c r="X132" i="5"/>
  <c r="X131" i="5" s="1"/>
  <c r="Z85" i="5"/>
  <c r="Z81" i="5" s="1"/>
  <c r="Z108" i="5" s="1"/>
  <c r="Z112" i="5" s="1"/>
  <c r="Y133" i="5"/>
  <c r="Y130" i="5"/>
  <c r="AD47" i="5"/>
  <c r="AE44" i="5" s="1"/>
  <c r="AE46" i="5" s="1"/>
  <c r="AE84" i="5" s="1"/>
  <c r="X29" i="5"/>
  <c r="Y64" i="5"/>
  <c r="Y65" i="5" s="1"/>
  <c r="Z62" i="5" s="1"/>
  <c r="Z27" i="5"/>
  <c r="Z61" i="5"/>
  <c r="AB26" i="5"/>
  <c r="AB55" i="5"/>
  <c r="AA58" i="5"/>
  <c r="AA59" i="5" s="1"/>
  <c r="AB56" i="5" s="1"/>
  <c r="AB53" i="5"/>
  <c r="V70" i="5"/>
  <c r="V30" i="5" s="1"/>
  <c r="AD49" i="5"/>
  <c r="AD25" i="5"/>
  <c r="Y106" i="5" l="1"/>
  <c r="Y116" i="5" s="1"/>
  <c r="Z109" i="5"/>
  <c r="Y132" i="5"/>
  <c r="Y131" i="5" s="1"/>
  <c r="Y128" i="5"/>
  <c r="Y126" i="5" s="1"/>
  <c r="Z86" i="5"/>
  <c r="AA83" i="5" s="1"/>
  <c r="Z129" i="5"/>
  <c r="Z80" i="5"/>
  <c r="Z99" i="5" s="1"/>
  <c r="X125" i="5"/>
  <c r="AB93" i="5"/>
  <c r="AC90" i="5" s="1"/>
  <c r="AC92" i="5" s="1"/>
  <c r="AC88" i="5" s="1"/>
  <c r="AC50" i="5"/>
  <c r="AC52" i="5" s="1"/>
  <c r="AE47" i="5"/>
  <c r="AF44" i="5" s="1"/>
  <c r="AF46" i="5" s="1"/>
  <c r="AB58" i="5"/>
  <c r="AB27" i="5" s="1"/>
  <c r="Z64" i="5"/>
  <c r="Z28" i="5" s="1"/>
  <c r="Z24" i="5" s="1"/>
  <c r="V32" i="5"/>
  <c r="V71" i="5"/>
  <c r="W68" i="5" s="1"/>
  <c r="AA27" i="5"/>
  <c r="AA61" i="5"/>
  <c r="AE49" i="5"/>
  <c r="AE25" i="5"/>
  <c r="Y28" i="5"/>
  <c r="Y24" i="5" s="1"/>
  <c r="Y67" i="5"/>
  <c r="Z111" i="5" l="1"/>
  <c r="Z110" i="5" s="1"/>
  <c r="Z107" i="5"/>
  <c r="X137" i="5"/>
  <c r="Y125" i="5"/>
  <c r="Z133" i="5"/>
  <c r="Z130" i="5"/>
  <c r="AA85" i="5"/>
  <c r="AA81" i="5" s="1"/>
  <c r="AA108" i="5" s="1"/>
  <c r="AA112" i="5" s="1"/>
  <c r="AF84" i="5"/>
  <c r="Y29" i="5"/>
  <c r="Z29" i="5"/>
  <c r="W70" i="5"/>
  <c r="W30" i="5" s="1"/>
  <c r="AF49" i="5"/>
  <c r="AF25" i="5"/>
  <c r="AC26" i="5"/>
  <c r="AC55" i="5"/>
  <c r="Z65" i="5"/>
  <c r="AA62" i="5" s="1"/>
  <c r="AB59" i="5"/>
  <c r="AC56" i="5" s="1"/>
  <c r="AB61" i="5"/>
  <c r="Z67" i="5"/>
  <c r="AF47" i="5"/>
  <c r="AG44" i="5" s="1"/>
  <c r="AC53" i="5"/>
  <c r="Z106" i="5" l="1"/>
  <c r="Z116" i="5" s="1"/>
  <c r="AA109" i="5"/>
  <c r="Y137" i="5"/>
  <c r="AA129" i="5"/>
  <c r="AA80" i="5"/>
  <c r="AA99" i="5" s="1"/>
  <c r="Z128" i="5"/>
  <c r="Z126" i="5" s="1"/>
  <c r="Z132" i="5"/>
  <c r="Z131" i="5" s="1"/>
  <c r="AA86" i="5"/>
  <c r="AB83" i="5" s="1"/>
  <c r="AC93" i="5"/>
  <c r="AD90" i="5" s="1"/>
  <c r="AD92" i="5" s="1"/>
  <c r="AD88" i="5" s="1"/>
  <c r="AD50" i="5"/>
  <c r="AD52" i="5" s="1"/>
  <c r="AD53" i="5" s="1"/>
  <c r="W71" i="5"/>
  <c r="X68" i="5" s="1"/>
  <c r="X70" i="5" s="1"/>
  <c r="X30" i="5" s="1"/>
  <c r="AC58" i="5"/>
  <c r="AC27" i="5" s="1"/>
  <c r="AG46" i="5"/>
  <c r="AG84" i="5" s="1"/>
  <c r="AA64" i="5"/>
  <c r="AA65" i="5" s="1"/>
  <c r="AB62" i="5" s="1"/>
  <c r="W32" i="5"/>
  <c r="AA111" i="5" l="1"/>
  <c r="AA110" i="5" s="1"/>
  <c r="AA107" i="5"/>
  <c r="Z125" i="5"/>
  <c r="AB85" i="5"/>
  <c r="AB81" i="5" s="1"/>
  <c r="AB108" i="5" s="1"/>
  <c r="AB112" i="5" s="1"/>
  <c r="AA133" i="5"/>
  <c r="AA130" i="5"/>
  <c r="AD93" i="5"/>
  <c r="AE90" i="5" s="1"/>
  <c r="AE92" i="5" s="1"/>
  <c r="AE88" i="5" s="1"/>
  <c r="AE50" i="5"/>
  <c r="AE52" i="5" s="1"/>
  <c r="AE53" i="5" s="1"/>
  <c r="AG47" i="5"/>
  <c r="AH44" i="5" s="1"/>
  <c r="AH46" i="5" s="1"/>
  <c r="AH84" i="5" s="1"/>
  <c r="X71" i="5"/>
  <c r="Y68" i="5" s="1"/>
  <c r="Y70" i="5" s="1"/>
  <c r="Y30" i="5" s="1"/>
  <c r="AB64" i="5"/>
  <c r="AB65" i="5" s="1"/>
  <c r="AC62" i="5" s="1"/>
  <c r="AA28" i="5"/>
  <c r="AA24" i="5" s="1"/>
  <c r="AA67" i="5"/>
  <c r="X32" i="5"/>
  <c r="AD26" i="5"/>
  <c r="AD55" i="5"/>
  <c r="AC61" i="5"/>
  <c r="AG49" i="5"/>
  <c r="AG25" i="5"/>
  <c r="AC59" i="5"/>
  <c r="AD56" i="5" s="1"/>
  <c r="AJ12" i="4"/>
  <c r="E198" i="16" l="1"/>
  <c r="F198" i="16" s="1"/>
  <c r="AK12" i="4"/>
  <c r="G198" i="16" s="1"/>
  <c r="AA106" i="5"/>
  <c r="AA116" i="5" s="1"/>
  <c r="AB109" i="5"/>
  <c r="AA132" i="5"/>
  <c r="AA131" i="5" s="1"/>
  <c r="Z137" i="5"/>
  <c r="AA128" i="5"/>
  <c r="AA126" i="5" s="1"/>
  <c r="AB86" i="5"/>
  <c r="AC83" i="5" s="1"/>
  <c r="AB129" i="5"/>
  <c r="AB80" i="5"/>
  <c r="AB99" i="5" s="1"/>
  <c r="AE93" i="5"/>
  <c r="AF90" i="5" s="1"/>
  <c r="AF92" i="5" s="1"/>
  <c r="AF88" i="5" s="1"/>
  <c r="AF50" i="5"/>
  <c r="AF52" i="5" s="1"/>
  <c r="AF53" i="5" s="1"/>
  <c r="AH47" i="5"/>
  <c r="AI44" i="5" s="1"/>
  <c r="AI46" i="5" s="1"/>
  <c r="AI84" i="5" s="1"/>
  <c r="AA29" i="5"/>
  <c r="Y71" i="5"/>
  <c r="Z68" i="5" s="1"/>
  <c r="Z70" i="5" s="1"/>
  <c r="Z30" i="5" s="1"/>
  <c r="AH49" i="5"/>
  <c r="AH25" i="5"/>
  <c r="AD58" i="5"/>
  <c r="AD27" i="5" s="1"/>
  <c r="AE26" i="5"/>
  <c r="AE55" i="5"/>
  <c r="Y32" i="5"/>
  <c r="AC64" i="5"/>
  <c r="AC28" i="5" s="1"/>
  <c r="AC24" i="5" s="1"/>
  <c r="AB28" i="5"/>
  <c r="AB24" i="5" s="1"/>
  <c r="AB67" i="5"/>
  <c r="AB111" i="5" l="1"/>
  <c r="AB110" i="5" s="1"/>
  <c r="AB107" i="5"/>
  <c r="AA125" i="5"/>
  <c r="AB133" i="5"/>
  <c r="AB130" i="5"/>
  <c r="AC85" i="5"/>
  <c r="AC81" i="5" s="1"/>
  <c r="AC108" i="5" s="1"/>
  <c r="AC112" i="5" s="1"/>
  <c r="AF93" i="5"/>
  <c r="AG90" i="5" s="1"/>
  <c r="AG92" i="5" s="1"/>
  <c r="AG88" i="5" s="1"/>
  <c r="AG50" i="5"/>
  <c r="AG52" i="5" s="1"/>
  <c r="AG53" i="5" s="1"/>
  <c r="AI47" i="5"/>
  <c r="AJ44" i="5" s="1"/>
  <c r="AJ46" i="5" s="1"/>
  <c r="AJ84" i="5" s="1"/>
  <c r="AB29" i="5"/>
  <c r="AC29" i="5"/>
  <c r="AC65" i="5"/>
  <c r="AD62" i="5" s="1"/>
  <c r="AD59" i="5"/>
  <c r="AE56" i="5" s="1"/>
  <c r="AE58" i="5" s="1"/>
  <c r="AE27" i="5" s="1"/>
  <c r="AD61" i="5"/>
  <c r="AC67" i="5"/>
  <c r="Z32" i="5"/>
  <c r="AI49" i="5"/>
  <c r="AI25" i="5"/>
  <c r="AF26" i="5"/>
  <c r="AF55" i="5"/>
  <c r="Z71" i="5"/>
  <c r="AA68" i="5" s="1"/>
  <c r="AB106" i="5" l="1"/>
  <c r="AB116" i="5" s="1"/>
  <c r="AC109" i="5"/>
  <c r="AA137" i="5"/>
  <c r="AC129" i="5"/>
  <c r="AC80" i="5"/>
  <c r="AC99" i="5" s="1"/>
  <c r="AB128" i="5"/>
  <c r="AB126" i="5" s="1"/>
  <c r="AB132" i="5"/>
  <c r="AB131" i="5" s="1"/>
  <c r="AC86" i="5"/>
  <c r="AD83" i="5" s="1"/>
  <c r="AG93" i="5"/>
  <c r="AH90" i="5" s="1"/>
  <c r="AH92" i="5" s="1"/>
  <c r="AH88" i="5" s="1"/>
  <c r="AH50" i="5"/>
  <c r="AH52" i="5" s="1"/>
  <c r="AH53" i="5" s="1"/>
  <c r="AJ47" i="5"/>
  <c r="AK44" i="5" s="1"/>
  <c r="AK46" i="5" s="1"/>
  <c r="AD64" i="5"/>
  <c r="AD28" i="5" s="1"/>
  <c r="AD24" i="5" s="1"/>
  <c r="AE59" i="5"/>
  <c r="AF56" i="5" s="1"/>
  <c r="AF58" i="5" s="1"/>
  <c r="AG26" i="5"/>
  <c r="AG55" i="5"/>
  <c r="AA70" i="5"/>
  <c r="AA30" i="5" s="1"/>
  <c r="AE61" i="5"/>
  <c r="AJ49" i="5"/>
  <c r="AJ25" i="5"/>
  <c r="AC111" i="5" l="1"/>
  <c r="AC110" i="5" s="1"/>
  <c r="AC107" i="5"/>
  <c r="AB125" i="5"/>
  <c r="AD85" i="5"/>
  <c r="AD81" i="5" s="1"/>
  <c r="AD108" i="5" s="1"/>
  <c r="AD112" i="5" s="1"/>
  <c r="AC133" i="5"/>
  <c r="AC130" i="5"/>
  <c r="AH93" i="5"/>
  <c r="AI90" i="5" s="1"/>
  <c r="AI92" i="5" s="1"/>
  <c r="AI88" i="5" s="1"/>
  <c r="AI50" i="5"/>
  <c r="AI52" i="5" s="1"/>
  <c r="AI53" i="5" s="1"/>
  <c r="AK84" i="5"/>
  <c r="AD29" i="5"/>
  <c r="AD65" i="5"/>
  <c r="AE62" i="5" s="1"/>
  <c r="AE64" i="5" s="1"/>
  <c r="AE28" i="5" s="1"/>
  <c r="AE24" i="5" s="1"/>
  <c r="AD67" i="5"/>
  <c r="AA71" i="5"/>
  <c r="AB68" i="5" s="1"/>
  <c r="AB70" i="5" s="1"/>
  <c r="AB30" i="5" s="1"/>
  <c r="AF27" i="5"/>
  <c r="AF61" i="5"/>
  <c r="AK49" i="5"/>
  <c r="AK25" i="5"/>
  <c r="AF59" i="5"/>
  <c r="AG56" i="5" s="1"/>
  <c r="AA32" i="5"/>
  <c r="AK47" i="5"/>
  <c r="AL44" i="5" s="1"/>
  <c r="AH26" i="5"/>
  <c r="AH55" i="5"/>
  <c r="AC106" i="5" l="1"/>
  <c r="AC116" i="5" s="1"/>
  <c r="AD109" i="5"/>
  <c r="AD111" i="5" s="1"/>
  <c r="AB137" i="5"/>
  <c r="AD86" i="5"/>
  <c r="AE83" i="5" s="1"/>
  <c r="AD129" i="5"/>
  <c r="AD80" i="5"/>
  <c r="AD99" i="5" s="1"/>
  <c r="AC128" i="5"/>
  <c r="AC126" i="5" s="1"/>
  <c r="AC132" i="5"/>
  <c r="AC131" i="5" s="1"/>
  <c r="AI93" i="5"/>
  <c r="AJ90" i="5" s="1"/>
  <c r="AJ92" i="5" s="1"/>
  <c r="AJ88" i="5" s="1"/>
  <c r="AJ50" i="5"/>
  <c r="AJ52" i="5" s="1"/>
  <c r="AE29" i="5"/>
  <c r="AE65" i="5"/>
  <c r="AF62" i="5" s="1"/>
  <c r="AF64" i="5" s="1"/>
  <c r="AF65" i="5" s="1"/>
  <c r="AG62" i="5" s="1"/>
  <c r="AL46" i="5"/>
  <c r="AL84" i="5" s="1"/>
  <c r="AB71" i="5"/>
  <c r="AC68" i="5" s="1"/>
  <c r="AB32" i="5"/>
  <c r="AE67" i="5"/>
  <c r="AI26" i="5"/>
  <c r="AI55" i="5"/>
  <c r="AG58" i="5"/>
  <c r="AG59" i="5" s="1"/>
  <c r="AH56" i="5" s="1"/>
  <c r="AD110" i="5" l="1"/>
  <c r="AD107" i="5"/>
  <c r="AC125" i="5"/>
  <c r="AD133" i="5"/>
  <c r="AD130" i="5"/>
  <c r="AE85" i="5"/>
  <c r="AE81" i="5" s="1"/>
  <c r="AE108" i="5" s="1"/>
  <c r="AE112" i="5" s="1"/>
  <c r="AL47" i="5"/>
  <c r="AM44" i="5" s="1"/>
  <c r="AM46" i="5" s="1"/>
  <c r="AM84" i="5" s="1"/>
  <c r="AJ26" i="5"/>
  <c r="AJ55" i="5"/>
  <c r="AC70" i="5"/>
  <c r="AC30" i="5" s="1"/>
  <c r="AH58" i="5"/>
  <c r="AH59" i="5" s="1"/>
  <c r="AI56" i="5" s="1"/>
  <c r="AG27" i="5"/>
  <c r="AG61" i="5"/>
  <c r="AL49" i="5"/>
  <c r="AL25" i="5"/>
  <c r="AJ53" i="5"/>
  <c r="AF28" i="5"/>
  <c r="AF24" i="5" s="1"/>
  <c r="AF67" i="5"/>
  <c r="AJ13" i="4"/>
  <c r="E199" i="16" l="1"/>
  <c r="F199" i="16" s="1"/>
  <c r="AK13" i="4"/>
  <c r="G199" i="16" s="1"/>
  <c r="AD106" i="5"/>
  <c r="AD116" i="5" s="1"/>
  <c r="AE109" i="5"/>
  <c r="AG64" i="5"/>
  <c r="AG28" i="5" s="1"/>
  <c r="AG24" i="5" s="1"/>
  <c r="AG29" i="5" s="1"/>
  <c r="AC137" i="5"/>
  <c r="AE129" i="5"/>
  <c r="AE80" i="5"/>
  <c r="AE99" i="5" s="1"/>
  <c r="AD128" i="5"/>
  <c r="AD126" i="5" s="1"/>
  <c r="AD132" i="5"/>
  <c r="AD131" i="5" s="1"/>
  <c r="AE86" i="5"/>
  <c r="AF83" i="5" s="1"/>
  <c r="AJ93" i="5"/>
  <c r="AK90" i="5" s="1"/>
  <c r="AK92" i="5" s="1"/>
  <c r="AK88" i="5" s="1"/>
  <c r="AK50" i="5"/>
  <c r="AK52" i="5" s="1"/>
  <c r="AK53" i="5" s="1"/>
  <c r="AM47" i="5"/>
  <c r="AN44" i="5" s="1"/>
  <c r="AN46" i="5" s="1"/>
  <c r="AN84" i="5" s="1"/>
  <c r="AF29" i="5"/>
  <c r="AC71" i="5"/>
  <c r="AD68" i="5" s="1"/>
  <c r="AD70" i="5" s="1"/>
  <c r="AD30" i="5" s="1"/>
  <c r="AI58" i="5"/>
  <c r="AI59" i="5" s="1"/>
  <c r="AJ56" i="5" s="1"/>
  <c r="AH27" i="5"/>
  <c r="AH61" i="5"/>
  <c r="AM49" i="5"/>
  <c r="AM25" i="5"/>
  <c r="AC32" i="5"/>
  <c r="AE111" i="5" l="1"/>
  <c r="AE110" i="5" s="1"/>
  <c r="AG67" i="5"/>
  <c r="AE107" i="5"/>
  <c r="AG65" i="5"/>
  <c r="AH62" i="5" s="1"/>
  <c r="AH64" i="5" s="1"/>
  <c r="AH28" i="5" s="1"/>
  <c r="AH24" i="5" s="1"/>
  <c r="AD125" i="5"/>
  <c r="AF85" i="5"/>
  <c r="AF81" i="5" s="1"/>
  <c r="AF108" i="5" s="1"/>
  <c r="AF112" i="5" s="1"/>
  <c r="AE133" i="5"/>
  <c r="AE130" i="5"/>
  <c r="AK93" i="5"/>
  <c r="AL90" i="5" s="1"/>
  <c r="AL92" i="5" s="1"/>
  <c r="AL88" i="5" s="1"/>
  <c r="AL50" i="5"/>
  <c r="AL52" i="5" s="1"/>
  <c r="AL53" i="5" s="1"/>
  <c r="AN47" i="5"/>
  <c r="AO44" i="5" s="1"/>
  <c r="AO46" i="5" s="1"/>
  <c r="AO84" i="5" s="1"/>
  <c r="AD71" i="5"/>
  <c r="AE68" i="5" s="1"/>
  <c r="AE70" i="5" s="1"/>
  <c r="AE30" i="5" s="1"/>
  <c r="AJ58" i="5"/>
  <c r="AJ59" i="5" s="1"/>
  <c r="AK56" i="5" s="1"/>
  <c r="AI27" i="5"/>
  <c r="AI61" i="5"/>
  <c r="AD32" i="5"/>
  <c r="AK26" i="5"/>
  <c r="AK55" i="5"/>
  <c r="AN49" i="5"/>
  <c r="AN25" i="5"/>
  <c r="AE106" i="5" l="1"/>
  <c r="AE116" i="5" s="1"/>
  <c r="AF109" i="5"/>
  <c r="AD137" i="5"/>
  <c r="AF86" i="5"/>
  <c r="AG83" i="5" s="1"/>
  <c r="AF129" i="5"/>
  <c r="AF80" i="5"/>
  <c r="AF99" i="5" s="1"/>
  <c r="AE128" i="5"/>
  <c r="AE126" i="5" s="1"/>
  <c r="AE132" i="5"/>
  <c r="AE131" i="5" s="1"/>
  <c r="AL93" i="5"/>
  <c r="AM90" i="5" s="1"/>
  <c r="AM92" i="5" s="1"/>
  <c r="AM88" i="5" s="1"/>
  <c r="AM50" i="5"/>
  <c r="AM52" i="5" s="1"/>
  <c r="AM53" i="5" s="1"/>
  <c r="AO47" i="5"/>
  <c r="AP44" i="5" s="1"/>
  <c r="AP46" i="5" s="1"/>
  <c r="AP84" i="5" s="1"/>
  <c r="AH29" i="5"/>
  <c r="AH65" i="5"/>
  <c r="AI62" i="5" s="1"/>
  <c r="AI64" i="5" s="1"/>
  <c r="AI28" i="5" s="1"/>
  <c r="AI24" i="5" s="1"/>
  <c r="AE32" i="5"/>
  <c r="AL26" i="5"/>
  <c r="AL55" i="5"/>
  <c r="AH67" i="5"/>
  <c r="AK58" i="5"/>
  <c r="AK27" i="5" s="1"/>
  <c r="AO49" i="5"/>
  <c r="AO25" i="5"/>
  <c r="AE71" i="5"/>
  <c r="AF68" i="5" s="1"/>
  <c r="AJ27" i="5"/>
  <c r="AJ61" i="5"/>
  <c r="X34" i="4"/>
  <c r="AF111" i="5" l="1"/>
  <c r="AF110" i="5" s="1"/>
  <c r="AF107" i="5"/>
  <c r="F108" i="16"/>
  <c r="AE125" i="5"/>
  <c r="AF130" i="5"/>
  <c r="AF133" i="5"/>
  <c r="AG85" i="5"/>
  <c r="AG81" i="5" s="1"/>
  <c r="AG108" i="5" s="1"/>
  <c r="AG112" i="5" s="1"/>
  <c r="AM93" i="5"/>
  <c r="AN90" i="5" s="1"/>
  <c r="AN92" i="5" s="1"/>
  <c r="AN88" i="5" s="1"/>
  <c r="AN50" i="5"/>
  <c r="AN52" i="5" s="1"/>
  <c r="AN53" i="5" s="1"/>
  <c r="AP47" i="5"/>
  <c r="AQ44" i="5" s="1"/>
  <c r="AQ46" i="5" s="1"/>
  <c r="AQ84" i="5" s="1"/>
  <c r="AI29" i="5"/>
  <c r="AI67" i="5"/>
  <c r="AI65" i="5"/>
  <c r="AJ62" i="5" s="1"/>
  <c r="AJ64" i="5" s="1"/>
  <c r="AK61" i="5"/>
  <c r="AP49" i="5"/>
  <c r="AP25" i="5"/>
  <c r="AF70" i="5"/>
  <c r="AF30" i="5" s="1"/>
  <c r="AK59" i="5"/>
  <c r="AL56" i="5" s="1"/>
  <c r="AM26" i="5"/>
  <c r="AM55" i="5"/>
  <c r="AF106" i="5" l="1"/>
  <c r="AF116" i="5" s="1"/>
  <c r="AG109" i="5"/>
  <c r="AE137" i="5"/>
  <c r="AG129" i="5"/>
  <c r="AG80" i="5"/>
  <c r="AG99" i="5" s="1"/>
  <c r="AF128" i="5"/>
  <c r="AF126" i="5" s="1"/>
  <c r="AF132" i="5"/>
  <c r="AF131" i="5" s="1"/>
  <c r="AG86" i="5"/>
  <c r="AH83" i="5" s="1"/>
  <c r="AN93" i="5"/>
  <c r="AO90" i="5" s="1"/>
  <c r="AO92" i="5" s="1"/>
  <c r="AO88" i="5" s="1"/>
  <c r="AO50" i="5"/>
  <c r="AO52" i="5" s="1"/>
  <c r="AQ47" i="5"/>
  <c r="AR44" i="5" s="1"/>
  <c r="AR46" i="5" s="1"/>
  <c r="AR84" i="5" s="1"/>
  <c r="AJ28" i="5"/>
  <c r="AJ24" i="5" s="1"/>
  <c r="AJ67" i="5"/>
  <c r="AJ65" i="5"/>
  <c r="AK62" i="5" s="1"/>
  <c r="AK64" i="5" s="1"/>
  <c r="AK28" i="5" s="1"/>
  <c r="AK24" i="5" s="1"/>
  <c r="AF71" i="5"/>
  <c r="AG68" i="5" s="1"/>
  <c r="AG70" i="5" s="1"/>
  <c r="AG30" i="5" s="1"/>
  <c r="AN26" i="5"/>
  <c r="AN55" i="5"/>
  <c r="AL58" i="5"/>
  <c r="AL59" i="5" s="1"/>
  <c r="AM56" i="5" s="1"/>
  <c r="AQ49" i="5"/>
  <c r="AQ25" i="5"/>
  <c r="AF32" i="5"/>
  <c r="AG111" i="5" l="1"/>
  <c r="AG110" i="5" s="1"/>
  <c r="AG107" i="5"/>
  <c r="AF125" i="5"/>
  <c r="AH85" i="5"/>
  <c r="AH81" i="5" s="1"/>
  <c r="AH108" i="5" s="1"/>
  <c r="AH112" i="5" s="1"/>
  <c r="AG133" i="5"/>
  <c r="AG130" i="5"/>
  <c r="AR47" i="5"/>
  <c r="AS44" i="5" s="1"/>
  <c r="AS46" i="5" s="1"/>
  <c r="AS84" i="5" s="1"/>
  <c r="AJ29" i="5"/>
  <c r="AK29" i="5"/>
  <c r="AG71" i="5"/>
  <c r="AH68" i="5" s="1"/>
  <c r="AH70" i="5" s="1"/>
  <c r="AH30" i="5" s="1"/>
  <c r="AK67" i="5"/>
  <c r="AO26" i="5"/>
  <c r="AO55" i="5"/>
  <c r="AG32" i="5"/>
  <c r="AM58" i="5"/>
  <c r="AM59" i="5" s="1"/>
  <c r="AN56" i="5" s="1"/>
  <c r="AO53" i="5"/>
  <c r="AK65" i="5"/>
  <c r="AL62" i="5" s="1"/>
  <c r="AL27" i="5"/>
  <c r="AL61" i="5"/>
  <c r="AR49" i="5"/>
  <c r="AR25" i="5"/>
  <c r="AJ14" i="4"/>
  <c r="E200" i="16" l="1"/>
  <c r="F200" i="16" s="1"/>
  <c r="AK14" i="4"/>
  <c r="G200" i="16" s="1"/>
  <c r="AG106" i="5"/>
  <c r="AG116" i="5" s="1"/>
  <c r="AH109" i="5"/>
  <c r="AF137" i="5"/>
  <c r="AH86" i="5"/>
  <c r="AI83" i="5" s="1"/>
  <c r="AH129" i="5"/>
  <c r="AH80" i="5"/>
  <c r="AH99" i="5" s="1"/>
  <c r="AG128" i="5"/>
  <c r="AG126" i="5" s="1"/>
  <c r="AG132" i="5"/>
  <c r="AG131" i="5" s="1"/>
  <c r="AO93" i="5"/>
  <c r="AP90" i="5" s="1"/>
  <c r="AP92" i="5" s="1"/>
  <c r="AP88" i="5" s="1"/>
  <c r="AP50" i="5"/>
  <c r="AP52" i="5" s="1"/>
  <c r="AP53" i="5" s="1"/>
  <c r="AS47" i="5"/>
  <c r="AT44" i="5" s="1"/>
  <c r="AT46" i="5" s="1"/>
  <c r="AT84" i="5" s="1"/>
  <c r="AH71" i="5"/>
  <c r="AI68" i="5" s="1"/>
  <c r="AI70" i="5" s="1"/>
  <c r="AI30" i="5" s="1"/>
  <c r="AL64" i="5"/>
  <c r="AL28" i="5" s="1"/>
  <c r="AL24" i="5" s="1"/>
  <c r="AN58" i="5"/>
  <c r="AN59" i="5" s="1"/>
  <c r="AO56" i="5" s="1"/>
  <c r="AM27" i="5"/>
  <c r="AM61" i="5"/>
  <c r="AS25" i="5"/>
  <c r="AS49" i="5"/>
  <c r="AH32" i="5"/>
  <c r="X35" i="4"/>
  <c r="AH111" i="5" l="1"/>
  <c r="AH110" i="5" s="1"/>
  <c r="AH107" i="5"/>
  <c r="F109" i="16"/>
  <c r="AH133" i="5"/>
  <c r="AH130" i="5"/>
  <c r="AG125" i="5"/>
  <c r="AI85" i="5"/>
  <c r="AI81" i="5" s="1"/>
  <c r="AI108" i="5" s="1"/>
  <c r="AI112" i="5" s="1"/>
  <c r="AP93" i="5"/>
  <c r="AQ90" i="5" s="1"/>
  <c r="AQ92" i="5" s="1"/>
  <c r="AQ88" i="5" s="1"/>
  <c r="AQ50" i="5"/>
  <c r="AQ52" i="5" s="1"/>
  <c r="AQ53" i="5" s="1"/>
  <c r="AT47" i="5"/>
  <c r="AU44" i="5" s="1"/>
  <c r="AU46" i="5" s="1"/>
  <c r="AU84" i="5" s="1"/>
  <c r="AL29" i="5"/>
  <c r="AI71" i="5"/>
  <c r="AJ68" i="5" s="1"/>
  <c r="AL65" i="5"/>
  <c r="AM62" i="5" s="1"/>
  <c r="AI32" i="5"/>
  <c r="AO58" i="5"/>
  <c r="AO59" i="5" s="1"/>
  <c r="AP56" i="5" s="1"/>
  <c r="AN27" i="5"/>
  <c r="AN61" i="5"/>
  <c r="AT25" i="5"/>
  <c r="AT49" i="5"/>
  <c r="AP26" i="5"/>
  <c r="AP55" i="5"/>
  <c r="AL67" i="5"/>
  <c r="X33" i="4"/>
  <c r="AH106" i="5" l="1"/>
  <c r="AH116" i="5" s="1"/>
  <c r="AI109" i="5"/>
  <c r="F107" i="16"/>
  <c r="AG137" i="5"/>
  <c r="X36" i="4"/>
  <c r="F110" i="16" s="1"/>
  <c r="AI86" i="5"/>
  <c r="AJ83" i="5" s="1"/>
  <c r="AJ85" i="5" s="1"/>
  <c r="AJ81" i="5" s="1"/>
  <c r="AJ108" i="5" s="1"/>
  <c r="AJ112" i="5" s="1"/>
  <c r="AI129" i="5"/>
  <c r="AI80" i="5"/>
  <c r="AI99" i="5" s="1"/>
  <c r="AH128" i="5"/>
  <c r="AH126" i="5" s="1"/>
  <c r="AH132" i="5"/>
  <c r="AH131" i="5" s="1"/>
  <c r="AQ93" i="5"/>
  <c r="AR90" i="5" s="1"/>
  <c r="AR92" i="5" s="1"/>
  <c r="AR88" i="5" s="1"/>
  <c r="AR50" i="5"/>
  <c r="AR52" i="5" s="1"/>
  <c r="AR53" i="5" s="1"/>
  <c r="AU47" i="5"/>
  <c r="AP58" i="5"/>
  <c r="AP27" i="5" s="1"/>
  <c r="AJ70" i="5"/>
  <c r="AJ30" i="5" s="1"/>
  <c r="AQ26" i="5"/>
  <c r="AQ55" i="5"/>
  <c r="AM64" i="5"/>
  <c r="AM65" i="5" s="1"/>
  <c r="AN62" i="5" s="1"/>
  <c r="AO27" i="5"/>
  <c r="AO61" i="5"/>
  <c r="AU25" i="5"/>
  <c r="AU49" i="5"/>
  <c r="AI111" i="5" l="1"/>
  <c r="AI110" i="5" s="1"/>
  <c r="AI107" i="5"/>
  <c r="AJ109" i="5"/>
  <c r="X40" i="4"/>
  <c r="X39" i="4"/>
  <c r="F113" i="16" s="1"/>
  <c r="AJ86" i="5"/>
  <c r="AK83" i="5" s="1"/>
  <c r="AK85" i="5" s="1"/>
  <c r="AK81" i="5" s="1"/>
  <c r="AK108" i="5" s="1"/>
  <c r="AK112" i="5" s="1"/>
  <c r="AI133" i="5"/>
  <c r="AI130" i="5"/>
  <c r="AH125" i="5"/>
  <c r="AJ129" i="5"/>
  <c r="AJ80" i="5"/>
  <c r="AJ99" i="5" s="1"/>
  <c r="AR93" i="5"/>
  <c r="AS90" i="5" s="1"/>
  <c r="AS92" i="5" s="1"/>
  <c r="AS88" i="5" s="1"/>
  <c r="AS50" i="5"/>
  <c r="AS52" i="5" s="1"/>
  <c r="AS53" i="5" s="1"/>
  <c r="AP61" i="5"/>
  <c r="AP59" i="5"/>
  <c r="AQ56" i="5" s="1"/>
  <c r="AQ58" i="5" s="1"/>
  <c r="AQ27" i="5" s="1"/>
  <c r="AN64" i="5"/>
  <c r="AN65" i="5" s="1"/>
  <c r="AO62" i="5" s="1"/>
  <c r="AM28" i="5"/>
  <c r="AM24" i="5" s="1"/>
  <c r="AM67" i="5"/>
  <c r="AR26" i="5"/>
  <c r="AR55" i="5"/>
  <c r="AJ71" i="5"/>
  <c r="AK68" i="5" s="1"/>
  <c r="AJ32" i="5"/>
  <c r="X49" i="4"/>
  <c r="X48" i="4"/>
  <c r="F121" i="16" l="1"/>
  <c r="AI106" i="5"/>
  <c r="AI116" i="5" s="1"/>
  <c r="AJ111" i="5"/>
  <c r="AJ110" i="5" s="1"/>
  <c r="AJ107" i="5"/>
  <c r="AK109" i="5"/>
  <c r="F122" i="16"/>
  <c r="X50" i="4"/>
  <c r="AI132" i="5"/>
  <c r="AI131" i="5" s="1"/>
  <c r="AH137" i="5"/>
  <c r="AK86" i="5"/>
  <c r="AL83" i="5" s="1"/>
  <c r="AL85" i="5" s="1"/>
  <c r="AL81" i="5" s="1"/>
  <c r="AL108" i="5" s="1"/>
  <c r="AL112" i="5" s="1"/>
  <c r="AI128" i="5"/>
  <c r="AI126" i="5" s="1"/>
  <c r="AJ130" i="5"/>
  <c r="AJ133" i="5"/>
  <c r="AK129" i="5"/>
  <c r="AK80" i="5"/>
  <c r="AK99" i="5" s="1"/>
  <c r="AS93" i="5"/>
  <c r="AT90" i="5" s="1"/>
  <c r="AT92" i="5" s="1"/>
  <c r="AT88" i="5" s="1"/>
  <c r="AT50" i="5"/>
  <c r="AT52" i="5" s="1"/>
  <c r="AT53" i="5" s="1"/>
  <c r="AM29" i="5"/>
  <c r="AO64" i="5"/>
  <c r="AO65" i="5" s="1"/>
  <c r="AP62" i="5" s="1"/>
  <c r="AK70" i="5"/>
  <c r="AK30" i="5" s="1"/>
  <c r="AQ61" i="5"/>
  <c r="AN28" i="5"/>
  <c r="AN24" i="5" s="1"/>
  <c r="AN67" i="5"/>
  <c r="AQ59" i="5"/>
  <c r="AR56" i="5" s="1"/>
  <c r="AS26" i="5"/>
  <c r="AS55" i="5"/>
  <c r="X51" i="4"/>
  <c r="F123" i="16" l="1"/>
  <c r="X52" i="4"/>
  <c r="AJ106" i="5"/>
  <c r="AJ116" i="5" s="1"/>
  <c r="AK111" i="5"/>
  <c r="AK110" i="5" s="1"/>
  <c r="AK107" i="5"/>
  <c r="AL109" i="5"/>
  <c r="F124" i="16"/>
  <c r="AI125" i="5"/>
  <c r="AK133" i="5"/>
  <c r="AK130" i="5"/>
  <c r="AL86" i="5"/>
  <c r="AM83" i="5" s="1"/>
  <c r="AJ128" i="5"/>
  <c r="AJ126" i="5" s="1"/>
  <c r="AJ132" i="5"/>
  <c r="AJ131" i="5" s="1"/>
  <c r="AL129" i="5"/>
  <c r="AL80" i="5"/>
  <c r="AL99" i="5" s="1"/>
  <c r="AT93" i="5"/>
  <c r="AU90" i="5" s="1"/>
  <c r="AU92" i="5" s="1"/>
  <c r="AU88" i="5" s="1"/>
  <c r="AU50" i="5"/>
  <c r="AU52" i="5" s="1"/>
  <c r="AN29" i="5"/>
  <c r="AP64" i="5"/>
  <c r="AP65" i="5" s="1"/>
  <c r="AQ62" i="5" s="1"/>
  <c r="AR58" i="5"/>
  <c r="AR59" i="5" s="1"/>
  <c r="AS56" i="5" s="1"/>
  <c r="AT26" i="5"/>
  <c r="AT55" i="5"/>
  <c r="AK71" i="5"/>
  <c r="AL68" i="5" s="1"/>
  <c r="AK32" i="5"/>
  <c r="AO28" i="5"/>
  <c r="AO24" i="5" s="1"/>
  <c r="AO67" i="5"/>
  <c r="AJ15" i="4"/>
  <c r="E201" i="16" l="1"/>
  <c r="F201" i="16" s="1"/>
  <c r="AK15" i="4"/>
  <c r="G201" i="16" s="1"/>
  <c r="X55" i="4"/>
  <c r="F128" i="16" s="1"/>
  <c r="X56" i="4"/>
  <c r="AK106" i="5"/>
  <c r="AK116" i="5" s="1"/>
  <c r="AL111" i="5"/>
  <c r="AL110" i="5" s="1"/>
  <c r="AL107" i="5"/>
  <c r="F125" i="16"/>
  <c r="AI137" i="5"/>
  <c r="AJ125" i="5"/>
  <c r="AM85" i="5"/>
  <c r="AM81" i="5" s="1"/>
  <c r="AM108" i="5" s="1"/>
  <c r="AM112" i="5" s="1"/>
  <c r="AL133" i="5"/>
  <c r="AL130" i="5"/>
  <c r="AK128" i="5"/>
  <c r="AK126" i="5" s="1"/>
  <c r="AK132" i="5"/>
  <c r="AK131" i="5" s="1"/>
  <c r="AO29" i="5"/>
  <c r="AQ64" i="5"/>
  <c r="AQ65" i="5" s="1"/>
  <c r="AR62" i="5" s="1"/>
  <c r="AU26" i="5"/>
  <c r="AU55" i="5"/>
  <c r="AP28" i="5"/>
  <c r="AP24" i="5" s="1"/>
  <c r="AP67" i="5"/>
  <c r="AS58" i="5"/>
  <c r="AS59" i="5" s="1"/>
  <c r="AT56" i="5" s="1"/>
  <c r="AL70" i="5"/>
  <c r="AL30" i="5" s="1"/>
  <c r="AU53" i="5"/>
  <c r="AR27" i="5"/>
  <c r="AR61" i="5"/>
  <c r="AL106" i="5" l="1"/>
  <c r="AL116" i="5" s="1"/>
  <c r="AM109" i="5"/>
  <c r="AM107" i="5" s="1"/>
  <c r="AJ137" i="5"/>
  <c r="AM86" i="5"/>
  <c r="AN83" i="5" s="1"/>
  <c r="AK125" i="5"/>
  <c r="AM129" i="5"/>
  <c r="AM80" i="5"/>
  <c r="AM99" i="5" s="1"/>
  <c r="AL128" i="5"/>
  <c r="AL126" i="5" s="1"/>
  <c r="AL132" i="5"/>
  <c r="AL131" i="5" s="1"/>
  <c r="AU93" i="5"/>
  <c r="AP29" i="5"/>
  <c r="AL71" i="5"/>
  <c r="AM68" i="5" s="1"/>
  <c r="AM70" i="5" s="1"/>
  <c r="AM30" i="5" s="1"/>
  <c r="AR64" i="5"/>
  <c r="AR28" i="5" s="1"/>
  <c r="AR24" i="5" s="1"/>
  <c r="AT58" i="5"/>
  <c r="AT59" i="5" s="1"/>
  <c r="AU56" i="5" s="1"/>
  <c r="AL32" i="5"/>
  <c r="AQ28" i="5"/>
  <c r="AQ24" i="5" s="1"/>
  <c r="AQ67" i="5"/>
  <c r="AS27" i="5"/>
  <c r="AS61" i="5"/>
  <c r="AM111" i="5" l="1"/>
  <c r="AM110" i="5" s="1"/>
  <c r="AK137" i="5"/>
  <c r="AL125" i="5"/>
  <c r="AM130" i="5"/>
  <c r="AM133" i="5"/>
  <c r="AN85" i="5"/>
  <c r="AN81" i="5" s="1"/>
  <c r="AN108" i="5" s="1"/>
  <c r="AN112" i="5" s="1"/>
  <c r="AQ29" i="5"/>
  <c r="AR29" i="5"/>
  <c r="AR65" i="5"/>
  <c r="AS62" i="5" s="1"/>
  <c r="AS64" i="5" s="1"/>
  <c r="AS28" i="5" s="1"/>
  <c r="AS24" i="5" s="1"/>
  <c r="AR67" i="5"/>
  <c r="AU58" i="5"/>
  <c r="AU59" i="5" s="1"/>
  <c r="J46" i="5"/>
  <c r="J47" i="5" s="1"/>
  <c r="AM71" i="5"/>
  <c r="AN68" i="5" s="1"/>
  <c r="AM32" i="5"/>
  <c r="AT27" i="5"/>
  <c r="AT61" i="5"/>
  <c r="AJ16" i="4"/>
  <c r="E202" i="16" l="1"/>
  <c r="F202" i="16" s="1"/>
  <c r="AK16" i="4"/>
  <c r="G202" i="16" s="1"/>
  <c r="AM106" i="5"/>
  <c r="AM116" i="5" s="1"/>
  <c r="AN109" i="5"/>
  <c r="AN107" i="5" s="1"/>
  <c r="AL137" i="5"/>
  <c r="AN129" i="5"/>
  <c r="AN80" i="5"/>
  <c r="AN99" i="5" s="1"/>
  <c r="AM128" i="5"/>
  <c r="AM126" i="5" s="1"/>
  <c r="AM132" i="5"/>
  <c r="AM131" i="5" s="1"/>
  <c r="AN86" i="5"/>
  <c r="AO83" i="5" s="1"/>
  <c r="AS29" i="5"/>
  <c r="AS65" i="5"/>
  <c r="AT62" i="5" s="1"/>
  <c r="AN70" i="5"/>
  <c r="AN30" i="5" s="1"/>
  <c r="AS67" i="5"/>
  <c r="AU27" i="5"/>
  <c r="AU61" i="5"/>
  <c r="AN111" i="5" l="1"/>
  <c r="AN110" i="5" s="1"/>
  <c r="AO85" i="5"/>
  <c r="AO81" i="5" s="1"/>
  <c r="AO108" i="5" s="1"/>
  <c r="AO112" i="5" s="1"/>
  <c r="AM125" i="5"/>
  <c r="AN133" i="5"/>
  <c r="AN130" i="5"/>
  <c r="AN32" i="5"/>
  <c r="AT64" i="5"/>
  <c r="AN71" i="5"/>
  <c r="AO68" i="5" s="1"/>
  <c r="Y34" i="4"/>
  <c r="AN106" i="5" l="1"/>
  <c r="AN116" i="5" s="1"/>
  <c r="AO109" i="5"/>
  <c r="G108" i="16"/>
  <c r="AM137" i="5"/>
  <c r="AO86" i="5"/>
  <c r="AP83" i="5" s="1"/>
  <c r="AO129" i="5"/>
  <c r="AO80" i="5"/>
  <c r="AO99" i="5" s="1"/>
  <c r="AN128" i="5"/>
  <c r="AN126" i="5" s="1"/>
  <c r="AN132" i="5"/>
  <c r="AN131" i="5" s="1"/>
  <c r="AT28" i="5"/>
  <c r="AT24" i="5" s="1"/>
  <c r="AT67" i="5"/>
  <c r="AO70" i="5"/>
  <c r="AO30" i="5" s="1"/>
  <c r="AT65" i="5"/>
  <c r="AU62" i="5" s="1"/>
  <c r="AO111" i="5" l="1"/>
  <c r="AO110" i="5" s="1"/>
  <c r="AO107" i="5"/>
  <c r="AO133" i="5"/>
  <c r="AO130" i="5"/>
  <c r="AN125" i="5"/>
  <c r="AP85" i="5"/>
  <c r="AP81" i="5" s="1"/>
  <c r="AP108" i="5" s="1"/>
  <c r="AP112" i="5" s="1"/>
  <c r="AT29" i="5"/>
  <c r="AO71" i="5"/>
  <c r="AP68" i="5" s="1"/>
  <c r="AO32" i="5"/>
  <c r="AU64" i="5"/>
  <c r="AU65" i="5" s="1"/>
  <c r="J52" i="5"/>
  <c r="J53" i="5" s="1"/>
  <c r="AO106" i="5" l="1"/>
  <c r="AO116" i="5" s="1"/>
  <c r="AP109" i="5"/>
  <c r="AP107" i="5" s="1"/>
  <c r="AO132" i="5"/>
  <c r="AO131" i="5" s="1"/>
  <c r="AN137" i="5"/>
  <c r="AO128" i="5"/>
  <c r="AO126" i="5" s="1"/>
  <c r="AP86" i="5"/>
  <c r="AQ83" i="5" s="1"/>
  <c r="AP129" i="5"/>
  <c r="AP80" i="5"/>
  <c r="AP99" i="5" s="1"/>
  <c r="AP70" i="5"/>
  <c r="AP30" i="5" s="1"/>
  <c r="AU28" i="5"/>
  <c r="AU24" i="5" s="1"/>
  <c r="AU67" i="5"/>
  <c r="AP111" i="5" l="1"/>
  <c r="AP110" i="5" s="1"/>
  <c r="AP133" i="5"/>
  <c r="AP130" i="5"/>
  <c r="AQ85" i="5"/>
  <c r="AQ81" i="5" s="1"/>
  <c r="AQ108" i="5" s="1"/>
  <c r="AQ112" i="5" s="1"/>
  <c r="AO125" i="5"/>
  <c r="AU29" i="5"/>
  <c r="AP71" i="5"/>
  <c r="AQ68" i="5" s="1"/>
  <c r="AP32" i="5"/>
  <c r="J58" i="5"/>
  <c r="J59" i="5" s="1"/>
  <c r="AJ17" i="4"/>
  <c r="E203" i="16" l="1"/>
  <c r="F203" i="16" s="1"/>
  <c r="AK17" i="4"/>
  <c r="G203" i="16" s="1"/>
  <c r="AP106" i="5"/>
  <c r="AP116" i="5" s="1"/>
  <c r="AQ109" i="5"/>
  <c r="AQ107" i="5" s="1"/>
  <c r="AO137" i="5"/>
  <c r="AQ129" i="5"/>
  <c r="AQ80" i="5"/>
  <c r="AQ99" i="5" s="1"/>
  <c r="AP128" i="5"/>
  <c r="AP126" i="5" s="1"/>
  <c r="AP132" i="5"/>
  <c r="AP131" i="5" s="1"/>
  <c r="AQ86" i="5"/>
  <c r="AR83" i="5" s="1"/>
  <c r="AQ70" i="5"/>
  <c r="AQ30" i="5" s="1"/>
  <c r="AQ111" i="5" l="1"/>
  <c r="AQ110" i="5" s="1"/>
  <c r="AP125" i="5"/>
  <c r="AR85" i="5"/>
  <c r="AR81" i="5" s="1"/>
  <c r="AR108" i="5" s="1"/>
  <c r="AR112" i="5" s="1"/>
  <c r="AQ133" i="5"/>
  <c r="AQ130" i="5"/>
  <c r="AQ71" i="5"/>
  <c r="AR68" i="5" s="1"/>
  <c r="AR70" i="5" s="1"/>
  <c r="AR30" i="5" s="1"/>
  <c r="AQ32" i="5"/>
  <c r="AQ106" i="5" l="1"/>
  <c r="AQ116" i="5" s="1"/>
  <c r="AR109" i="5"/>
  <c r="AR107" i="5" s="1"/>
  <c r="AP137" i="5"/>
  <c r="AR86" i="5"/>
  <c r="AS83" i="5" s="1"/>
  <c r="AR129" i="5"/>
  <c r="AR80" i="5"/>
  <c r="AR99" i="5" s="1"/>
  <c r="AQ128" i="5"/>
  <c r="AQ126" i="5" s="1"/>
  <c r="AQ132" i="5"/>
  <c r="AQ131" i="5" s="1"/>
  <c r="AR32" i="5"/>
  <c r="AR71" i="5"/>
  <c r="AS68" i="5" s="1"/>
  <c r="AR111" i="5" l="1"/>
  <c r="AR110" i="5" s="1"/>
  <c r="AQ125" i="5"/>
  <c r="AR133" i="5"/>
  <c r="AR130" i="5"/>
  <c r="AS85" i="5"/>
  <c r="AS81" i="5" s="1"/>
  <c r="AS108" i="5" s="1"/>
  <c r="AS112" i="5" s="1"/>
  <c r="J64" i="5"/>
  <c r="J65" i="5" s="1"/>
  <c r="AS70" i="5"/>
  <c r="AS30" i="5" s="1"/>
  <c r="AR106" i="5" l="1"/>
  <c r="AR116" i="5" s="1"/>
  <c r="AS109" i="5"/>
  <c r="AS107" i="5" s="1"/>
  <c r="AQ137" i="5"/>
  <c r="AS129" i="5"/>
  <c r="AS80" i="5"/>
  <c r="AS99" i="5" s="1"/>
  <c r="AR128" i="5"/>
  <c r="AR126" i="5" s="1"/>
  <c r="AR132" i="5"/>
  <c r="AR131" i="5" s="1"/>
  <c r="AS86" i="5"/>
  <c r="AT83" i="5" s="1"/>
  <c r="AS71" i="5"/>
  <c r="AT68" i="5" s="1"/>
  <c r="AT70" i="5" s="1"/>
  <c r="AT30" i="5" s="1"/>
  <c r="AS32" i="5"/>
  <c r="AS111" i="5" l="1"/>
  <c r="AS110" i="5" s="1"/>
  <c r="AR125" i="5"/>
  <c r="AT85" i="5"/>
  <c r="AT81" i="5" s="1"/>
  <c r="AT108" i="5" s="1"/>
  <c r="AT112" i="5" s="1"/>
  <c r="AS133" i="5"/>
  <c r="AS130" i="5"/>
  <c r="AT32" i="5"/>
  <c r="AT71" i="5"/>
  <c r="AU68" i="5" s="1"/>
  <c r="AJ18" i="4"/>
  <c r="E204" i="16" l="1"/>
  <c r="F204" i="16" s="1"/>
  <c r="AK18" i="4"/>
  <c r="G204" i="16" s="1"/>
  <c r="AS106" i="5"/>
  <c r="AS116" i="5" s="1"/>
  <c r="AT109" i="5"/>
  <c r="AR137" i="5"/>
  <c r="AT86" i="5"/>
  <c r="AU83" i="5" s="1"/>
  <c r="AT129" i="5"/>
  <c r="AT80" i="5"/>
  <c r="AT99" i="5" s="1"/>
  <c r="AS128" i="5"/>
  <c r="AS126" i="5" s="1"/>
  <c r="AS132" i="5"/>
  <c r="AS131" i="5" s="1"/>
  <c r="AU70" i="5"/>
  <c r="AU30" i="5" s="1"/>
  <c r="Y35" i="4"/>
  <c r="AT111" i="5" l="1"/>
  <c r="AT110" i="5" s="1"/>
  <c r="AT107" i="5"/>
  <c r="G109" i="16"/>
  <c r="AS125" i="5"/>
  <c r="AT133" i="5"/>
  <c r="AT130" i="5"/>
  <c r="AU85" i="5"/>
  <c r="AU81" i="5" s="1"/>
  <c r="AU108" i="5" s="1"/>
  <c r="AU112" i="5" s="1"/>
  <c r="AU71" i="5"/>
  <c r="AU32" i="5"/>
  <c r="Y33" i="4"/>
  <c r="AT106" i="5" l="1"/>
  <c r="AT116" i="5" s="1"/>
  <c r="AU109" i="5"/>
  <c r="AU107" i="5" s="1"/>
  <c r="G107" i="16"/>
  <c r="AS137" i="5"/>
  <c r="Y36" i="4"/>
  <c r="G110" i="16" s="1"/>
  <c r="AU86" i="5"/>
  <c r="AU129" i="5"/>
  <c r="AU80" i="5"/>
  <c r="AU99" i="5" s="1"/>
  <c r="AT128" i="5"/>
  <c r="AT126" i="5" s="1"/>
  <c r="AT132" i="5"/>
  <c r="AT131" i="5" s="1"/>
  <c r="Y48" i="4"/>
  <c r="AU111" i="5" l="1"/>
  <c r="AU110" i="5" s="1"/>
  <c r="G121" i="16"/>
  <c r="Y40" i="4"/>
  <c r="Y39" i="4"/>
  <c r="G113" i="16" s="1"/>
  <c r="AT125" i="5"/>
  <c r="AU133" i="5"/>
  <c r="AU130" i="5"/>
  <c r="Y49" i="4"/>
  <c r="AU106" i="5" l="1"/>
  <c r="AU116" i="5" s="1"/>
  <c r="G122" i="16"/>
  <c r="Y50" i="4"/>
  <c r="AT137" i="5"/>
  <c r="AU128" i="5"/>
  <c r="AU126" i="5" s="1"/>
  <c r="AU132" i="5"/>
  <c r="AU131" i="5" s="1"/>
  <c r="Z34" i="4"/>
  <c r="G123" i="16" l="1"/>
  <c r="AU125" i="5"/>
  <c r="AJ19" i="4"/>
  <c r="Y51" i="4"/>
  <c r="E205" i="16" l="1"/>
  <c r="F205" i="16" s="1"/>
  <c r="F234" i="16" s="1"/>
  <c r="AK19" i="4"/>
  <c r="G205" i="16" s="1"/>
  <c r="Y52" i="4"/>
  <c r="Y56" i="4" s="1"/>
  <c r="G124" i="16"/>
  <c r="U53" i="4"/>
  <c r="M54" i="4" s="1"/>
  <c r="AU137" i="5"/>
  <c r="G125" i="16" l="1"/>
  <c r="Y55" i="4"/>
  <c r="G128" i="16" s="1"/>
  <c r="C126" i="16"/>
  <c r="U54" i="4"/>
  <c r="M56" i="4" s="1"/>
  <c r="J70" i="5"/>
  <c r="J71" i="5" s="1"/>
  <c r="C127" i="16" l="1"/>
  <c r="AJ20" i="4"/>
  <c r="E206" i="16" l="1"/>
  <c r="AK20" i="4"/>
  <c r="G206" i="16" s="1"/>
  <c r="AJ21" i="4"/>
  <c r="E207" i="16" l="1"/>
  <c r="AK21" i="4"/>
  <c r="G207" i="16" s="1"/>
  <c r="AJ22" i="4"/>
  <c r="Z35" i="4"/>
  <c r="AA34" i="4"/>
  <c r="E208" i="16" l="1"/>
  <c r="AK22" i="4"/>
  <c r="G208" i="16" s="1"/>
  <c r="Z33" i="4"/>
  <c r="Z36" i="4" l="1"/>
  <c r="Z48" i="4"/>
  <c r="Z39" i="4" l="1"/>
  <c r="Z49" i="4"/>
  <c r="Z50" i="4" l="1"/>
  <c r="Z51" i="4"/>
  <c r="Z52" i="4" l="1"/>
  <c r="AJ23" i="4"/>
  <c r="E209" i="16" l="1"/>
  <c r="AK23" i="4"/>
  <c r="G209" i="16" s="1"/>
  <c r="Z55" i="4"/>
  <c r="Z56" i="4"/>
  <c r="AJ24" i="4"/>
  <c r="E210" i="16" l="1"/>
  <c r="AK24" i="4"/>
  <c r="G210" i="16" s="1"/>
  <c r="AB34" i="4"/>
  <c r="AJ25" i="4"/>
  <c r="E211" i="16" l="1"/>
  <c r="AK25" i="4"/>
  <c r="G211" i="16" s="1"/>
  <c r="AJ26" i="4"/>
  <c r="E212" i="16" l="1"/>
  <c r="AK26" i="4"/>
  <c r="G212" i="16" s="1"/>
  <c r="AA35" i="4"/>
  <c r="AA33" i="4"/>
  <c r="AA36" i="4" l="1"/>
  <c r="AA48" i="4"/>
  <c r="AA39" i="4" l="1"/>
  <c r="AA49" i="4"/>
  <c r="AC34" i="4"/>
  <c r="AA50" i="4" l="1"/>
  <c r="AA51" i="4"/>
  <c r="AA52" i="4" l="1"/>
  <c r="AJ27" i="4"/>
  <c r="E213" i="16" l="1"/>
  <c r="AK27" i="4"/>
  <c r="G213" i="16" s="1"/>
  <c r="AA55" i="4"/>
  <c r="AA56" i="4"/>
  <c r="AJ28" i="4"/>
  <c r="E214" i="16" l="1"/>
  <c r="AK28" i="4"/>
  <c r="G214" i="16" s="1"/>
  <c r="AJ29" i="4"/>
  <c r="E215" i="16" l="1"/>
  <c r="AK29" i="4"/>
  <c r="G215" i="16" s="1"/>
  <c r="AB35" i="4"/>
  <c r="AJ30" i="4"/>
  <c r="AD34" i="4"/>
  <c r="E216" i="16" l="1"/>
  <c r="AK30" i="4"/>
  <c r="G216" i="16" s="1"/>
  <c r="AB33" i="4"/>
  <c r="AB36" i="4" l="1"/>
  <c r="AB39" i="4" l="1"/>
  <c r="AB49" i="4"/>
  <c r="AB48" i="4"/>
  <c r="AB50" i="4" l="1"/>
  <c r="AB51" i="4"/>
  <c r="AB52" i="4" l="1"/>
  <c r="AJ31" i="4"/>
  <c r="E217" i="16" l="1"/>
  <c r="AK31" i="4"/>
  <c r="G217" i="16" s="1"/>
  <c r="AB55" i="4"/>
  <c r="AB56" i="4"/>
  <c r="AJ32" i="4"/>
  <c r="AE34" i="4"/>
  <c r="E218" i="16" l="1"/>
  <c r="AK32" i="4"/>
  <c r="G218" i="16" s="1"/>
  <c r="J25" i="5" l="1"/>
  <c r="AJ33" i="4"/>
  <c r="E219" i="16" l="1"/>
  <c r="AK33" i="4"/>
  <c r="G219" i="16" s="1"/>
  <c r="J26" i="5" l="1"/>
  <c r="AJ34" i="4"/>
  <c r="AC35" i="4"/>
  <c r="E220" i="16" l="1"/>
  <c r="AK34" i="4"/>
  <c r="G220" i="16" s="1"/>
  <c r="AF34" i="4"/>
  <c r="AC33" i="4"/>
  <c r="AC36" i="4" l="1"/>
  <c r="U34" i="4"/>
  <c r="C108" i="16" s="1"/>
  <c r="AC48" i="4"/>
  <c r="N59" i="4" l="1"/>
  <c r="P16" i="4"/>
  <c r="P18" i="4" s="1"/>
  <c r="AC39" i="4"/>
  <c r="AC49" i="4"/>
  <c r="AC50" i="4" l="1"/>
  <c r="J27" i="5"/>
  <c r="AC51" i="4"/>
  <c r="AC52" i="4" l="1"/>
  <c r="AJ35" i="4"/>
  <c r="E221" i="16" l="1"/>
  <c r="AK35" i="4"/>
  <c r="G221" i="16" s="1"/>
  <c r="AC55" i="4"/>
  <c r="AC56" i="4"/>
  <c r="J28" i="5" l="1"/>
  <c r="AJ36" i="4"/>
  <c r="E222" i="16" l="1"/>
  <c r="AK36" i="4"/>
  <c r="G222" i="16" s="1"/>
  <c r="J24" i="5"/>
  <c r="J29" i="5" l="1"/>
  <c r="AJ37" i="4"/>
  <c r="E223" i="16" l="1"/>
  <c r="AK37" i="4"/>
  <c r="G223" i="16" s="1"/>
  <c r="AJ38" i="4"/>
  <c r="AD33" i="4"/>
  <c r="AD35" i="4"/>
  <c r="E224" i="16" l="1"/>
  <c r="AK38" i="4"/>
  <c r="G224" i="16" s="1"/>
  <c r="AD36" i="4"/>
  <c r="AD48" i="4"/>
  <c r="AD39" i="4" l="1"/>
  <c r="AD49" i="4"/>
  <c r="AD50" i="4" l="1"/>
  <c r="AD51" i="4"/>
  <c r="AD52" i="4" l="1"/>
  <c r="AJ39" i="4"/>
  <c r="E225" i="16" l="1"/>
  <c r="AK39" i="4"/>
  <c r="G225" i="16" s="1"/>
  <c r="AD55" i="4"/>
  <c r="AD56" i="4"/>
  <c r="AJ40" i="4"/>
  <c r="E226" i="16" l="1"/>
  <c r="AK40" i="4"/>
  <c r="G226" i="16" s="1"/>
  <c r="AJ41" i="4"/>
  <c r="E227" i="16" l="1"/>
  <c r="AK41" i="4"/>
  <c r="G227" i="16" s="1"/>
  <c r="AE35" i="4"/>
  <c r="AE33" i="4"/>
  <c r="AE36" i="4" l="1"/>
  <c r="AJ42" i="4"/>
  <c r="E228" i="16" l="1"/>
  <c r="AK42" i="4"/>
  <c r="G228" i="16" s="1"/>
  <c r="AE39" i="4"/>
  <c r="AE48" i="4"/>
  <c r="AE49" i="4"/>
  <c r="AE50" i="4" l="1"/>
  <c r="AE51" i="4"/>
  <c r="AE52" i="4" l="1"/>
  <c r="AJ43" i="4"/>
  <c r="E229" i="16" l="1"/>
  <c r="AK43" i="4"/>
  <c r="G229" i="16" s="1"/>
  <c r="AE55" i="4"/>
  <c r="AE56" i="4"/>
  <c r="J30" i="5"/>
  <c r="J32" i="5"/>
  <c r="AJ44" i="4"/>
  <c r="E230" i="16" l="1"/>
  <c r="AK44" i="4"/>
  <c r="G230" i="16" s="1"/>
  <c r="AJ45" i="4"/>
  <c r="E231" i="16" l="1"/>
  <c r="AK45" i="4"/>
  <c r="G231" i="16" s="1"/>
  <c r="AJ46" i="4"/>
  <c r="AF35" i="4"/>
  <c r="E232" i="16" l="1"/>
  <c r="AK46" i="4"/>
  <c r="G232" i="16" s="1"/>
  <c r="U35" i="4"/>
  <c r="C109" i="16" s="1"/>
  <c r="AF33" i="4"/>
  <c r="AF36" i="4" l="1"/>
  <c r="U33" i="4"/>
  <c r="C107" i="16" s="1"/>
  <c r="AF48" i="4"/>
  <c r="U48" i="4" l="1"/>
  <c r="N57" i="4"/>
  <c r="U36" i="4"/>
  <c r="C110" i="16" s="1"/>
  <c r="AF39" i="4"/>
  <c r="U39" i="4" s="1"/>
  <c r="C113" i="16" s="1"/>
  <c r="AF49" i="4"/>
  <c r="C121" i="16" l="1"/>
  <c r="U49" i="4"/>
  <c r="C122" i="16" s="1"/>
  <c r="AF50" i="4"/>
  <c r="U40" i="4"/>
  <c r="AF51" i="4"/>
  <c r="U50" i="4" l="1"/>
  <c r="AF52" i="4"/>
  <c r="O6" i="4"/>
  <c r="U51" i="4"/>
  <c r="C124" i="16" s="1"/>
  <c r="AJ47" i="4"/>
  <c r="E139" i="16" l="1"/>
  <c r="P19" i="4"/>
  <c r="E233" i="16"/>
  <c r="C123" i="16"/>
  <c r="N58" i="4"/>
  <c r="AK47" i="4"/>
  <c r="G233" i="16" s="1"/>
  <c r="AF55" i="4"/>
  <c r="U55" i="4" s="1"/>
  <c r="C128" i="16" s="1"/>
  <c r="AF56" i="4"/>
  <c r="U52" i="4"/>
  <c r="U56" i="4" s="1"/>
  <c r="C125" i="16" l="1"/>
  <c r="O7" i="4" l="1"/>
  <c r="J81" i="5"/>
  <c r="C139" i="16" l="1"/>
  <c r="AK48" i="4"/>
  <c r="G234" i="16" s="1"/>
  <c r="K99" i="5"/>
  <c r="K102" i="5"/>
  <c r="U41" i="4" s="1"/>
  <c r="J80" i="5"/>
  <c r="J106" i="5" l="1"/>
  <c r="K118" i="5" s="1"/>
  <c r="P6" i="4"/>
  <c r="F139" i="16" s="1"/>
  <c r="K101" i="5"/>
  <c r="J99" i="5"/>
  <c r="J116" i="5" l="1"/>
  <c r="K119" i="5"/>
  <c r="J126" i="5"/>
  <c r="AJ48" i="4" l="1"/>
  <c r="E234" i="16" s="1"/>
  <c r="K140" i="5"/>
  <c r="U57" i="4" s="1"/>
  <c r="J125" i="5"/>
  <c r="P7" i="4" l="1"/>
  <c r="D139" i="16" s="1"/>
  <c r="K139" i="5"/>
  <c r="J137" i="5"/>
  <c r="S12" i="17" l="1"/>
  <c r="T12" i="17" s="1"/>
  <c r="S15" i="17"/>
  <c r="T15" i="17" s="1"/>
  <c r="S16" i="17"/>
  <c r="T16" i="17" s="1"/>
  <c r="S13" i="17"/>
  <c r="T13" i="17" s="1"/>
  <c r="S17" i="17"/>
  <c r="T17" i="17" s="1"/>
  <c r="S14" i="17"/>
  <c r="T14" i="17" s="1"/>
  <c r="S11" i="17"/>
  <c r="T11" i="17" s="1"/>
  <c r="D4" i="17" l="1"/>
  <c r="I4" i="17" l="1"/>
  <c r="D5" i="17"/>
  <c r="I5" i="17" l="1"/>
  <c r="D6" i="17"/>
  <c r="I6" i="17" l="1"/>
  <c r="D7" i="17"/>
  <c r="D8" i="17" l="1"/>
  <c r="I7" i="17"/>
  <c r="D9" i="17" l="1"/>
  <c r="I8" i="17"/>
  <c r="D10" i="17" l="1"/>
  <c r="I9" i="17"/>
  <c r="I10" i="17" l="1"/>
  <c r="D11" i="17"/>
  <c r="D12" i="17" l="1"/>
  <c r="I11" i="17"/>
  <c r="D13" i="17" l="1"/>
  <c r="I12" i="17"/>
  <c r="I13" i="17" l="1"/>
  <c r="D14" i="17"/>
  <c r="I14" i="17" l="1"/>
  <c r="D15" i="17"/>
  <c r="I15" i="17" l="1"/>
  <c r="D16" i="17"/>
  <c r="I16" i="17" l="1"/>
  <c r="D17" i="17"/>
  <c r="I17" i="17" l="1"/>
  <c r="D18" i="17"/>
  <c r="I18" i="17" l="1"/>
  <c r="D19" i="17"/>
  <c r="D20" i="17" l="1"/>
  <c r="I19" i="17"/>
  <c r="I20" i="17" l="1"/>
  <c r="D21" i="17"/>
  <c r="I21" i="17" l="1"/>
  <c r="D22" i="17"/>
  <c r="I22" i="17" l="1"/>
  <c r="D23" i="17"/>
  <c r="D24" i="17" l="1"/>
  <c r="I23" i="17"/>
  <c r="D25" i="17" l="1"/>
  <c r="I24" i="17"/>
  <c r="D26" i="17" l="1"/>
  <c r="I25" i="17"/>
  <c r="I26" i="17" l="1"/>
  <c r="D27" i="17"/>
  <c r="D28" i="17" l="1"/>
  <c r="I27" i="17"/>
  <c r="D29" i="17" l="1"/>
  <c r="I28" i="17"/>
  <c r="I29" i="17" l="1"/>
  <c r="D30" i="17"/>
  <c r="I30" i="17" l="1"/>
  <c r="D31" i="17"/>
  <c r="I31" i="17" l="1"/>
  <c r="D32" i="17"/>
  <c r="I32" i="17" l="1"/>
  <c r="D33" i="17"/>
  <c r="I33" i="17" l="1"/>
  <c r="D34" i="17"/>
  <c r="I34" i="17" l="1"/>
  <c r="D35" i="17"/>
  <c r="D36" i="17" l="1"/>
  <c r="I35" i="17"/>
  <c r="I36" i="17" l="1"/>
  <c r="D37" i="17"/>
  <c r="I37" i="17" l="1"/>
  <c r="D38" i="17"/>
  <c r="I38" i="17" l="1"/>
  <c r="D39" i="17"/>
  <c r="D40" i="17" l="1"/>
  <c r="I39" i="17"/>
  <c r="D41" i="17" l="1"/>
  <c r="I40" i="17"/>
  <c r="D42" i="17" l="1"/>
  <c r="I41" i="17"/>
  <c r="I42" i="17" l="1"/>
  <c r="D43" i="17"/>
  <c r="D44" i="17" l="1"/>
  <c r="I43" i="17"/>
  <c r="D45" i="17" l="1"/>
  <c r="I44" i="17"/>
  <c r="I45" i="17" l="1"/>
  <c r="D46" i="17"/>
  <c r="I46" i="17" l="1"/>
  <c r="D47" i="17"/>
  <c r="I47" i="17" l="1"/>
  <c r="D48" i="17"/>
  <c r="I48" i="17" l="1"/>
  <c r="D49" i="17"/>
  <c r="I49" i="17" l="1"/>
  <c r="D50" i="17"/>
  <c r="I50" i="17" l="1"/>
  <c r="D51" i="17"/>
  <c r="D52" i="17" l="1"/>
  <c r="I51" i="17"/>
  <c r="I52" i="17" l="1"/>
  <c r="D53" i="17"/>
  <c r="I53" i="17" l="1"/>
  <c r="D54" i="17"/>
  <c r="I54" i="17" l="1"/>
  <c r="D55" i="17"/>
  <c r="D56" i="17" l="1"/>
  <c r="I55" i="17"/>
  <c r="D57" i="17" l="1"/>
  <c r="I56" i="17"/>
  <c r="D58" i="17" l="1"/>
  <c r="I57" i="17"/>
  <c r="I58" i="17" l="1"/>
  <c r="D59" i="17"/>
  <c r="D60" i="17" l="1"/>
  <c r="I59" i="17"/>
  <c r="D61" i="17" l="1"/>
  <c r="I60" i="17"/>
  <c r="I61" i="17" l="1"/>
  <c r="D62" i="17"/>
  <c r="I62" i="17" l="1"/>
  <c r="D63" i="17"/>
  <c r="I63" i="17" l="1"/>
  <c r="D64" i="17"/>
  <c r="I64" i="17" l="1"/>
  <c r="D65" i="17"/>
  <c r="I65" i="17" l="1"/>
  <c r="D66" i="17"/>
  <c r="I66" i="17" l="1"/>
  <c r="D67" i="17"/>
  <c r="D68" i="17" l="1"/>
  <c r="I67" i="17"/>
  <c r="I68" i="17" l="1"/>
  <c r="D69" i="17"/>
  <c r="I69" i="17" l="1"/>
  <c r="D70" i="17"/>
  <c r="I70" i="17" l="1"/>
  <c r="D71" i="17"/>
  <c r="D72" i="17" l="1"/>
  <c r="I71" i="17"/>
  <c r="D73" i="17" l="1"/>
  <c r="I72" i="17"/>
  <c r="D74" i="17" l="1"/>
  <c r="I73" i="17"/>
  <c r="I74" i="17" l="1"/>
  <c r="D75" i="17"/>
  <c r="D76" i="17" l="1"/>
  <c r="I75" i="17"/>
  <c r="D77" i="17" l="1"/>
  <c r="I76" i="17"/>
  <c r="I77" i="17" l="1"/>
  <c r="D78" i="17"/>
  <c r="I78" i="17" s="1"/>
</calcChain>
</file>

<file path=xl/comments1.xml><?xml version="1.0" encoding="utf-8"?>
<comments xmlns="http://schemas.openxmlformats.org/spreadsheetml/2006/main">
  <authors>
    <author>Kyungtaek Lee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Kyungtaek Lee:</t>
        </r>
        <r>
          <rPr>
            <sz val="9"/>
            <color indexed="81"/>
            <rFont val="Tahoma"/>
            <family val="2"/>
          </rPr>
          <t xml:space="preserve">
Act/360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Kyungtaek Lee:</t>
        </r>
        <r>
          <rPr>
            <sz val="9"/>
            <color indexed="81"/>
            <rFont val="Tahoma"/>
            <family val="2"/>
          </rPr>
          <t xml:space="preserve">
spoonser </t>
        </r>
        <r>
          <rPr>
            <sz val="9"/>
            <color indexed="81"/>
            <rFont val="돋움"/>
            <family val="3"/>
            <charset val="129"/>
          </rPr>
          <t>제공</t>
        </r>
        <r>
          <rPr>
            <sz val="9"/>
            <color indexed="81"/>
            <rFont val="Tahoma"/>
            <family val="2"/>
          </rPr>
          <t xml:space="preserve"> NOI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</commentList>
</comments>
</file>

<file path=xl/comments2.xml><?xml version="1.0" encoding="utf-8"?>
<comments xmlns="http://schemas.openxmlformats.org/spreadsheetml/2006/main">
  <authors>
    <author>Kyungtaek Lee</author>
    <author>Lee, Kyung-Taek (KR/Deal Adv2)</author>
  </authors>
  <commentList>
    <comment ref="D38" authorId="0" shapeId="0">
      <text>
        <r>
          <rPr>
            <b/>
            <sz val="9"/>
            <color indexed="81"/>
            <rFont val="Tahoma"/>
            <family val="2"/>
          </rPr>
          <t>Kyungtaek Lee:</t>
        </r>
        <r>
          <rPr>
            <sz val="9"/>
            <color indexed="81"/>
            <rFont val="Tahoma"/>
            <family val="2"/>
          </rPr>
          <t xml:space="preserve">
Act/360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Kyungtaek Lee:</t>
        </r>
        <r>
          <rPr>
            <sz val="9"/>
            <color indexed="81"/>
            <rFont val="Tahoma"/>
            <family val="2"/>
          </rPr>
          <t xml:space="preserve">
spoonser </t>
        </r>
        <r>
          <rPr>
            <sz val="9"/>
            <color indexed="81"/>
            <rFont val="돋움"/>
            <family val="3"/>
            <charset val="129"/>
          </rPr>
          <t>제공</t>
        </r>
        <r>
          <rPr>
            <sz val="9"/>
            <color indexed="81"/>
            <rFont val="Tahoma"/>
            <family val="2"/>
          </rPr>
          <t xml:space="preserve"> NOI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U40" authorId="1" shapeId="0">
      <text>
        <r>
          <rPr>
            <b/>
            <sz val="9"/>
            <color indexed="81"/>
            <rFont val="Tahoma"/>
            <family val="2"/>
          </rPr>
          <t>Lee, Kyung-Taek (KR/Deal Adv2):</t>
        </r>
        <r>
          <rPr>
            <sz val="9"/>
            <color indexed="81"/>
            <rFont val="Tahoma"/>
            <family val="2"/>
          </rPr>
          <t xml:space="preserve">
all-in </t>
        </r>
        <r>
          <rPr>
            <sz val="9"/>
            <color indexed="81"/>
            <rFont val="돋움"/>
            <family val="3"/>
            <charset val="129"/>
          </rPr>
          <t xml:space="preserve">기준
</t>
        </r>
        <r>
          <rPr>
            <sz val="9"/>
            <color indexed="81"/>
            <rFont val="Tahoma"/>
            <family val="2"/>
          </rPr>
          <t>-&gt;</t>
        </r>
        <r>
          <rPr>
            <sz val="9"/>
            <color indexed="81"/>
            <rFont val="돋움"/>
            <family val="3"/>
            <charset val="129"/>
          </rPr>
          <t>최초대출부대비용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대출기간에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안분하여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가산함</t>
        </r>
      </text>
    </comment>
    <comment ref="V40" authorId="1" shapeId="0">
      <text>
        <r>
          <rPr>
            <b/>
            <sz val="9"/>
            <color indexed="81"/>
            <rFont val="Tahoma"/>
            <family val="2"/>
          </rPr>
          <t>Lee, Kyung-Taek (KR/Deal Adv2):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대출부대비용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대출기간</t>
        </r>
        <r>
          <rPr>
            <sz val="9"/>
            <color indexed="81"/>
            <rFont val="Tahoma"/>
            <family val="2"/>
          </rPr>
          <t>(3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안분</t>
        </r>
        <r>
          <rPr>
            <sz val="9"/>
            <color indexed="81"/>
            <rFont val="Tahoma"/>
            <family val="2"/>
          </rPr>
          <t xml:space="preserve"> coc</t>
        </r>
      </text>
    </comment>
  </commentList>
</comments>
</file>

<file path=xl/comments3.xml><?xml version="1.0" encoding="utf-8"?>
<comments xmlns="http://schemas.openxmlformats.org/spreadsheetml/2006/main">
  <authors>
    <author>Lee, Kyung-Taek (KR/Deal Adv2)</author>
  </authors>
  <commentList>
    <comment ref="AU11" authorId="0" shapeId="0">
      <text>
        <r>
          <rPr>
            <b/>
            <sz val="9"/>
            <color indexed="81"/>
            <rFont val="Tahoma"/>
            <family val="2"/>
          </rPr>
          <t>Lee, Kyung-Taek (KR/Deal Adv2):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주차수입</t>
        </r>
        <r>
          <rPr>
            <sz val="9"/>
            <color indexed="81"/>
            <rFont val="Tahoma"/>
            <family val="2"/>
          </rPr>
          <t xml:space="preserve"> KPMG </t>
        </r>
        <r>
          <rPr>
            <sz val="9"/>
            <color indexed="81"/>
            <rFont val="돋움"/>
            <family val="3"/>
            <charset val="129"/>
          </rPr>
          <t>재계산하여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추정함</t>
        </r>
      </text>
    </comment>
    <comment ref="AR15" authorId="0" shapeId="0">
      <text>
        <r>
          <rPr>
            <b/>
            <sz val="9"/>
            <color indexed="81"/>
            <rFont val="Tahoma"/>
            <family val="2"/>
          </rPr>
          <t>Lee, Kyung-Taek (KR/Deal Adv2):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과거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삭제함</t>
        </r>
      </text>
    </comment>
    <comment ref="AR29" authorId="0" shapeId="0">
      <text>
        <r>
          <rPr>
            <b/>
            <sz val="9"/>
            <color indexed="81"/>
            <rFont val="Tahoma"/>
            <family val="2"/>
          </rPr>
          <t>Lee, Kyung-Taek (KR/Deal Adv2):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과거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삭제함</t>
        </r>
      </text>
    </comment>
    <comment ref="AR30" authorId="0" shapeId="0">
      <text>
        <r>
          <rPr>
            <b/>
            <sz val="9"/>
            <color indexed="81"/>
            <rFont val="Tahoma"/>
            <family val="2"/>
          </rPr>
          <t>Lee, Kyung-Taek (KR/Deal Adv2):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과거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삭제함</t>
        </r>
      </text>
    </comment>
    <comment ref="AU37" authorId="0" shapeId="0">
      <text>
        <r>
          <rPr>
            <b/>
            <sz val="9"/>
            <color indexed="81"/>
            <rFont val="Tahoma"/>
            <family val="2"/>
          </rPr>
          <t>Lee, Kyung-Taek (KR/Deal Adv2):</t>
        </r>
        <r>
          <rPr>
            <sz val="9"/>
            <color indexed="81"/>
            <rFont val="Tahoma"/>
            <family val="2"/>
          </rPr>
          <t xml:space="preserve">
capex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refer </t>
        </r>
        <r>
          <rPr>
            <sz val="9"/>
            <color indexed="81"/>
            <rFont val="돋움"/>
            <family val="3"/>
            <charset val="129"/>
          </rPr>
          <t>일치하도록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미룸</t>
        </r>
      </text>
    </comment>
  </commentList>
</comments>
</file>

<file path=xl/comments4.xml><?xml version="1.0" encoding="utf-8"?>
<comments xmlns="http://schemas.openxmlformats.org/spreadsheetml/2006/main">
  <authors>
    <author>Kyungtaek Lee</author>
    <author>LKT</author>
  </authors>
  <commentList>
    <comment ref="I13" authorId="0" shapeId="0">
      <text>
        <r>
          <rPr>
            <b/>
            <sz val="9"/>
            <color indexed="81"/>
            <rFont val="Tahoma"/>
            <family val="2"/>
          </rPr>
          <t>Kyungtaek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초일산입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불산입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LKT: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초일산입</t>
        </r>
      </text>
    </comment>
  </commentList>
</comments>
</file>

<file path=xl/comments5.xml><?xml version="1.0" encoding="utf-8"?>
<comments xmlns="http://schemas.openxmlformats.org/spreadsheetml/2006/main">
  <authors>
    <author>David Byun</author>
  </authors>
  <commentList>
    <comment ref="C57" authorId="0" shapeId="0">
      <text>
        <r>
          <rPr>
            <b/>
            <sz val="9"/>
            <color indexed="81"/>
            <rFont val="Tahoma"/>
            <family val="2"/>
          </rPr>
          <t>David Byun:</t>
        </r>
        <r>
          <rPr>
            <sz val="9"/>
            <color indexed="81"/>
            <rFont val="Tahoma"/>
            <family val="2"/>
          </rPr>
          <t xml:space="preserve">
Assumption:
$37m will be drawn on day 1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ANZ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약정서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</text>
    </comment>
  </commentList>
</comments>
</file>

<file path=xl/sharedStrings.xml><?xml version="1.0" encoding="utf-8"?>
<sst xmlns="http://schemas.openxmlformats.org/spreadsheetml/2006/main" count="1705" uniqueCount="952">
  <si>
    <t>Operating Expenses</t>
  </si>
  <si>
    <t>Operating Expenses</t>
    <phoneticPr fontId="3" type="noConversion"/>
  </si>
  <si>
    <t>Net Operating Income</t>
    <phoneticPr fontId="3" type="noConversion"/>
  </si>
  <si>
    <t>Cash Flow Before Debt Service</t>
    <phoneticPr fontId="3" type="noConversion"/>
  </si>
  <si>
    <t>Red Text: Key-in</t>
    <phoneticPr fontId="24" type="noConversion"/>
  </si>
  <si>
    <t>기본 가정</t>
    <phoneticPr fontId="24" type="noConversion"/>
  </si>
  <si>
    <t>추정 결과</t>
    <phoneticPr fontId="24" type="noConversion"/>
  </si>
  <si>
    <t>현금흐름 요약</t>
    <phoneticPr fontId="24" type="noConversion"/>
  </si>
  <si>
    <t>국내투자일</t>
    <phoneticPr fontId="24" type="noConversion"/>
  </si>
  <si>
    <t>1. 수익 지표</t>
    <phoneticPr fontId="24" type="noConversion"/>
  </si>
  <si>
    <t>IRR</t>
    <phoneticPr fontId="24" type="noConversion"/>
  </si>
  <si>
    <t>'CF(M)'!</t>
    <phoneticPr fontId="24" type="noConversion"/>
  </si>
  <si>
    <t>현지매입일</t>
    <phoneticPr fontId="24" type="noConversion"/>
  </si>
  <si>
    <t>투자기간</t>
    <phoneticPr fontId="24" type="noConversion"/>
  </si>
  <si>
    <t>합계</t>
    <phoneticPr fontId="24" type="noConversion"/>
  </si>
  <si>
    <t>투자종료</t>
    <phoneticPr fontId="24" type="noConversion"/>
  </si>
  <si>
    <t>담보자산 가정</t>
    <phoneticPr fontId="24" type="noConversion"/>
  </si>
  <si>
    <t>단위:</t>
    <phoneticPr fontId="24" type="noConversion"/>
  </si>
  <si>
    <t>2. 안정성 지표</t>
    <phoneticPr fontId="24" type="noConversion"/>
  </si>
  <si>
    <t>Debt Yield</t>
    <phoneticPr fontId="24" type="noConversion"/>
  </si>
  <si>
    <t>DSCR</t>
    <phoneticPr fontId="24" type="noConversion"/>
  </si>
  <si>
    <t>평균</t>
    <phoneticPr fontId="24" type="noConversion"/>
  </si>
  <si>
    <t>최저</t>
    <phoneticPr fontId="24" type="noConversion"/>
  </si>
  <si>
    <t>최저</t>
    <phoneticPr fontId="24" type="noConversion"/>
  </si>
  <si>
    <t>명칭</t>
    <phoneticPr fontId="24" type="noConversion"/>
  </si>
  <si>
    <t>타입</t>
    <phoneticPr fontId="24" type="noConversion"/>
  </si>
  <si>
    <t>Interest Expense</t>
    <phoneticPr fontId="24" type="noConversion"/>
  </si>
  <si>
    <t>KRW(\000)</t>
    <phoneticPr fontId="24" type="noConversion"/>
  </si>
  <si>
    <t>CoC</t>
    <phoneticPr fontId="24" type="noConversion"/>
  </si>
  <si>
    <t>Cash Flow After Debt Service</t>
    <phoneticPr fontId="24" type="noConversion"/>
  </si>
  <si>
    <t>대출채권 가정</t>
    <phoneticPr fontId="24" type="noConversion"/>
  </si>
  <si>
    <t>대출일</t>
    <phoneticPr fontId="24" type="noConversion"/>
  </si>
  <si>
    <t>대출기간</t>
    <phoneticPr fontId="24" type="noConversion"/>
  </si>
  <si>
    <t>만기일</t>
    <phoneticPr fontId="24" type="noConversion"/>
  </si>
  <si>
    <t>이자지급일</t>
    <phoneticPr fontId="24" type="noConversion"/>
  </si>
  <si>
    <t>Debt Yield</t>
    <phoneticPr fontId="24" type="noConversion"/>
  </si>
  <si>
    <t>국내정산기간</t>
    <phoneticPr fontId="24" type="noConversion"/>
  </si>
  <si>
    <t>담보자산운영 가정</t>
    <phoneticPr fontId="24" type="noConversion"/>
  </si>
  <si>
    <t>시나리오</t>
    <phoneticPr fontId="24" type="noConversion"/>
  </si>
  <si>
    <t>단위:</t>
    <phoneticPr fontId="24" type="noConversion"/>
  </si>
  <si>
    <t>원금</t>
    <phoneticPr fontId="24" type="noConversion"/>
  </si>
  <si>
    <t>이자율</t>
    <phoneticPr fontId="24" type="noConversion"/>
  </si>
  <si>
    <t>연이자</t>
    <phoneticPr fontId="24" type="noConversion"/>
  </si>
  <si>
    <t>LTP</t>
    <phoneticPr fontId="24" type="noConversion"/>
  </si>
  <si>
    <t>DSCR</t>
    <phoneticPr fontId="24" type="noConversion"/>
  </si>
  <si>
    <t>Loan</t>
    <phoneticPr fontId="24" type="noConversion"/>
  </si>
  <si>
    <t>투자 가정</t>
    <phoneticPr fontId="24" type="noConversion"/>
  </si>
  <si>
    <t>KRW(\000)</t>
    <phoneticPr fontId="24" type="noConversion"/>
  </si>
  <si>
    <t>연간</t>
    <phoneticPr fontId="24" type="noConversion"/>
  </si>
  <si>
    <t>비용</t>
    <phoneticPr fontId="24" type="noConversion"/>
  </si>
  <si>
    <t>산출기준</t>
    <phoneticPr fontId="24" type="noConversion"/>
  </si>
  <si>
    <t>검증</t>
    <phoneticPr fontId="24" type="noConversion"/>
  </si>
  <si>
    <t>현지 원금회수</t>
    <phoneticPr fontId="24" type="noConversion"/>
  </si>
  <si>
    <t>국내 원금회수</t>
    <phoneticPr fontId="24" type="noConversion"/>
  </si>
  <si>
    <t>현지 이자</t>
    <phoneticPr fontId="24" type="noConversion"/>
  </si>
  <si>
    <t>현지 Other Cost</t>
    <phoneticPr fontId="24" type="noConversion"/>
  </si>
  <si>
    <t>국내투자일</t>
    <phoneticPr fontId="24" type="noConversion"/>
  </si>
  <si>
    <t>현지투자일</t>
    <phoneticPr fontId="24" type="noConversion"/>
  </si>
  <si>
    <t>투자종료일</t>
    <phoneticPr fontId="24" type="noConversion"/>
  </si>
  <si>
    <t>현지투자종료일</t>
    <phoneticPr fontId="24" type="noConversion"/>
  </si>
  <si>
    <t>합계</t>
    <phoneticPr fontId="24" type="noConversion"/>
  </si>
  <si>
    <t>투자기간여부</t>
    <phoneticPr fontId="24" type="noConversion"/>
  </si>
  <si>
    <t>현지이자지급일</t>
    <phoneticPr fontId="24" type="noConversion"/>
  </si>
  <si>
    <t>현지이자기산일</t>
    <phoneticPr fontId="24" type="noConversion"/>
  </si>
  <si>
    <t>국내 결산일</t>
    <phoneticPr fontId="24" type="noConversion"/>
  </si>
  <si>
    <t>NOI</t>
  </si>
  <si>
    <t>Cash Flow Before Debt Service</t>
  </si>
  <si>
    <t>Capital Reserve</t>
    <phoneticPr fontId="24" type="noConversion"/>
  </si>
  <si>
    <t>Cash Sweep</t>
    <phoneticPr fontId="24" type="noConversion"/>
  </si>
  <si>
    <t>배당가능 현금흐름</t>
    <phoneticPr fontId="24" type="noConversion"/>
  </si>
  <si>
    <t>펀드귀속이자기산일</t>
    <phoneticPr fontId="24" type="noConversion"/>
  </si>
  <si>
    <t>펀드용 적수</t>
    <phoneticPr fontId="24" type="noConversion"/>
  </si>
  <si>
    <r>
      <t>A</t>
    </r>
    <r>
      <rPr>
        <sz val="9"/>
        <color theme="1"/>
        <rFont val="맑은 고딕"/>
        <family val="2"/>
        <charset val="129"/>
      </rPr>
      <t>ct/360</t>
    </r>
    <phoneticPr fontId="24" type="noConversion"/>
  </si>
  <si>
    <t>기초미지급</t>
    <phoneticPr fontId="24" type="noConversion"/>
  </si>
  <si>
    <t>기중발생</t>
    <phoneticPr fontId="24" type="noConversion"/>
  </si>
  <si>
    <t>기중지급</t>
    <phoneticPr fontId="24" type="noConversion"/>
  </si>
  <si>
    <t>기말미지급</t>
    <phoneticPr fontId="24" type="noConversion"/>
  </si>
  <si>
    <t>기초미지급</t>
    <phoneticPr fontId="24" type="noConversion"/>
  </si>
  <si>
    <t>기중발생</t>
    <phoneticPr fontId="24" type="noConversion"/>
  </si>
  <si>
    <t>기말미지급</t>
    <phoneticPr fontId="24" type="noConversion"/>
  </si>
  <si>
    <t>Capital Reverse 전 CF</t>
    <phoneticPr fontId="24" type="noConversion"/>
  </si>
  <si>
    <t>기초미지급</t>
    <phoneticPr fontId="24" type="noConversion"/>
  </si>
  <si>
    <t>연간</t>
    <phoneticPr fontId="24" type="noConversion"/>
  </si>
  <si>
    <t>기중지급</t>
    <phoneticPr fontId="24" type="noConversion"/>
  </si>
  <si>
    <t>cost Index</t>
    <phoneticPr fontId="24" type="noConversion"/>
  </si>
  <si>
    <t>영업현금흐름</t>
    <phoneticPr fontId="24" type="noConversion"/>
  </si>
  <si>
    <t>이자수입</t>
    <phoneticPr fontId="24" type="noConversion"/>
  </si>
  <si>
    <t>투자현금흐름</t>
    <phoneticPr fontId="24" type="noConversion"/>
  </si>
  <si>
    <t>CoC</t>
    <phoneticPr fontId="24" type="noConversion"/>
  </si>
  <si>
    <t>IRR</t>
    <phoneticPr fontId="24" type="noConversion"/>
  </si>
  <si>
    <t>Property 개시일</t>
    <phoneticPr fontId="24" type="noConversion"/>
  </si>
  <si>
    <t>A-Note</t>
    <phoneticPr fontId="3" type="noConversion"/>
  </si>
  <si>
    <t>B-Note</t>
    <phoneticPr fontId="24" type="noConversion"/>
  </si>
  <si>
    <t>대출상환</t>
    <phoneticPr fontId="24" type="noConversion"/>
  </si>
  <si>
    <t>감정평가액</t>
    <phoneticPr fontId="24" type="noConversion"/>
  </si>
  <si>
    <t>영업이익 (Year 1 NOI)</t>
    <phoneticPr fontId="24" type="noConversion"/>
  </si>
  <si>
    <t>현지 B-Note($39,600,000) 수취 이자율: 5.30%</t>
  </si>
  <si>
    <t>현지 Whole Loan($200,000,000) 이자율: 4.71% (금주 중으로 확정 예정)</t>
  </si>
  <si>
    <t>현지 Loan Servicer 수수료: 대출금액의 연 0.5bps (금주 중으로 확정 예정)</t>
  </si>
  <si>
    <t xml:space="preserve">국내신탁 자문수수료 비용 </t>
  </si>
  <si>
    <t>현지법률: US 50,000 (VAT별도)</t>
  </si>
  <si>
    <t>국내법률: 8천만원 (VAT별도)</t>
  </si>
  <si>
    <t>재무실사: 3천만원 (VAT별도)</t>
  </si>
  <si>
    <t xml:space="preserve">자문 수수료 비용의 경우 국내신탁 운용기간 동안 자산화하여 회계처리 부탁 드립니다. </t>
  </si>
  <si>
    <t>국내신탁 설정 규모: 440억원</t>
  </si>
  <si>
    <t>국내신탁 운용수수료: 설정금액의 연 25bps (집합투자업자, 신탁업자, 일반사무, 판매사 포함)</t>
  </si>
  <si>
    <t xml:space="preserve">국내 신탁 초기비용 </t>
  </si>
  <si>
    <t>매입수수료: 대출금액의 30bps (설정시 최초 1회 발생)</t>
  </si>
  <si>
    <t xml:space="preserve">B-Note 이연이자지급: B-Note 1개월 이자 금액 </t>
  </si>
  <si>
    <t xml:space="preserve">현재 Whole Loan 대출계약은 2월 6일 또는 7일에 체결 예정입니다. </t>
  </si>
  <si>
    <t xml:space="preserve">국내 신탁의 경우 3월 5일에 설정, 현지송금은 3월 6일 쯤으로 예정되고 있습니다. </t>
  </si>
  <si>
    <t>O</t>
    <phoneticPr fontId="3" type="noConversion"/>
  </si>
  <si>
    <t>환율 1100원으로 수정</t>
    <phoneticPr fontId="3" type="noConversion"/>
  </si>
  <si>
    <t>NJ 부가세 적용</t>
    <phoneticPr fontId="3" type="noConversion"/>
  </si>
  <si>
    <t>회계기간</t>
    <phoneticPr fontId="3" type="noConversion"/>
  </si>
  <si>
    <t>회기</t>
    <phoneticPr fontId="3" type="noConversion"/>
  </si>
  <si>
    <t>연도</t>
    <phoneticPr fontId="3" type="noConversion"/>
  </si>
  <si>
    <t>회계연차</t>
    <phoneticPr fontId="3" type="noConversion"/>
  </si>
  <si>
    <t>Preiod&gt;</t>
    <phoneticPr fontId="3" type="noConversion"/>
  </si>
  <si>
    <t>&gt;CF(M) (회계기간 행)</t>
    <phoneticPr fontId="3" type="noConversion"/>
  </si>
  <si>
    <t>&lt;Property(M)</t>
    <phoneticPr fontId="3" type="noConversion"/>
  </si>
  <si>
    <t>Project Albury</t>
    <phoneticPr fontId="24" type="noConversion"/>
  </si>
  <si>
    <t>Base Rent</t>
  </si>
  <si>
    <t xml:space="preserve">  Rent - Car Park Permanent</t>
  </si>
  <si>
    <t xml:space="preserve">  Rent - Office</t>
  </si>
  <si>
    <t xml:space="preserve">  Rent - Speciality</t>
  </si>
  <si>
    <t xml:space="preserve">  Rent - Basement / Storage</t>
  </si>
  <si>
    <t xml:space="preserve">  Free Rent - Speciality</t>
  </si>
  <si>
    <t xml:space="preserve">    Total Base Rent</t>
  </si>
  <si>
    <t>Recoveries</t>
  </si>
  <si>
    <t xml:space="preserve">  Recoveries</t>
  </si>
  <si>
    <t xml:space="preserve">    Total Recoveries</t>
  </si>
  <si>
    <t xml:space="preserve">    Effective Rental Income</t>
  </si>
  <si>
    <t xml:space="preserve">  Statutory Expenses</t>
  </si>
  <si>
    <t xml:space="preserve">    Municipal / Council Rates</t>
  </si>
  <si>
    <t xml:space="preserve">    Water Rates</t>
  </si>
  <si>
    <t xml:space="preserve">    Land Tax</t>
  </si>
  <si>
    <t xml:space="preserve">      Total Statutory Expenses</t>
  </si>
  <si>
    <t xml:space="preserve">  Insurance Premiums</t>
  </si>
  <si>
    <t xml:space="preserve">    ISR</t>
  </si>
  <si>
    <t xml:space="preserve">    PLI</t>
  </si>
  <si>
    <t xml:space="preserve">      Total Insurance Premiums</t>
  </si>
  <si>
    <t xml:space="preserve">  R&amp;M Honeywell Contract</t>
  </si>
  <si>
    <t xml:space="preserve">  Admin / Management Fee</t>
  </si>
  <si>
    <t xml:space="preserve">    Property Management</t>
  </si>
  <si>
    <t xml:space="preserve">    Stata Admin Fund Levy</t>
  </si>
  <si>
    <t xml:space="preserve">      Total Admin / Management Fee</t>
  </si>
  <si>
    <t xml:space="preserve">  Non Recov Misc Consultants</t>
  </si>
  <si>
    <t xml:space="preserve">  Non Recov Land Tax</t>
  </si>
  <si>
    <t xml:space="preserve">  Non-Rec Out - Letting Expense</t>
  </si>
  <si>
    <t xml:space="preserve">    Total Operating Expenses</t>
  </si>
  <si>
    <t xml:space="preserve">    Net Operating Income</t>
  </si>
  <si>
    <t xml:space="preserve">    Cash Available for Distributions</t>
  </si>
  <si>
    <t>Effective Rental Income</t>
    <phoneticPr fontId="3" type="noConversion"/>
  </si>
  <si>
    <t>Base Rent</t>
    <phoneticPr fontId="3" type="noConversion"/>
  </si>
  <si>
    <t>Rent - Car Park Permanent</t>
    <phoneticPr fontId="3" type="noConversion"/>
  </si>
  <si>
    <t>Rent - Office</t>
    <phoneticPr fontId="3" type="noConversion"/>
  </si>
  <si>
    <t>Rent - Speciality</t>
    <phoneticPr fontId="3" type="noConversion"/>
  </si>
  <si>
    <t>Rent - Basement / Storage</t>
    <phoneticPr fontId="3" type="noConversion"/>
  </si>
  <si>
    <t>Free Rent - Speciality</t>
    <phoneticPr fontId="3" type="noConversion"/>
  </si>
  <si>
    <t>임대가능면적</t>
    <phoneticPr fontId="24" type="noConversion"/>
  </si>
  <si>
    <t>주차대수</t>
    <phoneticPr fontId="3" type="noConversion"/>
  </si>
  <si>
    <t>Ground</t>
  </si>
  <si>
    <t>BY 2012</t>
  </si>
  <si>
    <t>3.50% p.a.</t>
  </si>
  <si>
    <t>L1</t>
  </si>
  <si>
    <t>L2</t>
  </si>
  <si>
    <t>L3</t>
  </si>
  <si>
    <t>L4</t>
  </si>
  <si>
    <t>L5</t>
  </si>
  <si>
    <t>L6</t>
  </si>
  <si>
    <t>Monica Heather Whitehead</t>
  </si>
  <si>
    <t>G R1</t>
  </si>
  <si>
    <t>Gross</t>
  </si>
  <si>
    <t>CPI</t>
  </si>
  <si>
    <t>Government Property NSW</t>
  </si>
  <si>
    <t>G S2</t>
  </si>
  <si>
    <t>Stats &amp; Clean.</t>
  </si>
  <si>
    <t>Volt Lane Pty Ltd</t>
  </si>
  <si>
    <t>CP1</t>
  </si>
  <si>
    <t>CP2</t>
  </si>
  <si>
    <t>ST-1</t>
  </si>
  <si>
    <t>Tenant</t>
    <phoneticPr fontId="3" type="noConversion"/>
  </si>
  <si>
    <t>Tenancy</t>
    <phoneticPr fontId="3" type="noConversion"/>
  </si>
  <si>
    <t>NLA</t>
    <phoneticPr fontId="3" type="noConversion"/>
  </si>
  <si>
    <t>Start</t>
    <phoneticPr fontId="3" type="noConversion"/>
  </si>
  <si>
    <t>End</t>
    <phoneticPr fontId="3" type="noConversion"/>
  </si>
  <si>
    <t>Passing Rent</t>
    <phoneticPr fontId="3" type="noConversion"/>
  </si>
  <si>
    <t>Lease Type</t>
    <phoneticPr fontId="3" type="noConversion"/>
  </si>
  <si>
    <t>Recovery</t>
    <phoneticPr fontId="3" type="noConversion"/>
  </si>
  <si>
    <t>Gross Rental</t>
    <phoneticPr fontId="3" type="noConversion"/>
  </si>
  <si>
    <t>Market Rental</t>
    <phoneticPr fontId="3" type="noConversion"/>
  </si>
  <si>
    <t>Next Review</t>
    <phoneticPr fontId="3" type="noConversion"/>
  </si>
  <si>
    <t>Review Type</t>
    <phoneticPr fontId="3" type="noConversion"/>
  </si>
  <si>
    <t>G, L1-L6</t>
    <phoneticPr fontId="3" type="noConversion"/>
  </si>
  <si>
    <t>Office</t>
    <phoneticPr fontId="3" type="noConversion"/>
  </si>
  <si>
    <t>Parking Lot</t>
    <phoneticPr fontId="3" type="noConversion"/>
  </si>
  <si>
    <t>WALT</t>
    <phoneticPr fontId="3" type="noConversion"/>
  </si>
  <si>
    <t>As of 2017-02-28</t>
    <phoneticPr fontId="3" type="noConversion"/>
  </si>
  <si>
    <t>Revenue</t>
    <phoneticPr fontId="3" type="noConversion"/>
  </si>
  <si>
    <t>Rent - Office</t>
    <phoneticPr fontId="3" type="noConversion"/>
  </si>
  <si>
    <t>Rent/m2</t>
    <phoneticPr fontId="3" type="noConversion"/>
  </si>
  <si>
    <t>Inc Rate</t>
    <phoneticPr fontId="3" type="noConversion"/>
  </si>
  <si>
    <t>Statutory Expenses</t>
    <phoneticPr fontId="3" type="noConversion"/>
  </si>
  <si>
    <t>Rate/m²</t>
    <phoneticPr fontId="3" type="noConversion"/>
  </si>
  <si>
    <t>Insurance Premiums</t>
    <phoneticPr fontId="3" type="noConversion"/>
  </si>
  <si>
    <t>R&amp;M Honeywell</t>
    <phoneticPr fontId="3" type="noConversion"/>
  </si>
  <si>
    <t>Contract</t>
    <phoneticPr fontId="3" type="noConversion"/>
  </si>
  <si>
    <t>(1 AUD = 820 KRW)</t>
    <phoneticPr fontId="24" type="noConversion"/>
  </si>
  <si>
    <t>구분</t>
    <phoneticPr fontId="24" type="noConversion"/>
  </si>
  <si>
    <t>현재</t>
    <phoneticPr fontId="24" type="noConversion"/>
  </si>
  <si>
    <t>ANZ</t>
    <phoneticPr fontId="24" type="noConversion"/>
  </si>
  <si>
    <t>KB국민은행(현재)</t>
    <phoneticPr fontId="24" type="noConversion"/>
  </si>
  <si>
    <t>KB국민은행(요청안)</t>
    <phoneticPr fontId="24" type="noConversion"/>
  </si>
  <si>
    <t>비고</t>
    <phoneticPr fontId="24" type="noConversion"/>
  </si>
  <si>
    <t>대출금액</t>
    <phoneticPr fontId="24" type="noConversion"/>
  </si>
  <si>
    <t>금리</t>
    <phoneticPr fontId="24" type="noConversion"/>
  </si>
  <si>
    <t>대출기간</t>
    <phoneticPr fontId="24" type="noConversion"/>
  </si>
  <si>
    <t>Establishment Fee</t>
    <phoneticPr fontId="24" type="noConversion"/>
  </si>
  <si>
    <t>이자비용(3Y)</t>
    <phoneticPr fontId="24" type="noConversion"/>
  </si>
  <si>
    <t>DD
+
service</t>
    <phoneticPr fontId="24" type="noConversion"/>
  </si>
  <si>
    <t>Service Bank Fee (3Y)</t>
    <phoneticPr fontId="24" type="noConversion"/>
  </si>
  <si>
    <t>60,000 AUD X 3년</t>
    <phoneticPr fontId="24" type="noConversion"/>
  </si>
  <si>
    <t>60,000~80,000 AUD</t>
    <phoneticPr fontId="24" type="noConversion"/>
  </si>
  <si>
    <t>Legal (KOR)</t>
    <phoneticPr fontId="24" type="noConversion"/>
  </si>
  <si>
    <t>비교를 위하여 AUD로 역산 하였음</t>
    <phoneticPr fontId="24" type="noConversion"/>
  </si>
  <si>
    <t>Tax / 사업성평가(CF,Market)</t>
    <phoneticPr fontId="24" type="noConversion"/>
  </si>
  <si>
    <t>ANZ 매몰비용</t>
    <phoneticPr fontId="24" type="noConversion"/>
  </si>
  <si>
    <t>소계</t>
    <phoneticPr fontId="24" type="noConversion"/>
  </si>
  <si>
    <t>소계(Mil)</t>
    <phoneticPr fontId="24" type="noConversion"/>
  </si>
  <si>
    <t>총 비용(이자비용+DD+Service)</t>
    <phoneticPr fontId="24" type="noConversion"/>
  </si>
  <si>
    <t>All in Cost</t>
    <phoneticPr fontId="24" type="noConversion"/>
  </si>
  <si>
    <t>Senior Loan</t>
    <phoneticPr fontId="3" type="noConversion"/>
  </si>
  <si>
    <t>Legal (AUS)</t>
  </si>
  <si>
    <t>감정평가(AUS)</t>
  </si>
  <si>
    <t>물리실사(AUS)</t>
  </si>
  <si>
    <t>AUD($)</t>
  </si>
  <si>
    <t>AUD($)</t>
    <phoneticPr fontId="3" type="noConversion"/>
  </si>
  <si>
    <t>Commonwealth of AUStralia</t>
  </si>
  <si>
    <t>Tax / 사업성평가(CF,Market)</t>
  </si>
  <si>
    <t>-</t>
    <phoneticPr fontId="3" type="noConversion"/>
  </si>
  <si>
    <t>-</t>
    <phoneticPr fontId="24" type="noConversion"/>
  </si>
  <si>
    <t>-</t>
    <phoneticPr fontId="24" type="noConversion"/>
  </si>
  <si>
    <t>ANZ 매몰비용</t>
  </si>
  <si>
    <t>Total</t>
    <phoneticPr fontId="24" type="noConversion"/>
  </si>
  <si>
    <t>(이자소득)</t>
    <phoneticPr fontId="3" type="noConversion"/>
  </si>
  <si>
    <t>(Sponsor)</t>
    <phoneticPr fontId="3" type="noConversion"/>
  </si>
  <si>
    <t>(3000억 초과)</t>
    <phoneticPr fontId="3" type="noConversion"/>
  </si>
  <si>
    <t>대출금액</t>
    <phoneticPr fontId="3" type="noConversion"/>
  </si>
  <si>
    <t>대출부대비용(차입자 비용)</t>
    <phoneticPr fontId="3" type="noConversion"/>
  </si>
  <si>
    <t>Effective Rental Income</t>
  </si>
  <si>
    <t>대출부대비용</t>
    <phoneticPr fontId="3" type="noConversion"/>
  </si>
  <si>
    <t>대출자 현금흐름</t>
    <phoneticPr fontId="24" type="noConversion"/>
  </si>
  <si>
    <t>이자수입 (AUD)</t>
    <phoneticPr fontId="3" type="noConversion"/>
  </si>
  <si>
    <t>현지원천징수 (AUD)</t>
    <phoneticPr fontId="3" type="noConversion"/>
  </si>
  <si>
    <t>원천징수세율</t>
    <phoneticPr fontId="3" type="noConversion"/>
  </si>
  <si>
    <t>대출실행</t>
    <phoneticPr fontId="24" type="noConversion"/>
  </si>
  <si>
    <t>대출회수</t>
    <phoneticPr fontId="24" type="noConversion"/>
  </si>
  <si>
    <t>외국납부세액공제</t>
    <phoneticPr fontId="3" type="noConversion"/>
  </si>
  <si>
    <t>외국납부세액공제</t>
    <phoneticPr fontId="3" type="noConversion"/>
  </si>
  <si>
    <t>법인소득금액이 본 건 이자수입만 존재한다고 가정하고 산출</t>
    <phoneticPr fontId="3" type="noConversion"/>
  </si>
  <si>
    <t>외국납부세액</t>
    <phoneticPr fontId="3" type="noConversion"/>
  </si>
  <si>
    <t>A: 외국납부세액</t>
    <phoneticPr fontId="3" type="noConversion"/>
  </si>
  <si>
    <t>국내세율</t>
    <phoneticPr fontId="3" type="noConversion"/>
  </si>
  <si>
    <t>B: 한도: 총소득 × 국내세율 x (국외원천소득 / 총소득) =&gt; 국내세율 x 국외원천소득</t>
    <phoneticPr fontId="3" type="noConversion"/>
  </si>
  <si>
    <t>현지이자수입 (AxB)</t>
    <phoneticPr fontId="24" type="noConversion"/>
  </si>
  <si>
    <t>환산환율 (A)</t>
    <phoneticPr fontId="3" type="noConversion"/>
  </si>
  <si>
    <t>현지원천징수 후 이자수입 (AUD) (B)</t>
    <phoneticPr fontId="3" type="noConversion"/>
  </si>
  <si>
    <t>공제한도</t>
    <phoneticPr fontId="3" type="noConversion"/>
  </si>
  <si>
    <t>기초</t>
    <phoneticPr fontId="3" type="noConversion"/>
  </si>
  <si>
    <t>기말(미수이자)</t>
    <phoneticPr fontId="24" type="noConversion"/>
  </si>
  <si>
    <t>감소(수취)</t>
    <phoneticPr fontId="3" type="noConversion"/>
  </si>
  <si>
    <t>지급주기</t>
    <phoneticPr fontId="3" type="noConversion"/>
  </si>
  <si>
    <t>증가(발생)</t>
    <phoneticPr fontId="3" type="noConversion"/>
  </si>
  <si>
    <t>이자비용</t>
    <phoneticPr fontId="24" type="noConversion"/>
  </si>
  <si>
    <t>Service Bank Fee</t>
    <phoneticPr fontId="3" type="noConversion"/>
  </si>
  <si>
    <t>/year</t>
    <phoneticPr fontId="3" type="noConversion"/>
  </si>
  <si>
    <t>본대출이자기산 시작일</t>
    <phoneticPr fontId="24" type="noConversion"/>
  </si>
  <si>
    <t>대출 운영비용</t>
    <phoneticPr fontId="24" type="noConversion"/>
  </si>
  <si>
    <t>AUS 현지 (차입자 부담)</t>
    <phoneticPr fontId="3" type="noConversion"/>
  </si>
  <si>
    <t>Act/365</t>
    <phoneticPr fontId="24" type="noConversion"/>
  </si>
  <si>
    <t>현지 결산일</t>
    <phoneticPr fontId="3" type="noConversion"/>
  </si>
  <si>
    <t>현지 이자기산일</t>
    <phoneticPr fontId="3" type="noConversion"/>
  </si>
  <si>
    <t>국내 결산일</t>
    <phoneticPr fontId="24" type="noConversion"/>
  </si>
  <si>
    <t>2. 차입자 현금흐름 (AUD)</t>
    <phoneticPr fontId="24" type="noConversion"/>
  </si>
  <si>
    <t>3. 대출자 현금흐름 (KRW)</t>
    <phoneticPr fontId="24" type="noConversion"/>
  </si>
  <si>
    <t>($=AUD, \=KRW)</t>
    <phoneticPr fontId="3" type="noConversion"/>
  </si>
  <si>
    <t>최저</t>
    <phoneticPr fontId="3" type="noConversion"/>
  </si>
  <si>
    <t>Interest</t>
    <phoneticPr fontId="24" type="noConversion"/>
  </si>
  <si>
    <t>Cash Flow After Debt Service</t>
    <phoneticPr fontId="3" type="noConversion"/>
  </si>
  <si>
    <t>Interest Expense (Senior Loan)</t>
    <phoneticPr fontId="24" type="noConversion"/>
  </si>
  <si>
    <t>1. 담보자산 운영실적 추정 (AUD)</t>
    <phoneticPr fontId="24" type="noConversion"/>
  </si>
  <si>
    <t>Senior Loan</t>
    <phoneticPr fontId="3" type="noConversion"/>
  </si>
  <si>
    <t>1.1 Debt Yield &amp; DSCR (AUD)</t>
    <phoneticPr fontId="24" type="noConversion"/>
  </si>
  <si>
    <t>2. 차입자 현금흐름 (AUD)</t>
    <phoneticPr fontId="3" type="noConversion"/>
  </si>
  <si>
    <t>차입자 현금흐름</t>
    <phoneticPr fontId="24" type="noConversion"/>
  </si>
  <si>
    <t>IRR</t>
    <phoneticPr fontId="24" type="noConversion"/>
  </si>
  <si>
    <t>CoC Yield</t>
    <phoneticPr fontId="24" type="noConversion"/>
  </si>
  <si>
    <t>대출자 현금흐름</t>
    <phoneticPr fontId="24" type="noConversion"/>
  </si>
  <si>
    <t>금융비용</t>
    <phoneticPr fontId="3" type="noConversion"/>
  </si>
  <si>
    <t>이자수입</t>
    <phoneticPr fontId="3" type="noConversion"/>
  </si>
  <si>
    <t>차입자</t>
    <phoneticPr fontId="3" type="noConversion"/>
  </si>
  <si>
    <t>대출자</t>
    <phoneticPr fontId="3" type="noConversion"/>
  </si>
  <si>
    <t>CoC Yield</t>
    <phoneticPr fontId="24" type="noConversion"/>
  </si>
  <si>
    <t>합계</t>
    <phoneticPr fontId="3" type="noConversion"/>
  </si>
  <si>
    <t>현지 대출원금</t>
    <phoneticPr fontId="24" type="noConversion"/>
  </si>
  <si>
    <t>국내 대출원금</t>
    <phoneticPr fontId="24" type="noConversion"/>
  </si>
  <si>
    <t>대출실행</t>
    <phoneticPr fontId="24" type="noConversion"/>
  </si>
  <si>
    <t>결산기간 기준 현금흐름</t>
    <phoneticPr fontId="24" type="noConversion"/>
  </si>
  <si>
    <t>국내 이자 = 현지 이자*(1-원징세율)*환율</t>
    <phoneticPr fontId="24" type="noConversion"/>
  </si>
  <si>
    <t>차입자 현금유입 순액</t>
    <phoneticPr fontId="24" type="noConversion"/>
  </si>
  <si>
    <t>All-in Cost</t>
    <phoneticPr fontId="3" type="noConversion"/>
  </si>
  <si>
    <t>최초 대출부대비용</t>
    <phoneticPr fontId="3" type="noConversion"/>
  </si>
  <si>
    <t>기중 대출부대비용</t>
    <phoneticPr fontId="3" type="noConversion"/>
  </si>
  <si>
    <t>대출금리</t>
    <phoneticPr fontId="3" type="noConversion"/>
  </si>
  <si>
    <t>3. 차입자 All-in Cost 구성</t>
    <phoneticPr fontId="3" type="noConversion"/>
  </si>
  <si>
    <t>대출자 이자수입</t>
    <phoneticPr fontId="3" type="noConversion"/>
  </si>
  <si>
    <t>현지 원천징수세율</t>
    <phoneticPr fontId="3" type="noConversion"/>
  </si>
  <si>
    <t>국내 법인세율</t>
    <phoneticPr fontId="3" type="noConversion"/>
  </si>
  <si>
    <t>환율 (AUD)</t>
    <phoneticPr fontId="24" type="noConversion"/>
  </si>
  <si>
    <t xml:space="preserve">520-524 Smollett Street, Albury, NSW </t>
    <phoneticPr fontId="24" type="noConversion"/>
  </si>
  <si>
    <t xml:space="preserve">Office </t>
    <phoneticPr fontId="24" type="noConversion"/>
  </si>
  <si>
    <t>주소</t>
  </si>
  <si>
    <t>주소</t>
    <phoneticPr fontId="3" type="noConversion"/>
  </si>
  <si>
    <t>520 Smollett St, Albury NSW 2640</t>
  </si>
  <si>
    <t>위치</t>
  </si>
  <si>
    <t>완공일</t>
  </si>
  <si>
    <t>층 수</t>
  </si>
  <si>
    <t>임대면적</t>
  </si>
  <si>
    <t>임차인</t>
  </si>
  <si>
    <t>임대료</t>
  </si>
  <si>
    <t>Occupancy</t>
  </si>
  <si>
    <t>Environmental</t>
  </si>
  <si>
    <t>Seller</t>
  </si>
  <si>
    <t>현지자산관리회사</t>
  </si>
  <si>
    <t>구 분</t>
  </si>
  <si>
    <t>내 용</t>
  </si>
  <si>
    <t>Asset Type</t>
  </si>
  <si>
    <t>.Grade A Office</t>
  </si>
  <si>
    <t>.520 Smollett St, Albury NSW 2640</t>
  </si>
  <si>
    <t>.Albury CBD의 중심지역에 위치</t>
  </si>
  <si>
    <t>.2012년 말</t>
  </si>
  <si>
    <t>.7층</t>
  </si>
  <si>
    <t>.Office: 10,349sqm (3,131평, 96%)</t>
  </si>
  <si>
    <t>.Retail: 457sqm (138평, 4%)</t>
  </si>
  <si>
    <t>.Total: 10,806sqm (3,269평, 100%)</t>
  </si>
  <si>
    <t>.호주 국세청(Australian Taxation Office)</t>
  </si>
  <si>
    <t>.신용등급: AAA</t>
  </si>
  <si>
    <t>.Office 면적의 100% 임대</t>
  </si>
  <si>
    <t>.WALE 12년의 장기 임차 (5년씩 2회 연장옵션)</t>
  </si>
  <si>
    <t>.연간 AUD 4.95mil. (2016년 기준)</t>
  </si>
  <si>
    <t>.연간 3.5% 임대료 상승 적용</t>
  </si>
  <si>
    <t>.4.5 Star Base Building NABERS Energy rating</t>
  </si>
  <si>
    <t>.CorVal</t>
  </si>
  <si>
    <t>.Challenger Investment Partner</t>
  </si>
  <si>
    <t>완공일</t>
    <phoneticPr fontId="3" type="noConversion"/>
  </si>
  <si>
    <t>2012년</t>
    <phoneticPr fontId="3" type="noConversion"/>
  </si>
  <si>
    <t>규모</t>
    <phoneticPr fontId="3" type="noConversion"/>
  </si>
  <si>
    <t>7층</t>
    <phoneticPr fontId="3" type="noConversion"/>
  </si>
  <si>
    <t>임대면적</t>
    <phoneticPr fontId="3" type="noConversion"/>
  </si>
  <si>
    <t>.Office: 10,349sqm (3,131평, 96%)
.Retail: 457sqm (138평, 4%)
.Total: 10,806sqm (3,269평, 100%)</t>
    <phoneticPr fontId="3" type="noConversion"/>
  </si>
  <si>
    <t>임차인</t>
    <phoneticPr fontId="3" type="noConversion"/>
  </si>
  <si>
    <t>.호주 국세청(Australian Taxation Office)
.Office 면적의 100% 임대
만기 2027년, 이후 5년 2회 연장옵션</t>
    <phoneticPr fontId="3" type="noConversion"/>
  </si>
  <si>
    <t>임대율</t>
    <phoneticPr fontId="3" type="noConversion"/>
  </si>
  <si>
    <t>구분</t>
    <phoneticPr fontId="3" type="noConversion"/>
  </si>
  <si>
    <t>내용</t>
    <phoneticPr fontId="3" type="noConversion"/>
  </si>
  <si>
    <t>차입자</t>
    <phoneticPr fontId="3" type="noConversion"/>
  </si>
  <si>
    <t>대출자</t>
    <phoneticPr fontId="3" type="noConversion"/>
  </si>
  <si>
    <t>The Trust Company (Australia) Limited as trustee of the FG AUS GREEN
Private Real Estate Trust 2</t>
    <phoneticPr fontId="3" type="noConversion"/>
  </si>
  <si>
    <t>KB Kookmin Bank</t>
    <phoneticPr fontId="3" type="noConversion"/>
  </si>
  <si>
    <t>대출금액</t>
    <phoneticPr fontId="3" type="noConversion"/>
  </si>
  <si>
    <t>자금용도</t>
    <phoneticPr fontId="3" type="noConversion"/>
  </si>
  <si>
    <t>기 선순위대출 상환 등</t>
    <phoneticPr fontId="3" type="noConversion"/>
  </si>
  <si>
    <t>이자율</t>
    <phoneticPr fontId="3" type="noConversion"/>
  </si>
  <si>
    <t>4% 고정 (Act/360)</t>
    <phoneticPr fontId="3" type="noConversion"/>
  </si>
  <si>
    <t>대출기간</t>
    <phoneticPr fontId="3" type="noConversion"/>
  </si>
  <si>
    <t>36개월</t>
    <phoneticPr fontId="3" type="noConversion"/>
  </si>
  <si>
    <t>상환방법</t>
    <phoneticPr fontId="3" type="noConversion"/>
  </si>
  <si>
    <t>만기일시상환</t>
    <phoneticPr fontId="3" type="noConversion"/>
  </si>
  <si>
    <t>부대비용</t>
    <phoneticPr fontId="3" type="noConversion"/>
  </si>
  <si>
    <t>전액 차입자 부담</t>
    <phoneticPr fontId="3" type="noConversion"/>
  </si>
  <si>
    <t>•서비스 장애가 발생하고 3개월 내에 개선될 수 없거나 3개월 내에 치유되지 않은 경우</t>
  </si>
  <si>
    <t>•유해 물질/질병이 발생하여 3개월 내에 안전한 상태로 복구하지 못하는 경우</t>
  </si>
  <si>
    <t>•임대인이 채무불이행하고, 30일 내에 치유하지 않을 경우</t>
  </si>
  <si>
    <t>임차인의 중도해지 사유</t>
  </si>
  <si>
    <t>•임차인은 임차인이 사용하는 electricity, gas, water 및 telephone 부분에 대한 지출금을 부담하여야함</t>
  </si>
  <si>
    <t>•임대인은 대상 부동산에 관한 일체의 요금, 세금, 대상 부동산에 대한 기타 지출금을 부담하여야함(*)</t>
  </si>
  <si>
    <t>운용비용 분담금</t>
  </si>
  <si>
    <t>•연장옵션 기간: 3.5%의 고정 인상률로 인상됨</t>
  </si>
  <si>
    <t>•매년 3.5%의 고정 인상률로 인상됨</t>
  </si>
  <si>
    <t>임대료 상승률</t>
  </si>
  <si>
    <t>•연 임대료 $5,153,112 ($482/sqm) / 오피스 평당 월 임대료 114,000원</t>
  </si>
  <si>
    <t>(2015년 10월 기준)</t>
  </si>
  <si>
    <t>기본임대료</t>
  </si>
  <si>
    <t>•10,349sqm (3,131평)</t>
  </si>
  <si>
    <t>임대면적 (NLA)</t>
  </si>
  <si>
    <t>•연장옵션 행사 시기: 계약 기간 만료일로부터 3개월 전</t>
  </si>
  <si>
    <t>•5년씩 2회 연장옵션</t>
  </si>
  <si>
    <t>연장옵션</t>
  </si>
  <si>
    <t>•15년 (2012.10.01~2027.09.30)</t>
  </si>
  <si>
    <t>임대기간</t>
  </si>
  <si>
    <t>•Commonwealth of Australia (Australian Taxation Office)</t>
  </si>
  <si>
    <t>임차인</t>
    <phoneticPr fontId="3" type="noConversion"/>
  </si>
  <si>
    <t>임대기간</t>
    <phoneticPr fontId="3" type="noConversion"/>
  </si>
  <si>
    <t>연장옵션</t>
    <phoneticPr fontId="3" type="noConversion"/>
  </si>
  <si>
    <t>호주 국세청</t>
    <phoneticPr fontId="3" type="noConversion"/>
  </si>
  <si>
    <t>15년 (2012.10.01~2027.09.30)</t>
    <phoneticPr fontId="3" type="noConversion"/>
  </si>
  <si>
    <t>5년씩 2회 연장옵션</t>
    <phoneticPr fontId="3" type="noConversion"/>
  </si>
  <si>
    <t>임대료</t>
    <phoneticPr fontId="3" type="noConversion"/>
  </si>
  <si>
    <t>상승률</t>
    <phoneticPr fontId="3" type="noConversion"/>
  </si>
  <si>
    <t>연 3.5% 고정 인상률</t>
    <phoneticPr fontId="3" type="noConversion"/>
  </si>
  <si>
    <t>비용부담</t>
    <phoneticPr fontId="3" type="noConversion"/>
  </si>
  <si>
    <t>임대인은 대상 부동산에 관한 일체의 요금, 세금, 대상 부동산에 대한 기타 지출금을 부담
임차인은 임차인이 사용하는 electricity, gas, water 및 telephone 부분에 대한 지출금을 부담</t>
    <phoneticPr fontId="3" type="noConversion"/>
  </si>
  <si>
    <t>법률실사 (KOR)</t>
    <phoneticPr fontId="3" type="noConversion"/>
  </si>
  <si>
    <t>-</t>
  </si>
  <si>
    <t>차입자 현금유입 순액</t>
  </si>
  <si>
    <t>대출부대비용</t>
    <phoneticPr fontId="3" type="noConversion"/>
  </si>
  <si>
    <t>감정평가(AUS)</t>
    <phoneticPr fontId="3" type="noConversion"/>
  </si>
  <si>
    <t>물리실사(AUS)</t>
    <phoneticPr fontId="3" type="noConversion"/>
  </si>
  <si>
    <t>법률자문(AUS)</t>
    <phoneticPr fontId="3" type="noConversion"/>
  </si>
  <si>
    <t>법률자문(KOR)</t>
    <phoneticPr fontId="3" type="noConversion"/>
  </si>
  <si>
    <t>세무/재무자문(KOR)</t>
    <phoneticPr fontId="3" type="noConversion"/>
  </si>
  <si>
    <t>이자수익</t>
    <phoneticPr fontId="3" type="noConversion"/>
  </si>
  <si>
    <t>비고</t>
    <phoneticPr fontId="3" type="noConversion"/>
  </si>
  <si>
    <t>Service Bank Fee</t>
  </si>
  <si>
    <t>차입일</t>
    <phoneticPr fontId="3" type="noConversion"/>
  </si>
  <si>
    <t>합계</t>
    <phoneticPr fontId="3" type="noConversion"/>
  </si>
  <si>
    <t>차입자</t>
    <phoneticPr fontId="3" type="noConversion"/>
  </si>
  <si>
    <t>이자지급주기</t>
    <phoneticPr fontId="24" type="noConversion"/>
  </si>
  <si>
    <t>28년</t>
  </si>
  <si>
    <t>O</t>
  </si>
  <si>
    <t>Australian Taxation Office</t>
  </si>
  <si>
    <t>Chermside</t>
  </si>
  <si>
    <t>18 Banfield Street, Chermside</t>
  </si>
  <si>
    <t>Moonee Ponds</t>
  </si>
  <si>
    <t>6-22 Gladstone Street</t>
  </si>
  <si>
    <t>30년</t>
  </si>
  <si>
    <t>Penrith</t>
  </si>
  <si>
    <t>121 Henry Street</t>
  </si>
  <si>
    <t>Parramatta</t>
  </si>
  <si>
    <t>279 King Street</t>
  </si>
  <si>
    <t>20년</t>
  </si>
  <si>
    <t>Commonwealth of Australia</t>
  </si>
  <si>
    <t>Perth</t>
  </si>
  <si>
    <t>836 Wellington Street</t>
  </si>
  <si>
    <t>Dept of Foreign Affairs &amp; Trading</t>
  </si>
  <si>
    <t>Canberra</t>
  </si>
  <si>
    <t>10 John McEwen Cres</t>
  </si>
  <si>
    <t>26년</t>
  </si>
  <si>
    <t>Department of Defence</t>
  </si>
  <si>
    <t>Melbourne</t>
  </si>
  <si>
    <t>661 Bourke Street</t>
  </si>
  <si>
    <t>35년</t>
  </si>
  <si>
    <t>2-12 Macquarie St</t>
  </si>
  <si>
    <t>Customs</t>
  </si>
  <si>
    <t>1/15 Constitution Ave</t>
  </si>
  <si>
    <t>Dept of Infrastructure &amp; others</t>
  </si>
  <si>
    <t>111 Alinga Street</t>
  </si>
  <si>
    <t>40년</t>
  </si>
  <si>
    <t>62 Northbourne Avenue</t>
  </si>
  <si>
    <t>임차기간1)</t>
  </si>
  <si>
    <t>단독임차여부</t>
  </si>
  <si>
    <t>부 서</t>
  </si>
  <si>
    <t>지 역</t>
  </si>
  <si>
    <t xml:space="preserve">주 소 </t>
  </si>
  <si>
    <t>임대료 수준(AUD/㎡)</t>
    <phoneticPr fontId="24" type="noConversion"/>
  </si>
  <si>
    <t>Fit out 투자비(AUD/㎡)</t>
    <phoneticPr fontId="24" type="noConversion"/>
  </si>
  <si>
    <t>현빌딩 임차기간</t>
    <phoneticPr fontId="24" type="noConversion"/>
  </si>
  <si>
    <t>현빌딩 임차시점</t>
    <phoneticPr fontId="24" type="noConversion"/>
  </si>
  <si>
    <t>해당지역 임차시점</t>
    <phoneticPr fontId="24" type="noConversion"/>
  </si>
  <si>
    <t>-</t>
    <phoneticPr fontId="24" type="noConversion"/>
  </si>
  <si>
    <t>임차면적</t>
    <phoneticPr fontId="24" type="noConversion"/>
  </si>
  <si>
    <t>Townsville(QLD)</t>
    <phoneticPr fontId="24" type="noConversion"/>
  </si>
  <si>
    <t>Chermside(QLD)</t>
    <phoneticPr fontId="24" type="noConversion"/>
  </si>
  <si>
    <t>Mount Gravatt(QLD)</t>
    <phoneticPr fontId="24" type="noConversion"/>
  </si>
  <si>
    <t>Geelong(VIC)</t>
    <phoneticPr fontId="24" type="noConversion"/>
  </si>
  <si>
    <t>Dandenong(VIC)</t>
    <phoneticPr fontId="24" type="noConversion"/>
  </si>
  <si>
    <t>Box Hill(VIC)</t>
    <phoneticPr fontId="24" type="noConversion"/>
  </si>
  <si>
    <t>Moonee Ponds(VIC)</t>
    <phoneticPr fontId="24" type="noConversion"/>
  </si>
  <si>
    <t>구분</t>
    <phoneticPr fontId="24" type="noConversion"/>
  </si>
  <si>
    <t>2016년 12월 추가로 10년 연장함</t>
  </si>
  <si>
    <t>신축 건물에  15년 짜리 신규 임대차 계약을 2013년에 체결함</t>
  </si>
  <si>
    <t>최근 추가로 9년 연장하여 임대차 계약 기간은 2025년 3월 까지임</t>
  </si>
  <si>
    <t>최근 추가로 6년 연장하여 임대차 계약 기간은 2023년 6월 까지임</t>
  </si>
  <si>
    <t>신축 건물에 15년 짜리 신규 임대차 계약(2027년 까지)을 체결함</t>
  </si>
  <si>
    <t>임대료 수준(AUD/㎡)</t>
    <phoneticPr fontId="24" type="noConversion"/>
  </si>
  <si>
    <t>-</t>
    <phoneticPr fontId="24" type="noConversion"/>
  </si>
  <si>
    <t>Fit out 투자비(AUD/㎡)</t>
    <phoneticPr fontId="24" type="noConversion"/>
  </si>
  <si>
    <t>현빌딩 임차기간</t>
    <phoneticPr fontId="24" type="noConversion"/>
  </si>
  <si>
    <t>현빌딩 임차시점</t>
    <phoneticPr fontId="24" type="noConversion"/>
  </si>
  <si>
    <t>해당지역 임차시점</t>
    <phoneticPr fontId="24" type="noConversion"/>
  </si>
  <si>
    <t>10,000㎡</t>
  </si>
  <si>
    <t>5,682㎡</t>
  </si>
  <si>
    <t>6,687㎡</t>
  </si>
  <si>
    <t>25,000㎡</t>
  </si>
  <si>
    <t>7,150㎡</t>
  </si>
  <si>
    <t>10,400㎡</t>
  </si>
  <si>
    <t>사진</t>
    <phoneticPr fontId="24" type="noConversion"/>
  </si>
  <si>
    <t>Wollongong</t>
  </si>
  <si>
    <t>Newcastle</t>
  </si>
  <si>
    <t>Gosford</t>
    <phoneticPr fontId="24" type="noConversion"/>
  </si>
  <si>
    <t>Albury</t>
  </si>
  <si>
    <t>3. 대출자 현금흐름 (AUD)</t>
    <phoneticPr fontId="24" type="noConversion"/>
  </si>
  <si>
    <t>3. 대출자 현금흐름 (AUD)</t>
    <phoneticPr fontId="24" type="noConversion"/>
  </si>
  <si>
    <t>현지원천징수 후 이자수입</t>
    <phoneticPr fontId="3" type="noConversion"/>
  </si>
  <si>
    <t>현지원천징수</t>
    <phoneticPr fontId="3" type="noConversion"/>
  </si>
  <si>
    <t>원천징수 후 이자수입</t>
    <phoneticPr fontId="3" type="noConversion"/>
  </si>
  <si>
    <t>현지원천징수</t>
    <phoneticPr fontId="3" type="noConversion"/>
  </si>
  <si>
    <t>현지이자수입</t>
    <phoneticPr fontId="3" type="noConversion"/>
  </si>
  <si>
    <t>대출실행/상환</t>
    <phoneticPr fontId="3" type="noConversion"/>
  </si>
  <si>
    <t>대출일</t>
    <phoneticPr fontId="3" type="noConversion"/>
  </si>
  <si>
    <t>대출일</t>
    <phoneticPr fontId="24" type="noConversion"/>
  </si>
  <si>
    <t>차입일</t>
    <phoneticPr fontId="24" type="noConversion"/>
  </si>
  <si>
    <t>현금흐름</t>
    <phoneticPr fontId="3" type="noConversion"/>
  </si>
  <si>
    <t>Office</t>
    <phoneticPr fontId="3" type="noConversion"/>
  </si>
  <si>
    <t>Retail</t>
    <phoneticPr fontId="3" type="noConversion"/>
  </si>
  <si>
    <t>Storage</t>
    <phoneticPr fontId="3" type="noConversion"/>
  </si>
  <si>
    <t>유형</t>
    <phoneticPr fontId="3" type="noConversion"/>
  </si>
  <si>
    <t>임차인</t>
    <phoneticPr fontId="3" type="noConversion"/>
  </si>
  <si>
    <t>시작</t>
    <phoneticPr fontId="3" type="noConversion"/>
  </si>
  <si>
    <t>종료</t>
    <phoneticPr fontId="3" type="noConversion"/>
  </si>
  <si>
    <t>상승률</t>
    <phoneticPr fontId="3" type="noConversion"/>
  </si>
  <si>
    <t>Commonwealth of Australia (ATO)</t>
    <phoneticPr fontId="3" type="noConversion"/>
  </si>
  <si>
    <t>Storage</t>
    <phoneticPr fontId="3" type="noConversion"/>
  </si>
  <si>
    <t>소계</t>
    <phoneticPr fontId="3" type="noConversion"/>
  </si>
  <si>
    <t>CPI 연동</t>
    <phoneticPr fontId="3" type="noConversion"/>
  </si>
  <si>
    <t>주차장</t>
    <phoneticPr fontId="3" type="noConversion"/>
  </si>
  <si>
    <t>단위
임대료</t>
    <phoneticPr fontId="3" type="noConversion"/>
  </si>
  <si>
    <t>총 임대료</t>
    <phoneticPr fontId="3" type="noConversion"/>
  </si>
  <si>
    <t>임대면적
(㎡)</t>
    <phoneticPr fontId="3" type="noConversion"/>
  </si>
  <si>
    <t>합계</t>
    <phoneticPr fontId="3" type="noConversion"/>
  </si>
  <si>
    <t>비고</t>
    <phoneticPr fontId="3" type="noConversion"/>
  </si>
  <si>
    <t>구분</t>
    <phoneticPr fontId="3" type="noConversion"/>
  </si>
  <si>
    <t>1년차</t>
    <phoneticPr fontId="3" type="noConversion"/>
  </si>
  <si>
    <t>2년차</t>
    <phoneticPr fontId="3" type="noConversion"/>
  </si>
  <si>
    <t>3년차</t>
    <phoneticPr fontId="3" type="noConversion"/>
  </si>
  <si>
    <t>연 5% 상승</t>
    <phoneticPr fontId="3" type="noConversion"/>
  </si>
  <si>
    <t>연 10% 상승</t>
    <phoneticPr fontId="3" type="noConversion"/>
  </si>
  <si>
    <t>연 3% 상승</t>
    <phoneticPr fontId="3" type="noConversion"/>
  </si>
  <si>
    <t>합계</t>
    <phoneticPr fontId="3" type="noConversion"/>
  </si>
  <si>
    <t>Statutory Expenses</t>
    <phoneticPr fontId="3" type="noConversion"/>
  </si>
  <si>
    <t>Land Tax</t>
    <phoneticPr fontId="3" type="noConversion"/>
  </si>
  <si>
    <t>Insurance Premiums</t>
    <phoneticPr fontId="3" type="noConversion"/>
  </si>
  <si>
    <t>R&amp;M Honeywell Contract</t>
    <phoneticPr fontId="3" type="noConversion"/>
  </si>
  <si>
    <t>Admin / Management Fee</t>
    <phoneticPr fontId="3" type="noConversion"/>
  </si>
  <si>
    <t>Misc Consultants</t>
    <phoneticPr fontId="3" type="noConversion"/>
  </si>
  <si>
    <t>Letting Expense</t>
    <phoneticPr fontId="3" type="noConversion"/>
  </si>
  <si>
    <t>- Municipal / Council Rates</t>
    <phoneticPr fontId="3" type="noConversion"/>
  </si>
  <si>
    <t>- Water Rates</t>
    <phoneticPr fontId="3" type="noConversion"/>
  </si>
  <si>
    <t>- Land Tax</t>
    <phoneticPr fontId="3" type="noConversion"/>
  </si>
  <si>
    <t>- Water Usage</t>
    <phoneticPr fontId="3" type="noConversion"/>
  </si>
  <si>
    <t>Base Rent</t>
    <phoneticPr fontId="3" type="noConversion"/>
  </si>
  <si>
    <t>Recoveries</t>
    <phoneticPr fontId="3" type="noConversion"/>
  </si>
  <si>
    <t>영업수익</t>
    <phoneticPr fontId="3" type="noConversion"/>
  </si>
  <si>
    <t>영업비용</t>
    <phoneticPr fontId="3" type="noConversion"/>
  </si>
  <si>
    <t>영업이익(NOI)</t>
    <phoneticPr fontId="3" type="noConversion"/>
  </si>
  <si>
    <t>이자비용</t>
    <phoneticPr fontId="3" type="noConversion"/>
  </si>
  <si>
    <t>이자비용 후 현금흐름</t>
    <phoneticPr fontId="3" type="noConversion"/>
  </si>
  <si>
    <t>- Office</t>
    <phoneticPr fontId="3" type="noConversion"/>
  </si>
  <si>
    <t>- Retail</t>
    <phoneticPr fontId="3" type="noConversion"/>
  </si>
  <si>
    <t>- Storage</t>
    <phoneticPr fontId="3" type="noConversion"/>
  </si>
  <si>
    <t>- Car Park</t>
    <phoneticPr fontId="3" type="noConversion"/>
  </si>
  <si>
    <t>- Free Rent</t>
    <phoneticPr fontId="3" type="noConversion"/>
  </si>
  <si>
    <t>영업이익(NOI)</t>
    <phoneticPr fontId="3" type="noConversion"/>
  </si>
  <si>
    <t>평균</t>
    <phoneticPr fontId="3" type="noConversion"/>
  </si>
  <si>
    <t>최저</t>
    <phoneticPr fontId="3" type="noConversion"/>
  </si>
  <si>
    <t>DSCR(3년 평균)</t>
    <phoneticPr fontId="3" type="noConversion"/>
  </si>
  <si>
    <t>Debt Yield(3년 평균)</t>
    <phoneticPr fontId="3" type="noConversion"/>
  </si>
  <si>
    <t>(m3property, 2018)</t>
    <phoneticPr fontId="3" type="noConversion"/>
  </si>
  <si>
    <t>Parking</t>
  </si>
  <si>
    <t>ATO</t>
  </si>
  <si>
    <t>IOBY</t>
  </si>
  <si>
    <t>Storage</t>
  </si>
  <si>
    <t>Service NSW</t>
    <phoneticPr fontId="3" type="noConversion"/>
  </si>
  <si>
    <t>Pt G</t>
    <phoneticPr fontId="3" type="noConversion"/>
  </si>
  <si>
    <t>Pt G</t>
    <phoneticPr fontId="3" type="noConversion"/>
  </si>
  <si>
    <t>S&amp;C</t>
    <phoneticPr fontId="3" type="noConversion"/>
  </si>
  <si>
    <t>Monica Heather Whitehead</t>
    <phoneticPr fontId="3" type="noConversion"/>
  </si>
  <si>
    <t>Volt Lane Pty Ltd</t>
    <phoneticPr fontId="3" type="noConversion"/>
  </si>
  <si>
    <t>as at 13 August 2015</t>
    <phoneticPr fontId="3" type="noConversion"/>
  </si>
  <si>
    <t>Office</t>
    <phoneticPr fontId="3" type="noConversion"/>
  </si>
  <si>
    <t>as of 2018.10</t>
    <phoneticPr fontId="3" type="noConversion"/>
  </si>
  <si>
    <t>CPI</t>
    <phoneticPr fontId="3" type="noConversion"/>
  </si>
  <si>
    <t>ATO-Office</t>
    <phoneticPr fontId="3" type="noConversion"/>
  </si>
  <si>
    <t>ATO-Storage</t>
    <phoneticPr fontId="3" type="noConversion"/>
  </si>
  <si>
    <t>ATO-Parking</t>
    <phoneticPr fontId="3" type="noConversion"/>
  </si>
  <si>
    <t>Retail</t>
    <phoneticPr fontId="3" type="noConversion"/>
  </si>
  <si>
    <t>Office</t>
    <phoneticPr fontId="3" type="noConversion"/>
  </si>
  <si>
    <t>Storage</t>
    <phoneticPr fontId="3" type="noConversion"/>
  </si>
  <si>
    <t>Parking Lot</t>
    <phoneticPr fontId="3" type="noConversion"/>
  </si>
  <si>
    <t>CPI</t>
    <phoneticPr fontId="3" type="noConversion"/>
  </si>
  <si>
    <t>Retail</t>
    <phoneticPr fontId="3" type="noConversion"/>
  </si>
  <si>
    <t>Stoarge</t>
    <phoneticPr fontId="3" type="noConversion"/>
  </si>
  <si>
    <t>Parking</t>
    <phoneticPr fontId="3" type="noConversion"/>
  </si>
  <si>
    <t>Service NSW</t>
    <phoneticPr fontId="3" type="noConversion"/>
  </si>
  <si>
    <t>July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</si>
  <si>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</si>
  <si>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</si>
  <si>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</si>
  <si>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</si>
  <si>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</si>
  <si>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</si>
  <si>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</si>
  <si>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</si>
  <si>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April 2019</t>
  </si>
  <si>
    <t>May 2019</t>
  </si>
  <si>
    <t>June 2019</t>
  </si>
  <si>
    <t>July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</si>
  <si>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</si>
  <si>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</si>
  <si>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</si>
  <si>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</si>
  <si>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</si>
  <si>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</si>
  <si>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</si>
  <si>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</si>
  <si>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April 2020</t>
  </si>
  <si>
    <t>May 2020</t>
  </si>
  <si>
    <t>June 2020</t>
  </si>
  <si>
    <t>July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</si>
  <si>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</si>
  <si>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</si>
  <si>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</si>
  <si>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</si>
  <si>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</si>
  <si>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</si>
  <si>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</si>
  <si>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</si>
  <si>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April 2021</t>
  </si>
  <si>
    <t>May 2021</t>
  </si>
  <si>
    <t>June 2021</t>
  </si>
  <si>
    <t xml:space="preserve">    Water Usage</t>
  </si>
  <si>
    <t xml:space="preserve">Assumed cost of re-letting </t>
  </si>
  <si>
    <t>Less: Capital Expenditures</t>
  </si>
  <si>
    <t xml:space="preserve">  CAPEX - Lease Incentives</t>
  </si>
  <si>
    <t>Assumed cost of re-letting and incentives</t>
  </si>
  <si>
    <t xml:space="preserve">    Total Capital Expenditures</t>
  </si>
  <si>
    <t xml:space="preserve">    NOI after Capital Expenditures</t>
  </si>
  <si>
    <t>Other Capital Items</t>
  </si>
  <si>
    <t xml:space="preserve">  Explicit Capex</t>
  </si>
  <si>
    <t xml:space="preserve">Capex is assumed to be funded from operational cashflows </t>
  </si>
  <si>
    <t xml:space="preserve">    Total Capital Items</t>
  </si>
  <si>
    <t>'Property(M)'!</t>
    <phoneticPr fontId="24" type="noConversion"/>
  </si>
  <si>
    <t>Property(M)&gt;</t>
    <phoneticPr fontId="3" type="noConversion"/>
  </si>
  <si>
    <t>Property(Y)&lt;</t>
    <phoneticPr fontId="3" type="noConversion"/>
  </si>
  <si>
    <t>연 금액</t>
    <phoneticPr fontId="3" type="noConversion"/>
  </si>
  <si>
    <t>월 금액</t>
    <phoneticPr fontId="3" type="noConversion"/>
  </si>
  <si>
    <t>단위당 금액</t>
    <phoneticPr fontId="3" type="noConversion"/>
  </si>
  <si>
    <t xml:space="preserve">   - Municipal / Council Rates</t>
    <phoneticPr fontId="3" type="noConversion"/>
  </si>
  <si>
    <t xml:space="preserve">   - Water Rates</t>
    <phoneticPr fontId="3" type="noConversion"/>
  </si>
  <si>
    <t xml:space="preserve">   - Land Tax</t>
    <phoneticPr fontId="3" type="noConversion"/>
  </si>
  <si>
    <t xml:space="preserve">   - Water Usage</t>
    <phoneticPr fontId="3" type="noConversion"/>
  </si>
  <si>
    <t>Lease Incentives</t>
    <phoneticPr fontId="3" type="noConversion"/>
  </si>
  <si>
    <t>Explicit Capex</t>
    <phoneticPr fontId="3" type="noConversion"/>
  </si>
  <si>
    <t>Capex Total</t>
    <phoneticPr fontId="3" type="noConversion"/>
  </si>
  <si>
    <t>카펫 교체(1년차), 예비비 및 페인팅(3년차)으로 구성</t>
    <phoneticPr fontId="3" type="noConversion"/>
  </si>
  <si>
    <t>리테일 관련 임차인 유치비용</t>
    <phoneticPr fontId="3" type="noConversion"/>
  </si>
  <si>
    <t>Capex</t>
    <phoneticPr fontId="3" type="noConversion"/>
  </si>
  <si>
    <t>Capex 후 현금흐름</t>
    <phoneticPr fontId="3" type="noConversion"/>
  </si>
  <si>
    <t>영업수익</t>
    <phoneticPr fontId="3" type="noConversion"/>
  </si>
  <si>
    <t>영업비용</t>
    <phoneticPr fontId="3" type="noConversion"/>
  </si>
  <si>
    <t>Capex Total</t>
    <phoneticPr fontId="3" type="noConversion"/>
  </si>
  <si>
    <t>3yr forecast&gt;</t>
    <phoneticPr fontId="3" type="noConversion"/>
  </si>
  <si>
    <t>여기서부터</t>
    <phoneticPr fontId="3" type="noConversion"/>
  </si>
  <si>
    <t>여기부터 3개월은 KPMG 추정&gt;&gt;</t>
    <phoneticPr fontId="3" type="noConversion"/>
  </si>
  <si>
    <t>마지막 3개월은 KPMG 추정&gt;&gt;</t>
    <phoneticPr fontId="3" type="noConversion"/>
  </si>
  <si>
    <t>24일임, 6일치 추가 필요</t>
    <phoneticPr fontId="24" type="noConversion"/>
  </si>
  <si>
    <t>10개월</t>
    <phoneticPr fontId="24" type="noConversion"/>
  </si>
  <si>
    <t>12개월</t>
    <phoneticPr fontId="24" type="noConversion"/>
  </si>
  <si>
    <t>12개월</t>
    <phoneticPr fontId="24" type="noConversion"/>
  </si>
  <si>
    <t>Income</t>
    <phoneticPr fontId="24" type="noConversion"/>
  </si>
  <si>
    <t>Retail rent</t>
  </si>
  <si>
    <t>Expenses</t>
    <phoneticPr fontId="24" type="noConversion"/>
  </si>
  <si>
    <t>Others</t>
  </si>
  <si>
    <t>REvSC - Land Tax</t>
  </si>
  <si>
    <t>6-2122</t>
  </si>
  <si>
    <t>REvSC - Ins-Public Liabilty</t>
  </si>
  <si>
    <t>Non-Rec Out - Letting Expense</t>
  </si>
  <si>
    <t>Property NOI</t>
    <phoneticPr fontId="24" type="noConversion"/>
  </si>
  <si>
    <t>Trust Expenses</t>
  </si>
  <si>
    <t>6-5008</t>
  </si>
  <si>
    <t>Audit fees - Prior year adj</t>
  </si>
  <si>
    <t>6-5011</t>
  </si>
  <si>
    <t>Tax Advice Fee</t>
  </si>
  <si>
    <t>Cash Flow before Debt Service</t>
    <phoneticPr fontId="24" type="noConversion"/>
  </si>
  <si>
    <t>Senior Loan Interest</t>
    <phoneticPr fontId="24" type="noConversion"/>
  </si>
  <si>
    <t>6-5110</t>
  </si>
  <si>
    <t>Bank Loan interest-Westpac</t>
  </si>
  <si>
    <t>6-5115</t>
  </si>
  <si>
    <t>Westpac SWAP Interest</t>
  </si>
  <si>
    <t>DSCR</t>
    <phoneticPr fontId="24" type="noConversion"/>
  </si>
  <si>
    <t>Debit Yield</t>
    <phoneticPr fontId="24" type="noConversion"/>
  </si>
  <si>
    <t>Rent - Car Park Permanent</t>
  </si>
  <si>
    <t>Rent - Office</t>
  </si>
  <si>
    <t>Rent - Speciality</t>
  </si>
  <si>
    <t>Rent - Basement / Storage</t>
  </si>
  <si>
    <t>Free Rent - Speciality</t>
  </si>
  <si>
    <t xml:space="preserve">   - Municipal / Council Rates</t>
  </si>
  <si>
    <t xml:space="preserve">   - Water Rates</t>
  </si>
  <si>
    <t xml:space="preserve">   - Land Tax</t>
  </si>
  <si>
    <t xml:space="preserve">   - Water Usage</t>
  </si>
  <si>
    <t>Net Operating Income</t>
  </si>
  <si>
    <t>Capex Total</t>
  </si>
  <si>
    <t>Westpac senior loan principle</t>
    <phoneticPr fontId="24" type="noConversion"/>
  </si>
  <si>
    <t>Forecast 3 years.xlsx</t>
    <phoneticPr fontId="24" type="noConversion"/>
  </si>
  <si>
    <t>FG Aus Green Private Real Estate Trust 2</t>
  </si>
  <si>
    <t>Level 12</t>
  </si>
  <si>
    <t>123 Pitt Street</t>
  </si>
  <si>
    <t>Sydney NSW 2000</t>
  </si>
  <si>
    <t/>
  </si>
  <si>
    <t>Profit &amp; Loss Statement</t>
  </si>
  <si>
    <t>September 2015 through June 2016</t>
  </si>
  <si>
    <t>_xFFFF__xFFFF_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</si>
  <si>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</si>
  <si>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</si>
  <si>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</si>
  <si>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</si>
  <si>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</si>
  <si>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</si>
  <si>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</si>
  <si>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</si>
  <si>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</si>
  <si>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</si>
  <si>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Total</t>
  </si>
  <si>
    <t>4-0000</t>
  </si>
  <si>
    <t>Income</t>
  </si>
  <si>
    <t>4-1000</t>
  </si>
  <si>
    <t>Rent Income</t>
  </si>
  <si>
    <t>4-1100</t>
  </si>
  <si>
    <t>4-1101</t>
  </si>
  <si>
    <t>Office rent</t>
  </si>
  <si>
    <t>4-1102</t>
  </si>
  <si>
    <t>Office rent - Stepped rent cap</t>
  </si>
  <si>
    <t>Total Rent - Office</t>
  </si>
  <si>
    <t>4-1200</t>
  </si>
  <si>
    <t>Rent - Retail</t>
  </si>
  <si>
    <t>4-1201</t>
  </si>
  <si>
    <t>4-1400</t>
  </si>
  <si>
    <t>Rent - Special Areas</t>
  </si>
  <si>
    <t>4-1405</t>
  </si>
  <si>
    <t>Storeroom rent</t>
  </si>
  <si>
    <t>Total Rent - Special Areas</t>
  </si>
  <si>
    <t>4-2000</t>
  </si>
  <si>
    <t>Parking Income</t>
  </si>
  <si>
    <t>4-2001</t>
  </si>
  <si>
    <t>Permanant Parking Income</t>
  </si>
  <si>
    <t>Total Parking Income</t>
  </si>
  <si>
    <t>4-3000</t>
  </si>
  <si>
    <t>Monthly Outgoings Income</t>
  </si>
  <si>
    <t>4-3001</t>
  </si>
  <si>
    <t>Service Charges</t>
  </si>
  <si>
    <t>4-3015</t>
  </si>
  <si>
    <t>Annual Adjustment Outgoings</t>
  </si>
  <si>
    <t>Total Monthly Outgoings Income</t>
  </si>
  <si>
    <t>4-4000</t>
  </si>
  <si>
    <t>Direct recharges - Statutory</t>
  </si>
  <si>
    <t>4-4100</t>
  </si>
  <si>
    <t>Direct recoverable recharges</t>
  </si>
  <si>
    <t>4-4102</t>
  </si>
  <si>
    <t>Direct Rec-Air Con After Hours</t>
  </si>
  <si>
    <t>Total Direct recoverable recharges</t>
  </si>
  <si>
    <t>Total Income</t>
  </si>
  <si>
    <t>6-0000</t>
  </si>
  <si>
    <t>Expenses</t>
  </si>
  <si>
    <t>6-1000</t>
  </si>
  <si>
    <t>Directly Recoverable Recharges</t>
  </si>
  <si>
    <t>6-1154</t>
  </si>
  <si>
    <t>DRR - Air-R&amp;M</t>
  </si>
  <si>
    <t>6-2000</t>
  </si>
  <si>
    <t>Rec Exp via Service Charge</t>
  </si>
  <si>
    <t>6-2100</t>
  </si>
  <si>
    <t>REvSC - STATUTORY OUTGOINGS</t>
  </si>
  <si>
    <t>6-2101</t>
  </si>
  <si>
    <t>REvSC - General/Council Rates</t>
  </si>
  <si>
    <t>6-2102</t>
  </si>
  <si>
    <t>REvSC - Water/Sewerage Rates</t>
  </si>
  <si>
    <t>6-2104</t>
  </si>
  <si>
    <t>REvSC - Water Usage</t>
  </si>
  <si>
    <t>6-2108</t>
  </si>
  <si>
    <t>6-2120</t>
  </si>
  <si>
    <t>REvSC - INSURANCE</t>
  </si>
  <si>
    <t>6-2121</t>
  </si>
  <si>
    <t>REvSC - Ins-Fire / ISR</t>
  </si>
  <si>
    <t>6-2230</t>
  </si>
  <si>
    <t>REvSC - FIRE PROTECTION</t>
  </si>
  <si>
    <t>6-2232</t>
  </si>
  <si>
    <t>REvSC - Fire-Contract</t>
  </si>
  <si>
    <t>6-2270</t>
  </si>
  <si>
    <t>REvSC - LIFTS, ESCALATORS</t>
  </si>
  <si>
    <t>6-2271</t>
  </si>
  <si>
    <t>REvSC - Lifts-Contract</t>
  </si>
  <si>
    <t>6-2290</t>
  </si>
  <si>
    <t>REvSC - REPAIRS &amp; MAINTENANCE</t>
  </si>
  <si>
    <t>6-2291</t>
  </si>
  <si>
    <t>REvSC - R&amp;M-Automatic Doors</t>
  </si>
  <si>
    <t>6-2303</t>
  </si>
  <si>
    <t>REvSC - R&amp;M-General</t>
  </si>
  <si>
    <t>6-2345</t>
  </si>
  <si>
    <t>REvSC - R&amp;M - Adjustment</t>
  </si>
  <si>
    <t>6-2570</t>
  </si>
  <si>
    <t>REvSC - STRATA EXPENSES</t>
  </si>
  <si>
    <t>6-2571</t>
  </si>
  <si>
    <t>REvSC - Strata-Admin Fund Levy</t>
  </si>
  <si>
    <t>6-2580</t>
  </si>
  <si>
    <t>REvSC - BUILDING MANAGEMENT</t>
  </si>
  <si>
    <t>6-2581</t>
  </si>
  <si>
    <t>REvSC - Management Fee</t>
  </si>
  <si>
    <t>Total Rec Exp via Service Charge</t>
  </si>
  <si>
    <t>6-3500</t>
  </si>
  <si>
    <t>NRE - MISCELLANEOUS EXPENDITUR</t>
  </si>
  <si>
    <t>6-3509</t>
  </si>
  <si>
    <t>NRE - Misc-Consultant Fees</t>
  </si>
  <si>
    <t>6-5000</t>
  </si>
  <si>
    <t>Administration Expenses</t>
  </si>
  <si>
    <t>6-5003</t>
  </si>
  <si>
    <t>Investment Mgt Fee</t>
  </si>
  <si>
    <t>6-5004</t>
  </si>
  <si>
    <t>Accounting Fee</t>
  </si>
  <si>
    <t>6-5006</t>
  </si>
  <si>
    <t>Bank charges</t>
  </si>
  <si>
    <t>6-5007</t>
  </si>
  <si>
    <t>Audit fees - Current year</t>
  </si>
  <si>
    <t>6-5009</t>
  </si>
  <si>
    <t>Legal /Tax advice Fee</t>
  </si>
  <si>
    <t>6-5010</t>
  </si>
  <si>
    <t>Taxation Fee</t>
  </si>
  <si>
    <t>6-5012</t>
  </si>
  <si>
    <t>Trustee Fees</t>
  </si>
  <si>
    <t>6-5013</t>
  </si>
  <si>
    <t>Valuation Fees</t>
  </si>
  <si>
    <t>6-5100</t>
  </si>
  <si>
    <t>Finance Costs</t>
  </si>
  <si>
    <t>6-5120</t>
  </si>
  <si>
    <t>Mezz loan interest</t>
  </si>
  <si>
    <t>6-5121</t>
  </si>
  <si>
    <t>Mezzanine Interest Adjustment</t>
  </si>
  <si>
    <t>6-5140</t>
  </si>
  <si>
    <t>Amort of loan issure cost</t>
  </si>
  <si>
    <t>6-5145</t>
  </si>
  <si>
    <t>Amort of mezz loan issure cost</t>
  </si>
  <si>
    <t>6-5150</t>
  </si>
  <si>
    <t>Challenger short term loan fee</t>
  </si>
  <si>
    <t>Total Finance Costs</t>
  </si>
  <si>
    <t>6-7000</t>
  </si>
  <si>
    <t>Fair Value Adjustments of Inve</t>
  </si>
  <si>
    <t>6-7002</t>
  </si>
  <si>
    <t>Fair Value Adjustment - Loss</t>
  </si>
  <si>
    <t>6-7005</t>
  </si>
  <si>
    <t>Fair Value Adjustment - Lease</t>
  </si>
  <si>
    <t>Total Fair Value Adjustments of Inve</t>
  </si>
  <si>
    <t>6-8000</t>
  </si>
  <si>
    <t>Fair Value Adjustment - SWAP</t>
  </si>
  <si>
    <t>Total Expenses</t>
  </si>
  <si>
    <t>Operating Profit</t>
  </si>
  <si>
    <t>8-0000</t>
  </si>
  <si>
    <t>Other Income</t>
  </si>
  <si>
    <t>8-5000</t>
  </si>
  <si>
    <t>Finance Income</t>
  </si>
  <si>
    <t>8-5100</t>
  </si>
  <si>
    <t>Interest Income</t>
  </si>
  <si>
    <t>8-5101</t>
  </si>
  <si>
    <t>Interest Income - Bank A/C</t>
  </si>
  <si>
    <t>Total Other Income</t>
  </si>
  <si>
    <t>9-0000</t>
  </si>
  <si>
    <t>Other Expenses</t>
  </si>
  <si>
    <t>9-5103</t>
  </si>
  <si>
    <t>FX Loss / (Gain)-Realised</t>
  </si>
  <si>
    <t>Total Other Expenses</t>
  </si>
  <si>
    <t>Net Profit/(Loss)</t>
  </si>
  <si>
    <t>July 2017 through June 2018</t>
  </si>
  <si>
    <t>July</t>
  </si>
  <si>
    <t>August</t>
  </si>
  <si>
    <t>4-4113</t>
  </si>
  <si>
    <t>Direct Rec-Cleang Exhaust Fan</t>
  </si>
  <si>
    <t>4-4129</t>
  </si>
  <si>
    <t>Direct Rec-Legal Fees</t>
  </si>
  <si>
    <t>4-4135</t>
  </si>
  <si>
    <t>Direct Rec-Other</t>
  </si>
  <si>
    <t>4-4180</t>
  </si>
  <si>
    <t>Advance Cash Receipts UA</t>
  </si>
  <si>
    <t>6-1170</t>
  </si>
  <si>
    <t>DRR - Cle-Exhaust Fans</t>
  </si>
  <si>
    <t>6-1500</t>
  </si>
  <si>
    <t>DRR - CHILD MINDING</t>
  </si>
  <si>
    <t>6-1520</t>
  </si>
  <si>
    <t>DRR - MISCELLANEOUS EXPEN</t>
  </si>
  <si>
    <t>6-1529</t>
  </si>
  <si>
    <t>DRR - Misc-Consultant Fees</t>
  </si>
  <si>
    <t>6-1536</t>
  </si>
  <si>
    <t>DRR - Misc-Legal Fees</t>
  </si>
  <si>
    <t>July 2016 through June 2017</t>
  </si>
  <si>
    <t>Property NOI</t>
  </si>
  <si>
    <t>Trust Costs</t>
  </si>
  <si>
    <t>6-2480</t>
  </si>
  <si>
    <t>REvSC - MISCELLANEOUS EXPEN</t>
  </si>
  <si>
    <t>6-2489</t>
  </si>
  <si>
    <t>REvSC - Misc-Consultant Fees</t>
  </si>
  <si>
    <t>6-7001</t>
  </si>
  <si>
    <t>Fair Value Adjustment - Gain</t>
  </si>
  <si>
    <t>DSCR</t>
    <phoneticPr fontId="3" type="noConversion"/>
  </si>
  <si>
    <t>Debit Yield</t>
    <phoneticPr fontId="3" type="noConversion"/>
  </si>
  <si>
    <t>Interest Expenses</t>
    <phoneticPr fontId="3" type="noConversion"/>
  </si>
  <si>
    <t>향후 3년 추정</t>
    <phoneticPr fontId="3" type="noConversion"/>
  </si>
  <si>
    <t>과거 3년 실적</t>
    <phoneticPr fontId="3" type="noConversion"/>
  </si>
  <si>
    <t>refi 전</t>
    <phoneticPr fontId="3" type="noConversion"/>
  </si>
  <si>
    <t>refi 후</t>
    <phoneticPr fontId="3" type="noConversion"/>
  </si>
  <si>
    <t>원금</t>
    <phoneticPr fontId="3" type="noConversion"/>
  </si>
  <si>
    <t>이자율</t>
    <phoneticPr fontId="3" type="noConversion"/>
  </si>
  <si>
    <t>비고</t>
    <phoneticPr fontId="3" type="noConversion"/>
  </si>
  <si>
    <t>act/360</t>
    <phoneticPr fontId="3" type="noConversion"/>
  </si>
  <si>
    <t>Cash Flow After Debt Service &amp; Capex</t>
    <phoneticPr fontId="3" type="noConversion"/>
  </si>
  <si>
    <t>16.09.30</t>
  </si>
  <si>
    <t>17.09.30</t>
  </si>
  <si>
    <t>18.09.30</t>
  </si>
  <si>
    <t xml:space="preserve">  General Contingency</t>
  </si>
  <si>
    <t>act/act (swap 후)</t>
    <phoneticPr fontId="3" type="noConversion"/>
  </si>
  <si>
    <t>KPMG Rentroll 재계산, 회사제공 손익 검증 용도로 산출하였으며, 현금흐름 추정에는 사용하지 않았음</t>
    <phoneticPr fontId="3" type="noConversion"/>
  </si>
  <si>
    <t>Trust Expenses</t>
    <phoneticPr fontId="3" type="noConversion"/>
  </si>
  <si>
    <t>Trust Expenses</t>
    <phoneticPr fontId="3" type="noConversion"/>
  </si>
  <si>
    <t>Trust Expenses</t>
    <phoneticPr fontId="3" type="noConversion"/>
  </si>
  <si>
    <t>Albury ATO, NSW</t>
  </si>
  <si>
    <t>WARNING: Changes have been made to this property.  Reload the Sales Volume Budget screen.</t>
  </si>
  <si>
    <t>Cash Flow Projection</t>
  </si>
  <si>
    <t>For the Period July 1, 2018 thru June 30, 2023</t>
  </si>
  <si>
    <t>Presented in Australian Dollars</t>
  </si>
  <si>
    <t xml:space="preserve"> </t>
  </si>
  <si>
    <t>Jun, 2019</t>
  </si>
  <si>
    <t>Jun, 2020</t>
  </si>
  <si>
    <t>Jun, 2021</t>
  </si>
  <si>
    <t>EBITDA</t>
  </si>
  <si>
    <t>Senior Loan Interest (KB)</t>
  </si>
  <si>
    <t>Mezzanine Loan interest</t>
  </si>
  <si>
    <t>Cash Distribution per IM</t>
  </si>
  <si>
    <t>Difference between forecast and IM</t>
  </si>
  <si>
    <t>Expenses in Korea</t>
  </si>
  <si>
    <t>Mezzanine payout after Kor Exp, before hedging</t>
  </si>
  <si>
    <t>Mezzanine Loan interest after Kor Exp</t>
  </si>
  <si>
    <t>Cash Distribution per IM after Kor Exp</t>
  </si>
  <si>
    <t>AUD Fund Size</t>
  </si>
  <si>
    <t>Senior Loan Amount</t>
  </si>
  <si>
    <t>Senior Loan Rate</t>
  </si>
  <si>
    <t>Senior Loan Replacement</t>
  </si>
  <si>
    <t>CapEx Facility</t>
  </si>
  <si>
    <t>Line Fee</t>
  </si>
  <si>
    <t>CapEx Schedule</t>
  </si>
  <si>
    <t>Year 1</t>
  </si>
  <si>
    <t>Year 2</t>
  </si>
  <si>
    <t>Year 3</t>
  </si>
  <si>
    <t>Trust Expenses</t>
    <phoneticPr fontId="3" type="noConversion"/>
  </si>
  <si>
    <t>Capex</t>
    <phoneticPr fontId="3" type="noConversion"/>
  </si>
  <si>
    <t>Cash Flow After Debt Service &amp; Capex</t>
  </si>
  <si>
    <t>Trust Expenses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</si>
</sst>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2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24" formatCode="\$#,##0_);[Red]\(\$#,##0\)"/>
    <numFmt numFmtId="26" formatCode="\$#,##0.00_);[Red]\(\$#,##0.00\)"/>
    <numFmt numFmtId="176" formatCode="0.0%\ "/>
    <numFmt numFmtId="177" formatCode="#,##0_);[Red]\(#,##0\);\-_)"/>
    <numFmt numFmtId="178" formatCode="#,##0&quot;년차&quot;_);[Red]\-#,##0&quot;년차&quot;_)"/>
    <numFmt numFmtId="179" formatCode="yyyy\-mm\-dd"/>
    <numFmt numFmtId="180" formatCode="0.00%\ "/>
    <numFmt numFmtId="181" formatCode="0.000%\ "/>
    <numFmt numFmtId="182" formatCode="0.0000%\ "/>
    <numFmt numFmtId="183" formatCode="#,##0.00_);[Red]\(#,##0.00\);\-_)\ "/>
    <numFmt numFmtId="184" formatCode="_(&quot;$&quot;* #,##0.00_);_(&quot;$&quot;* \(#,##0.00\);_(&quot;$&quot;* &quot;-&quot;??_);_(@_)"/>
    <numFmt numFmtId="185" formatCode="_(* #,##0_);_(* \(#,##0\);_(* &quot;-&quot;??_);_(@_)"/>
    <numFmt numFmtId="186" formatCode="0.0%"/>
    <numFmt numFmtId="187" formatCode="0.000%"/>
    <numFmt numFmtId="188" formatCode="_(* #,##0_);_(* \(#,##0\);_(* &quot;-&quot;?_);_(@_)"/>
    <numFmt numFmtId="189" formatCode="_(* #,##0.0_);_(* \(#,##0.0\);_(* &quot;-&quot;?_);_(@_)"/>
    <numFmt numFmtId="190" formatCode="_(* #,##0.00_);_(* \(#,##0.00\);_(* &quot;-&quot;?_);_(@_)"/>
    <numFmt numFmtId="191" formatCode="00000"/>
    <numFmt numFmtId="192" formatCode="0\ &quot; Loan Term (Years)&quot;"/>
    <numFmt numFmtId="193" formatCode="_(* #,##0.0000_);_(* \(#,##0.0000\);_(* &quot;-&quot;?_);_(@_)"/>
    <numFmt numFmtId="194" formatCode="#"/>
    <numFmt numFmtId="195" formatCode="General\K"/>
    <numFmt numFmtId="196" formatCode="_-* #,##0.00\ [$€-1]_-;\-* #,##0.00\ [$€-1]_-;_-* &quot;-&quot;??\ [$€-1]_-"/>
    <numFmt numFmtId="197" formatCode="_-[$£-809]* #,##0.00_-;\-[$£-809]* #,##0.00_-;_-[$£-809]* &quot;-&quot;??_-;_-@_-"/>
    <numFmt numFmtId="198" formatCode="_-[$$-409]* #,##0.00_ ;_-[$$-409]* \-#,##0.00\ ;_-[$$-409]* &quot;-&quot;??_ ;_-@_ "/>
    <numFmt numFmtId="199" formatCode="#,##0&quot;년&quot;_);[Red]\-#,##0&quot;년&quot;_)"/>
    <numFmt numFmtId="200" formatCode="#,##0&quot;개월&quot;_);[Red]\-#,##0&quot;개월&quot;_)"/>
    <numFmt numFmtId="201" formatCode="#,##0&quot;원&quot;_);[Red]\-#,##0&quot;원&quot;_)"/>
    <numFmt numFmtId="202" formatCode="###0&quot;년&quot;_)"/>
    <numFmt numFmtId="203" formatCode="#,##0&quot;기&quot;_);[Red]\-#,##0&quot;기&quot;_)"/>
    <numFmt numFmtId="204" formatCode="#,##0&quot;일&quot;_);[Red]\-#,##0&quot;일&quot;_)"/>
    <numFmt numFmtId="205" formatCode="#,##0&quot;안&quot;_);[Red]\-#,##0&quot;안&quot;_)"/>
    <numFmt numFmtId="206" formatCode="#,##0&quot;월&quot;_);[Red]\-#,##0&quot;월&quot;_)"/>
    <numFmt numFmtId="207" formatCode="#,##0&quot;반기&quot;_);[Red]\-#,##0&quot;반기&quot;_)"/>
    <numFmt numFmtId="208" formatCode="#,##0&quot;분기&quot;_);[Red]\-#,##0&quot;분기&quot;_)"/>
    <numFmt numFmtId="209" formatCode="0.00000000000000%"/>
    <numFmt numFmtId="210" formatCode="#,##0_);\(#,##0\);\-_)"/>
    <numFmt numFmtId="211" formatCode="_-@"/>
    <numFmt numFmtId="212" formatCode="0.000"/>
    <numFmt numFmtId="213" formatCode="0.00000000000000000%"/>
    <numFmt numFmtId="214" formatCode="#,##0.00&quot;㎡&quot;_);[Red]\-#,##0.00&quot;㎡&quot;_)"/>
    <numFmt numFmtId="215" formatCode="#,##0&quot;대&quot;_);[Red]\-#,##0&quot;대&quot;_)"/>
    <numFmt numFmtId="216" formatCode="#,##0.0_);[Red]\(#,##0.0\);\-_)"/>
    <numFmt numFmtId="217" formatCode="#,##0.00&quot;mil AUD&quot;"/>
    <numFmt numFmtId="218" formatCode="#,##0.00&quot;mil&quot;"/>
    <numFmt numFmtId="219" formatCode="#,##0&quot;Year&quot;"/>
    <numFmt numFmtId="220" formatCode="#,##0\ &quot;AUD&quot;"/>
    <numFmt numFmtId="221" formatCode="\$#,##0_);[Red]\(\$#,##0\);\-_)"/>
    <numFmt numFmtId="222" formatCode="0.00000%\ "/>
    <numFmt numFmtId="223" formatCode="_-\$* #,##0.00_ ;_-\$* \-#,##0.00\ ;_-\$* &quot;-&quot;??_ ;_-@_ "/>
    <numFmt numFmtId="224" formatCode="#,##0.0&quot;㎡&quot;_);[Red]\-#,##0.0&quot;㎡&quot;_)"/>
    <numFmt numFmtId="225" formatCode="#,##0&quot;㎡&quot;_);[Red]\-#,##0&quot;㎡&quot;_)"/>
    <numFmt numFmtId="226" formatCode="yy\.mm\.dd"/>
    <numFmt numFmtId="227" formatCode="#,##0.0000000_);[Red]\(#,##0.0000000\);\-_)\ "/>
    <numFmt numFmtId="228" formatCode="#,##0.00000000_);[Red]\(#,##0.00000000\);\-_)\ "/>
    <numFmt numFmtId="229" formatCode="0%\ "/>
    <numFmt numFmtId="230" formatCode="&quot;$&quot;#,##0.00_);[Red]\(&quot;$&quot;#,##0.00\)"/>
  </numFmts>
  <fonts count="85"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u val="double"/>
      <sz val="12"/>
      <name val="Arial"/>
      <family val="2"/>
    </font>
    <font>
      <b/>
      <i/>
      <u/>
      <sz val="12"/>
      <name val="Arial"/>
      <family val="2"/>
    </font>
    <font>
      <sz val="8"/>
      <color indexed="63"/>
      <name val="Arial"/>
      <family val="2"/>
    </font>
    <font>
      <sz val="11"/>
      <color indexed="8"/>
      <name val="Calibri"/>
      <family val="2"/>
    </font>
    <font>
      <sz val="11"/>
      <color theme="1"/>
      <name val="맑은 고딕"/>
      <family val="2"/>
      <scheme val="minor"/>
    </font>
    <font>
      <sz val="9"/>
      <color rgb="FF646464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i/>
      <sz val="8"/>
      <color theme="1"/>
      <name val="맑은 고딕"/>
      <family val="3"/>
      <charset val="129"/>
      <scheme val="minor"/>
    </font>
    <font>
      <sz val="11"/>
      <color rgb="FF000000"/>
      <name val="Calibri"/>
      <family val="2"/>
    </font>
    <font>
      <sz val="8"/>
      <color theme="1"/>
      <name val="맑은 고딕"/>
      <family val="3"/>
      <charset val="129"/>
      <scheme val="major"/>
    </font>
    <font>
      <sz val="8"/>
      <color rgb="FFF04C3E"/>
      <name val="맑은 고딕"/>
      <family val="2"/>
      <charset val="129"/>
      <scheme val="minor"/>
    </font>
    <font>
      <sz val="8"/>
      <color rgb="FFF04C3E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i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8"/>
      <color theme="0" tint="-4.9989318521683403E-2"/>
      <name val="맑은 고딕"/>
      <family val="3"/>
      <charset val="129"/>
      <scheme val="minor"/>
    </font>
    <font>
      <sz val="8"/>
      <color theme="0"/>
      <name val="맑은 고딕"/>
      <family val="2"/>
      <charset val="129"/>
      <scheme val="minor"/>
    </font>
    <font>
      <sz val="9"/>
      <color rgb="FF333333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333333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sz val="10"/>
      <color rgb="FF1F497D"/>
      <name val="맑은 고딕"/>
      <family val="3"/>
      <charset val="129"/>
    </font>
    <font>
      <b/>
      <sz val="10"/>
      <color rgb="FF1F497D"/>
      <name val="맑은 고딕"/>
      <family val="3"/>
      <charset val="129"/>
    </font>
    <font>
      <sz val="8"/>
      <color theme="7"/>
      <name val="맑은 고딕"/>
      <family val="3"/>
      <charset val="129"/>
      <scheme val="minor"/>
    </font>
    <font>
      <u/>
      <sz val="9"/>
      <color theme="10"/>
      <name val="나눔고딕"/>
      <family val="3"/>
      <charset val="129"/>
    </font>
    <font>
      <sz val="10"/>
      <color theme="1"/>
      <name val="Arial"/>
      <family val="2"/>
    </font>
    <font>
      <b/>
      <sz val="8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</font>
    <font>
      <b/>
      <sz val="8"/>
      <color theme="0"/>
      <name val="맑은 고딕"/>
      <family val="2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color theme="1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sz val="8"/>
      <color theme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8"/>
      <color theme="8"/>
      <name val="맑은 고딕"/>
      <family val="2"/>
      <charset val="129"/>
      <scheme val="minor"/>
    </font>
    <font>
      <sz val="8"/>
      <color theme="2"/>
      <name val="맑은 고딕"/>
      <family val="3"/>
      <charset val="129"/>
      <scheme val="minor"/>
    </font>
    <font>
      <b/>
      <sz val="8"/>
      <color rgb="FFF04C3E"/>
      <name val="맑은 고딕"/>
      <family val="3"/>
      <charset val="129"/>
      <scheme val="minor"/>
    </font>
    <font>
      <sz val="9"/>
      <color theme="1"/>
      <name val="맑은 고딕"/>
      <family val="2"/>
      <charset val="129"/>
    </font>
    <font>
      <b/>
      <sz val="9"/>
      <color rgb="FF333333"/>
      <name val="맑은 고딕"/>
      <family val="3"/>
      <charset val="129"/>
    </font>
    <font>
      <sz val="9"/>
      <color rgb="FFFFFFFF"/>
      <name val="맑은 고딕"/>
      <family val="3"/>
      <charset val="129"/>
    </font>
    <font>
      <sz val="8"/>
      <name val="Arial"/>
      <family val="2"/>
      <charset val="129"/>
    </font>
    <font>
      <u/>
      <sz val="8"/>
      <name val="Arial"/>
      <family val="2"/>
      <charset val="129"/>
    </font>
    <font>
      <sz val="8"/>
      <color rgb="FF646464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indexed="16"/>
      <name val="Times New Roman"/>
      <family val="1"/>
    </font>
    <font>
      <sz val="8"/>
      <name val="맑은 고딕"/>
      <family val="2"/>
      <scheme val="minor"/>
    </font>
    <font>
      <i/>
      <sz val="9"/>
      <name val="Times New Roman"/>
      <family val="1"/>
    </font>
    <font>
      <b/>
      <sz val="16"/>
      <color indexed="16"/>
      <name val="Times New Roman"/>
      <family val="1"/>
    </font>
    <font>
      <b/>
      <sz val="9"/>
      <color indexed="16"/>
      <name val="Times New Roman"/>
      <family val="1"/>
    </font>
    <font>
      <b/>
      <sz val="10"/>
      <color indexed="9"/>
      <name val="Times New Roman"/>
      <family val="1"/>
    </font>
    <font>
      <u/>
      <sz val="8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2348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 style="medium">
        <color rgb="FFC0C0C0"/>
      </left>
      <right/>
      <top style="medium">
        <color rgb="FFBFBFBF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/>
      <top style="medium">
        <color rgb="FFC0C0C0"/>
      </top>
      <bottom style="medium">
        <color rgb="FFC0C0C0"/>
      </bottom>
      <diagonal/>
    </border>
    <border>
      <left style="medium">
        <color rgb="FFBFBFBF"/>
      </left>
      <right/>
      <top style="medium">
        <color rgb="FFC0C0C0"/>
      </top>
      <bottom/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 style="medium">
        <color rgb="FFC0C0C0"/>
      </left>
      <right style="medium">
        <color rgb="FFC0C0C0"/>
      </right>
      <top style="medium">
        <color rgb="FFBFBFBF"/>
      </top>
      <bottom/>
      <diagonal/>
    </border>
    <border>
      <left/>
      <right style="medium">
        <color rgb="FFBFBFBF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C0C0C0"/>
      </left>
      <right/>
      <top style="medium">
        <color rgb="FFBFBFBF"/>
      </top>
      <bottom style="medium">
        <color rgb="FFC0C0C0"/>
      </bottom>
      <diagonal/>
    </border>
  </borders>
  <cellStyleXfs count="182">
    <xf numFmtId="0" fontId="0" fillId="0" borderId="0" applyNumberFormat="0" applyFont="0" applyFill="0" applyBorder="0" applyAlignment="0" applyProtection="0">
      <alignment vertical="center"/>
    </xf>
    <xf numFmtId="0" fontId="5" fillId="0" borderId="0" applyBorder="0"/>
    <xf numFmtId="188" fontId="7" fillId="4" borderId="0" applyBorder="0">
      <protection locked="0"/>
    </xf>
    <xf numFmtId="188" fontId="7" fillId="0" borderId="0" applyBorder="0"/>
    <xf numFmtId="188" fontId="7" fillId="5" borderId="0">
      <alignment vertical="center"/>
      <protection locked="0"/>
    </xf>
    <xf numFmtId="188" fontId="5" fillId="4" borderId="0" applyBorder="0">
      <protection locked="0"/>
    </xf>
    <xf numFmtId="188" fontId="5" fillId="0" borderId="0" applyBorder="0"/>
    <xf numFmtId="188" fontId="7" fillId="4" borderId="2">
      <protection locked="0"/>
    </xf>
    <xf numFmtId="188" fontId="7" fillId="0" borderId="2"/>
    <xf numFmtId="188" fontId="7" fillId="5" borderId="2">
      <protection locked="0"/>
    </xf>
    <xf numFmtId="188" fontId="5" fillId="5" borderId="0" applyBorder="0">
      <protection locked="0"/>
    </xf>
    <xf numFmtId="189" fontId="7" fillId="4" borderId="0" applyBorder="0">
      <protection locked="0"/>
    </xf>
    <xf numFmtId="189" fontId="7" fillId="0" borderId="0" applyBorder="0"/>
    <xf numFmtId="189" fontId="7" fillId="5" borderId="0" applyFill="0">
      <protection locked="0"/>
    </xf>
    <xf numFmtId="189" fontId="5" fillId="4" borderId="0" applyBorder="0">
      <protection locked="0"/>
    </xf>
    <xf numFmtId="189" fontId="5" fillId="0" borderId="0" applyBorder="0"/>
    <xf numFmtId="189" fontId="7" fillId="4" borderId="2">
      <protection locked="0"/>
    </xf>
    <xf numFmtId="189" fontId="7" fillId="0" borderId="2"/>
    <xf numFmtId="189" fontId="7" fillId="5" borderId="2">
      <protection locked="0"/>
    </xf>
    <xf numFmtId="189" fontId="5" fillId="5" borderId="0" applyBorder="0">
      <protection locked="0"/>
    </xf>
    <xf numFmtId="190" fontId="7" fillId="4" borderId="0" applyBorder="0">
      <protection locked="0"/>
    </xf>
    <xf numFmtId="190" fontId="7" fillId="0" borderId="0" applyBorder="0"/>
    <xf numFmtId="190" fontId="7" fillId="5" borderId="0" applyBorder="0">
      <protection locked="0"/>
    </xf>
    <xf numFmtId="190" fontId="5" fillId="4" borderId="0" applyBorder="0">
      <protection locked="0"/>
    </xf>
    <xf numFmtId="190" fontId="5" fillId="0" borderId="0" applyBorder="0"/>
    <xf numFmtId="190" fontId="7" fillId="4" borderId="2">
      <protection locked="0"/>
    </xf>
    <xf numFmtId="190" fontId="7" fillId="0" borderId="2"/>
    <xf numFmtId="190" fontId="5" fillId="5" borderId="0" applyBorder="0">
      <protection locked="0"/>
    </xf>
    <xf numFmtId="190" fontId="7" fillId="5" borderId="2">
      <protection locked="0"/>
    </xf>
    <xf numFmtId="193" fontId="7" fillId="0" borderId="0" applyBorder="0"/>
    <xf numFmtId="193" fontId="5" fillId="4" borderId="4" applyBorder="0">
      <protection locked="0"/>
    </xf>
    <xf numFmtId="195" fontId="5" fillId="0" borderId="0" applyBorder="0"/>
    <xf numFmtId="195" fontId="5" fillId="0" borderId="0" applyBorder="0"/>
    <xf numFmtId="195" fontId="5" fillId="0" borderId="0" applyBorder="0"/>
    <xf numFmtId="195" fontId="5" fillId="0" borderId="0" applyBorder="0"/>
    <xf numFmtId="195" fontId="5" fillId="0" borderId="0" applyBorder="0"/>
    <xf numFmtId="195" fontId="5" fillId="5" borderId="0" applyBorder="0">
      <protection locked="0"/>
    </xf>
    <xf numFmtId="9" fontId="7" fillId="4" borderId="0" applyBorder="0">
      <protection locked="0"/>
    </xf>
    <xf numFmtId="9" fontId="7" fillId="0" borderId="0" applyBorder="0"/>
    <xf numFmtId="9" fontId="7" fillId="5" borderId="0" applyBorder="0">
      <protection locked="0"/>
    </xf>
    <xf numFmtId="9" fontId="5" fillId="4" borderId="0" applyBorder="0">
      <protection locked="0"/>
    </xf>
    <xf numFmtId="9" fontId="5" fillId="0" borderId="0" applyBorder="0"/>
    <xf numFmtId="9" fontId="7" fillId="4" borderId="2">
      <protection locked="0"/>
    </xf>
    <xf numFmtId="9" fontId="7" fillId="0" borderId="2"/>
    <xf numFmtId="9" fontId="7" fillId="5" borderId="2">
      <protection locked="0"/>
    </xf>
    <xf numFmtId="9" fontId="5" fillId="5" borderId="0" applyBorder="0">
      <protection locked="0"/>
    </xf>
    <xf numFmtId="186" fontId="7" fillId="4" borderId="0" applyBorder="0">
      <protection locked="0"/>
    </xf>
    <xf numFmtId="186" fontId="7" fillId="0" borderId="0" applyBorder="0"/>
    <xf numFmtId="186" fontId="7" fillId="5" borderId="0" applyBorder="0">
      <protection locked="0"/>
    </xf>
    <xf numFmtId="186" fontId="5" fillId="4" borderId="0" applyBorder="0">
      <protection locked="0"/>
    </xf>
    <xf numFmtId="186" fontId="5" fillId="0" borderId="0" applyBorder="0"/>
    <xf numFmtId="186" fontId="7" fillId="4" borderId="2">
      <protection locked="0"/>
    </xf>
    <xf numFmtId="186" fontId="7" fillId="0" borderId="2"/>
    <xf numFmtId="186" fontId="7" fillId="5" borderId="2">
      <protection locked="0"/>
    </xf>
    <xf numFmtId="186" fontId="5" fillId="5" borderId="0" applyBorder="0">
      <protection locked="0"/>
    </xf>
    <xf numFmtId="10" fontId="7" fillId="4" borderId="0" applyBorder="0">
      <protection locked="0"/>
    </xf>
    <xf numFmtId="10" fontId="7" fillId="0" borderId="0" applyBorder="0"/>
    <xf numFmtId="10" fontId="7" fillId="5" borderId="0">
      <protection locked="0"/>
    </xf>
    <xf numFmtId="10" fontId="5" fillId="4" borderId="0" applyBorder="0">
      <protection locked="0"/>
    </xf>
    <xf numFmtId="10" fontId="5" fillId="0" borderId="0" applyBorder="0"/>
    <xf numFmtId="10" fontId="7" fillId="4" borderId="2">
      <protection locked="0"/>
    </xf>
    <xf numFmtId="10" fontId="7" fillId="0" borderId="2"/>
    <xf numFmtId="10" fontId="7" fillId="5" borderId="2">
      <protection locked="0"/>
    </xf>
    <xf numFmtId="10" fontId="5" fillId="5" borderId="0" applyBorder="0">
      <protection locked="0"/>
    </xf>
    <xf numFmtId="187" fontId="7" fillId="4" borderId="0" applyBorder="0">
      <protection locked="0"/>
    </xf>
    <xf numFmtId="187" fontId="7" fillId="0" borderId="0" applyBorder="0"/>
    <xf numFmtId="187" fontId="7" fillId="5" borderId="0" applyBorder="0">
      <protection locked="0"/>
    </xf>
    <xf numFmtId="187" fontId="5" fillId="4" borderId="0" applyBorder="0">
      <protection locked="0"/>
    </xf>
    <xf numFmtId="187" fontId="5" fillId="0" borderId="0" applyBorder="0"/>
    <xf numFmtId="187" fontId="7" fillId="4" borderId="2">
      <protection locked="0"/>
    </xf>
    <xf numFmtId="187" fontId="7" fillId="0" borderId="2"/>
    <xf numFmtId="187" fontId="7" fillId="5" borderId="2">
      <protection locked="0"/>
    </xf>
    <xf numFmtId="187" fontId="5" fillId="5" borderId="0" applyBorder="0">
      <protection locked="0"/>
    </xf>
    <xf numFmtId="43" fontId="5" fillId="4" borderId="5">
      <protection locked="0"/>
    </xf>
    <xf numFmtId="0" fontId="5" fillId="6" borderId="0">
      <protection hidden="1"/>
    </xf>
    <xf numFmtId="188" fontId="7" fillId="4" borderId="5">
      <protection locked="0"/>
    </xf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4" fontId="7" fillId="4" borderId="0" applyBorder="0">
      <alignment horizontal="center"/>
      <protection locked="0"/>
    </xf>
    <xf numFmtId="0" fontId="6" fillId="0" borderId="0" applyFont="0" applyFill="0" applyBorder="0" applyAlignment="0" applyProtection="0"/>
    <xf numFmtId="0" fontId="5" fillId="5" borderId="0">
      <protection locked="0"/>
    </xf>
    <xf numFmtId="0" fontId="16" fillId="7" borderId="0" applyBorder="0">
      <protection hidden="1"/>
    </xf>
    <xf numFmtId="0" fontId="11" fillId="8" borderId="0">
      <protection hidden="1"/>
    </xf>
    <xf numFmtId="38" fontId="10" fillId="0" borderId="0"/>
    <xf numFmtId="0" fontId="18" fillId="0" borderId="0"/>
    <xf numFmtId="0" fontId="5" fillId="0" borderId="0" applyBorder="0"/>
    <xf numFmtId="185" fontId="5" fillId="5" borderId="0" applyFill="0" applyBorder="0"/>
    <xf numFmtId="9" fontId="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5" fillId="0" borderId="0"/>
    <xf numFmtId="192" fontId="7" fillId="4" borderId="6" applyBorder="0">
      <alignment horizontal="center"/>
      <protection locked="0"/>
    </xf>
    <xf numFmtId="194" fontId="7" fillId="4" borderId="0" applyBorder="0">
      <alignment horizontal="center"/>
      <protection locked="0"/>
    </xf>
    <xf numFmtId="194" fontId="7" fillId="0" borderId="6" applyBorder="0">
      <alignment horizontal="center"/>
    </xf>
    <xf numFmtId="0" fontId="8" fillId="0" borderId="1" applyBorder="0">
      <alignment horizontal="center"/>
    </xf>
    <xf numFmtId="0" fontId="7" fillId="5" borderId="5" applyBorder="0">
      <alignment horizontal="center" vertical="center"/>
      <protection locked="0"/>
    </xf>
    <xf numFmtId="0" fontId="5" fillId="4" borderId="0" applyBorder="0">
      <alignment horizontal="center"/>
      <protection locked="0"/>
    </xf>
    <xf numFmtId="0" fontId="7" fillId="9" borderId="2" applyBorder="0">
      <alignment horizontal="center" wrapText="1"/>
    </xf>
    <xf numFmtId="0" fontId="7" fillId="4" borderId="1">
      <alignment horizontal="center"/>
      <protection locked="0"/>
    </xf>
    <xf numFmtId="0" fontId="7" fillId="0" borderId="1">
      <alignment horizontal="center"/>
    </xf>
    <xf numFmtId="0" fontId="7" fillId="5" borderId="1">
      <alignment horizontal="center"/>
      <protection locked="0"/>
    </xf>
    <xf numFmtId="194" fontId="5" fillId="0" borderId="0" applyBorder="0">
      <alignment horizontal="center"/>
    </xf>
    <xf numFmtId="0" fontId="7" fillId="4" borderId="2">
      <alignment horizontal="center"/>
      <protection locked="0"/>
    </xf>
    <xf numFmtId="0" fontId="7" fillId="0" borderId="2">
      <alignment horizontal="center"/>
    </xf>
    <xf numFmtId="0" fontId="7" fillId="5" borderId="2">
      <alignment horizontal="center"/>
      <protection locked="0"/>
    </xf>
    <xf numFmtId="0" fontId="5" fillId="5" borderId="0" applyBorder="0">
      <alignment horizontal="center"/>
      <protection locked="0"/>
    </xf>
    <xf numFmtId="0" fontId="7" fillId="0" borderId="0" applyBorder="0">
      <alignment horizontal="center" wrapText="1"/>
    </xf>
    <xf numFmtId="194" fontId="5" fillId="4" borderId="0">
      <alignment horizontal="left" vertical="top" wrapText="1"/>
      <protection locked="0"/>
    </xf>
    <xf numFmtId="194" fontId="5" fillId="5" borderId="0">
      <alignment horizontal="left" vertical="top" wrapText="1"/>
      <protection locked="0"/>
    </xf>
    <xf numFmtId="194" fontId="13" fillId="0" borderId="0" applyBorder="0">
      <alignment horizontal="left"/>
    </xf>
    <xf numFmtId="0" fontId="14" fillId="0" borderId="0" applyBorder="0">
      <alignment horizontal="left"/>
    </xf>
    <xf numFmtId="0" fontId="9" fillId="0" borderId="7" applyBorder="0">
      <alignment horizontal="left" vertical="center"/>
    </xf>
    <xf numFmtId="0" fontId="11" fillId="0" borderId="0">
      <protection hidden="1"/>
    </xf>
    <xf numFmtId="0" fontId="7" fillId="4" borderId="0" applyBorder="0">
      <alignment horizontal="left"/>
      <protection locked="0"/>
    </xf>
    <xf numFmtId="0" fontId="7" fillId="0" borderId="0">
      <alignment horizontal="left" vertical="top"/>
    </xf>
    <xf numFmtId="0" fontId="7" fillId="5" borderId="0" applyBorder="0">
      <alignment horizontal="left"/>
      <protection locked="0"/>
    </xf>
    <xf numFmtId="0" fontId="5" fillId="4" borderId="0" applyBorder="0">
      <alignment horizontal="left"/>
      <protection locked="0"/>
    </xf>
    <xf numFmtId="0" fontId="7" fillId="9" borderId="2">
      <alignment horizontal="left"/>
    </xf>
    <xf numFmtId="0" fontId="7" fillId="4" borderId="1">
      <alignment horizontal="left"/>
      <protection locked="0"/>
    </xf>
    <xf numFmtId="0" fontId="7" fillId="0" borderId="0">
      <alignment horizontal="left"/>
    </xf>
    <xf numFmtId="0" fontId="7" fillId="5" borderId="1">
      <alignment horizontal="left"/>
      <protection locked="0"/>
    </xf>
    <xf numFmtId="194" fontId="5" fillId="0" borderId="7" applyBorder="0">
      <alignment horizontal="left"/>
    </xf>
    <xf numFmtId="0" fontId="7" fillId="4" borderId="2">
      <alignment horizontal="left"/>
      <protection locked="0"/>
    </xf>
    <xf numFmtId="0" fontId="7" fillId="0" borderId="2">
      <alignment horizontal="left"/>
    </xf>
    <xf numFmtId="0" fontId="7" fillId="5" borderId="2">
      <alignment horizontal="left"/>
      <protection locked="0"/>
    </xf>
    <xf numFmtId="194" fontId="5" fillId="5" borderId="0" applyBorder="0">
      <alignment horizontal="left"/>
      <protection locked="0"/>
    </xf>
    <xf numFmtId="194" fontId="5" fillId="5" borderId="0">
      <alignment horizontal="left" vertical="top" wrapText="1"/>
      <protection locked="0"/>
    </xf>
    <xf numFmtId="0" fontId="7" fillId="4" borderId="0" applyBorder="0">
      <alignment horizontal="right"/>
      <protection locked="0"/>
    </xf>
    <xf numFmtId="0" fontId="7" fillId="0" borderId="0" applyBorder="0">
      <alignment horizontal="right"/>
    </xf>
    <xf numFmtId="0" fontId="5" fillId="0" borderId="0"/>
    <xf numFmtId="0" fontId="7" fillId="5" borderId="0" applyBorder="0">
      <alignment horizontal="right"/>
      <protection locked="0"/>
    </xf>
    <xf numFmtId="0" fontId="5" fillId="4" borderId="0" applyBorder="0">
      <alignment horizontal="right"/>
      <protection locked="0"/>
    </xf>
    <xf numFmtId="0" fontId="7" fillId="9" borderId="2">
      <alignment horizontal="right"/>
    </xf>
    <xf numFmtId="0" fontId="7" fillId="4" borderId="1">
      <alignment horizontal="right"/>
      <protection locked="0"/>
    </xf>
    <xf numFmtId="0" fontId="7" fillId="0" borderId="1">
      <alignment horizontal="right"/>
    </xf>
    <xf numFmtId="0" fontId="7" fillId="5" borderId="1">
      <alignment horizontal="right"/>
      <protection locked="0"/>
    </xf>
    <xf numFmtId="0" fontId="5" fillId="0" borderId="0" applyBorder="0">
      <alignment horizontal="right"/>
    </xf>
    <xf numFmtId="0" fontId="7" fillId="4" borderId="2">
      <alignment horizontal="right"/>
      <protection locked="0"/>
    </xf>
    <xf numFmtId="0" fontId="7" fillId="0" borderId="2">
      <alignment horizontal="right"/>
    </xf>
    <xf numFmtId="0" fontId="7" fillId="5" borderId="2">
      <alignment horizontal="right"/>
      <protection locked="0"/>
    </xf>
    <xf numFmtId="0" fontId="5" fillId="5" borderId="0" applyBorder="0">
      <alignment horizontal="right"/>
      <protection locked="0"/>
    </xf>
    <xf numFmtId="191" fontId="5" fillId="5" borderId="0" applyBorder="0">
      <alignment horizontal="center"/>
      <protection locked="0"/>
    </xf>
    <xf numFmtId="196" fontId="12" fillId="10" borderId="0"/>
    <xf numFmtId="0" fontId="5" fillId="4" borderId="0">
      <alignment wrapText="1"/>
      <protection locked="0"/>
    </xf>
    <xf numFmtId="0" fontId="23" fillId="0" borderId="0" applyNumberFormat="0" applyFont="0" applyFill="0" applyBorder="0" applyAlignment="0" applyProtection="0">
      <alignment vertical="center"/>
    </xf>
    <xf numFmtId="0" fontId="29" fillId="0" borderId="0">
      <alignment vertical="center"/>
    </xf>
    <xf numFmtId="0" fontId="39" fillId="0" borderId="27" applyNumberFormat="0">
      <alignment vertical="center"/>
    </xf>
    <xf numFmtId="10" fontId="19" fillId="13" borderId="28" applyNumberFormat="0">
      <alignment vertical="center"/>
    </xf>
    <xf numFmtId="211" fontId="39" fillId="13" borderId="0" applyNumberFormat="0">
      <alignment vertical="center"/>
    </xf>
    <xf numFmtId="0" fontId="40" fillId="15" borderId="27" applyNumberFormat="0">
      <alignment horizontal="center" vertical="center" readingOrder="1"/>
    </xf>
    <xf numFmtId="0" fontId="41" fillId="13" borderId="29" applyNumberFormat="0" applyAlignment="0">
      <alignment vertical="center"/>
    </xf>
    <xf numFmtId="0" fontId="42" fillId="0" borderId="0" applyNumberFormat="0">
      <alignment vertical="center" readingOrder="1"/>
    </xf>
    <xf numFmtId="0" fontId="46" fillId="0" borderId="0" applyNumberFormat="0" applyFill="0" applyBorder="0" applyAlignment="0" applyProtection="0">
      <alignment vertical="center"/>
    </xf>
    <xf numFmtId="0" fontId="47" fillId="0" borderId="0"/>
    <xf numFmtId="44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7" fillId="0" borderId="0"/>
    <xf numFmtId="0" fontId="53" fillId="0" borderId="0"/>
    <xf numFmtId="9" fontId="53" fillId="0" borderId="0" applyFont="0" applyFill="0" applyBorder="0" applyAlignment="0" applyProtection="0"/>
    <xf numFmtId="0" fontId="53" fillId="0" borderId="0">
      <alignment vertical="center"/>
    </xf>
    <xf numFmtId="41" fontId="53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42" fontId="68" fillId="0" borderId="0" applyFont="0" applyFill="0" applyBorder="0" applyAlignment="0" applyProtection="0">
      <alignment vertical="center"/>
    </xf>
    <xf numFmtId="0" fontId="39" fillId="0" borderId="37" applyNumberFormat="0">
      <alignment vertical="center"/>
    </xf>
    <xf numFmtId="0" fontId="39" fillId="0" borderId="38" applyNumberFormat="0">
      <alignment vertical="center"/>
    </xf>
    <xf numFmtId="0" fontId="39" fillId="13" borderId="39" applyNumberFormat="0">
      <alignment vertical="center"/>
    </xf>
    <xf numFmtId="0" fontId="70" fillId="24" borderId="39" applyNumberFormat="0">
      <alignment horizontal="left" vertical="center"/>
    </xf>
    <xf numFmtId="0" fontId="40" fillId="24" borderId="40" applyNumberFormat="0">
      <alignment horizontal="center" vertical="center"/>
    </xf>
    <xf numFmtId="0" fontId="40" fillId="24" borderId="41" applyNumberFormat="0">
      <alignment horizontal="center" vertical="center"/>
    </xf>
    <xf numFmtId="0" fontId="1" fillId="0" borderId="0">
      <alignment vertical="center"/>
    </xf>
    <xf numFmtId="0" fontId="12" fillId="0" borderId="0"/>
    <xf numFmtId="41" fontId="1" fillId="0" borderId="0" applyFont="0" applyFill="0" applyBorder="0" applyAlignment="0" applyProtection="0"/>
    <xf numFmtId="0" fontId="12" fillId="0" borderId="0"/>
  </cellStyleXfs>
  <cellXfs count="1020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5" fillId="0" borderId="0" xfId="152" applyFont="1">
      <alignment vertical="center"/>
    </xf>
    <xf numFmtId="0" fontId="25" fillId="0" borderId="11" xfId="152" applyFont="1" applyBorder="1">
      <alignment vertical="center"/>
    </xf>
    <xf numFmtId="0" fontId="25" fillId="0" borderId="0" xfId="152" applyFont="1" applyBorder="1">
      <alignment vertical="center"/>
    </xf>
    <xf numFmtId="0" fontId="25" fillId="0" borderId="12" xfId="152" applyFont="1" applyBorder="1">
      <alignment vertical="center"/>
    </xf>
    <xf numFmtId="0" fontId="23" fillId="0" borderId="11" xfId="152" applyBorder="1">
      <alignment vertical="center"/>
    </xf>
    <xf numFmtId="0" fontId="23" fillId="0" borderId="0" xfId="152" applyBorder="1">
      <alignment vertical="center"/>
    </xf>
    <xf numFmtId="0" fontId="23" fillId="0" borderId="0" xfId="152">
      <alignment vertical="center"/>
    </xf>
    <xf numFmtId="0" fontId="26" fillId="0" borderId="11" xfId="152" applyFont="1" applyBorder="1">
      <alignment vertical="center"/>
    </xf>
    <xf numFmtId="0" fontId="25" fillId="0" borderId="2" xfId="152" applyFont="1" applyBorder="1">
      <alignment vertical="center"/>
    </xf>
    <xf numFmtId="0" fontId="25" fillId="0" borderId="2" xfId="152" applyFont="1" applyBorder="1" applyAlignment="1">
      <alignment horizontal="center" vertical="center"/>
    </xf>
    <xf numFmtId="0" fontId="25" fillId="0" borderId="13" xfId="152" applyFont="1" applyBorder="1" applyAlignment="1">
      <alignment horizontal="center" vertical="center"/>
    </xf>
    <xf numFmtId="0" fontId="27" fillId="0" borderId="0" xfId="152" quotePrefix="1" applyFont="1" applyBorder="1" applyAlignment="1">
      <alignment horizontal="center" vertical="center"/>
    </xf>
    <xf numFmtId="14" fontId="25" fillId="0" borderId="12" xfId="152" applyNumberFormat="1" applyFont="1" applyBorder="1" applyAlignment="1">
      <alignment horizontal="center" vertical="center"/>
    </xf>
    <xf numFmtId="0" fontId="25" fillId="0" borderId="0" xfId="152" applyFont="1" applyBorder="1" applyAlignment="1">
      <alignment horizontal="right" vertical="center"/>
    </xf>
    <xf numFmtId="180" fontId="25" fillId="0" borderId="0" xfId="152" applyNumberFormat="1" applyFont="1" applyBorder="1">
      <alignment vertical="center"/>
    </xf>
    <xf numFmtId="200" fontId="23" fillId="0" borderId="12" xfId="152" applyNumberFormat="1" applyBorder="1">
      <alignment vertical="center"/>
    </xf>
    <xf numFmtId="0" fontId="25" fillId="0" borderId="1" xfId="152" applyFont="1" applyBorder="1">
      <alignment vertical="center"/>
    </xf>
    <xf numFmtId="14" fontId="23" fillId="0" borderId="12" xfId="152" applyNumberFormat="1" applyBorder="1" applyAlignment="1">
      <alignment horizontal="center" vertical="center"/>
    </xf>
    <xf numFmtId="0" fontId="30" fillId="0" borderId="14" xfId="153" applyFont="1" applyBorder="1" applyAlignment="1">
      <alignment horizontal="left" vertical="center" indent="1"/>
    </xf>
    <xf numFmtId="0" fontId="25" fillId="0" borderId="0" xfId="152" applyFont="1" applyFill="1" applyBorder="1">
      <alignment vertical="center"/>
    </xf>
    <xf numFmtId="177" fontId="23" fillId="0" borderId="0" xfId="152" applyNumberFormat="1" applyBorder="1">
      <alignment vertical="center"/>
    </xf>
    <xf numFmtId="177" fontId="23" fillId="0" borderId="12" xfId="152" applyNumberFormat="1" applyBorder="1">
      <alignment vertical="center"/>
    </xf>
    <xf numFmtId="177" fontId="25" fillId="0" borderId="11" xfId="152" applyNumberFormat="1" applyFont="1" applyBorder="1">
      <alignment vertical="center"/>
    </xf>
    <xf numFmtId="200" fontId="25" fillId="0" borderId="12" xfId="152" applyNumberFormat="1" applyFont="1" applyBorder="1">
      <alignment vertical="center"/>
    </xf>
    <xf numFmtId="0" fontId="30" fillId="0" borderId="17" xfId="153" applyFont="1" applyBorder="1" applyAlignment="1">
      <alignment horizontal="left" vertical="center" indent="1"/>
    </xf>
    <xf numFmtId="0" fontId="23" fillId="0" borderId="1" xfId="152" applyBorder="1">
      <alignment vertical="center"/>
    </xf>
    <xf numFmtId="0" fontId="25" fillId="0" borderId="1" xfId="152" applyFont="1" applyFill="1" applyBorder="1">
      <alignment vertical="center"/>
    </xf>
    <xf numFmtId="177" fontId="23" fillId="0" borderId="1" xfId="152" applyNumberFormat="1" applyBorder="1">
      <alignment vertical="center"/>
    </xf>
    <xf numFmtId="177" fontId="23" fillId="0" borderId="16" xfId="152" applyNumberFormat="1" applyBorder="1">
      <alignment vertical="center"/>
    </xf>
    <xf numFmtId="0" fontId="25" fillId="0" borderId="11" xfId="152" applyFont="1" applyFill="1" applyBorder="1">
      <alignment vertical="center"/>
    </xf>
    <xf numFmtId="201" fontId="31" fillId="0" borderId="12" xfId="152" applyNumberFormat="1" applyFont="1" applyBorder="1">
      <alignment vertical="center"/>
    </xf>
    <xf numFmtId="0" fontId="33" fillId="0" borderId="11" xfId="153" applyFont="1" applyBorder="1" applyAlignment="1">
      <alignment vertical="center"/>
    </xf>
    <xf numFmtId="0" fontId="23" fillId="0" borderId="12" xfId="152" applyBorder="1">
      <alignment vertical="center"/>
    </xf>
    <xf numFmtId="0" fontId="25" fillId="0" borderId="3" xfId="152" applyFont="1" applyBorder="1">
      <alignment vertical="center"/>
    </xf>
    <xf numFmtId="177" fontId="26" fillId="0" borderId="0" xfId="152" applyNumberFormat="1" applyFont="1" applyBorder="1">
      <alignment vertical="center"/>
    </xf>
    <xf numFmtId="0" fontId="23" fillId="0" borderId="12" xfId="152" applyBorder="1" applyAlignment="1">
      <alignment horizontal="right" vertical="center"/>
    </xf>
    <xf numFmtId="202" fontId="25" fillId="0" borderId="12" xfId="152" applyNumberFormat="1" applyFont="1" applyBorder="1" applyAlignment="1">
      <alignment horizontal="right" vertical="center"/>
    </xf>
    <xf numFmtId="0" fontId="33" fillId="0" borderId="14" xfId="153" applyFont="1" applyBorder="1" applyAlignment="1">
      <alignment vertical="center"/>
    </xf>
    <xf numFmtId="0" fontId="23" fillId="0" borderId="3" xfId="152" applyBorder="1">
      <alignment vertical="center"/>
    </xf>
    <xf numFmtId="0" fontId="25" fillId="0" borderId="3" xfId="152" applyFont="1" applyFill="1" applyBorder="1">
      <alignment vertical="center"/>
    </xf>
    <xf numFmtId="177" fontId="26" fillId="0" borderId="3" xfId="152" applyNumberFormat="1" applyFont="1" applyBorder="1">
      <alignment vertical="center"/>
    </xf>
    <xf numFmtId="177" fontId="26" fillId="0" borderId="15" xfId="152" applyNumberFormat="1" applyFont="1" applyBorder="1">
      <alignment vertical="center"/>
    </xf>
    <xf numFmtId="0" fontId="25" fillId="0" borderId="1" xfId="152" applyFont="1" applyFill="1" applyBorder="1" applyAlignment="1">
      <alignment horizontal="right" vertical="center"/>
    </xf>
    <xf numFmtId="0" fontId="23" fillId="0" borderId="11" xfId="152" applyFont="1" applyFill="1" applyBorder="1" applyAlignment="1">
      <alignment horizontal="left" vertical="center" indent="2"/>
    </xf>
    <xf numFmtId="0" fontId="23" fillId="0" borderId="0" xfId="152" applyFill="1" applyBorder="1">
      <alignment vertical="center"/>
    </xf>
    <xf numFmtId="177" fontId="23" fillId="0" borderId="0" xfId="152" applyNumberFormat="1" applyFill="1" applyBorder="1">
      <alignment vertical="center"/>
    </xf>
    <xf numFmtId="177" fontId="23" fillId="0" borderId="12" xfId="152" applyNumberFormat="1" applyFill="1" applyBorder="1">
      <alignment vertical="center"/>
    </xf>
    <xf numFmtId="0" fontId="25" fillId="0" borderId="15" xfId="152" applyFont="1" applyBorder="1" applyAlignment="1">
      <alignment horizontal="center" vertical="center"/>
    </xf>
    <xf numFmtId="177" fontId="25" fillId="0" borderId="0" xfId="152" applyNumberFormat="1" applyFont="1" applyBorder="1">
      <alignment vertical="center"/>
    </xf>
    <xf numFmtId="0" fontId="25" fillId="0" borderId="3" xfId="152" applyFont="1" applyBorder="1" applyAlignment="1">
      <alignment horizontal="center" vertical="center"/>
    </xf>
    <xf numFmtId="0" fontId="23" fillId="0" borderId="2" xfId="152" applyBorder="1">
      <alignment vertical="center"/>
    </xf>
    <xf numFmtId="0" fontId="25" fillId="0" borderId="2" xfId="152" applyFont="1" applyFill="1" applyBorder="1">
      <alignment vertical="center"/>
    </xf>
    <xf numFmtId="177" fontId="26" fillId="0" borderId="2" xfId="152" applyNumberFormat="1" applyFont="1" applyBorder="1">
      <alignment vertical="center"/>
    </xf>
    <xf numFmtId="177" fontId="26" fillId="0" borderId="13" xfId="152" applyNumberFormat="1" applyFont="1" applyBorder="1">
      <alignment vertical="center"/>
    </xf>
    <xf numFmtId="177" fontId="25" fillId="0" borderId="12" xfId="152" applyNumberFormat="1" applyFont="1" applyBorder="1">
      <alignment vertical="center"/>
    </xf>
    <xf numFmtId="177" fontId="25" fillId="0" borderId="1" xfId="152" applyNumberFormat="1" applyFont="1" applyBorder="1">
      <alignment vertical="center"/>
    </xf>
    <xf numFmtId="180" fontId="25" fillId="0" borderId="12" xfId="152" applyNumberFormat="1" applyFont="1" applyFill="1" applyBorder="1">
      <alignment vertical="center"/>
    </xf>
    <xf numFmtId="14" fontId="23" fillId="0" borderId="12" xfId="152" applyNumberFormat="1" applyBorder="1">
      <alignment vertical="center"/>
    </xf>
    <xf numFmtId="177" fontId="23" fillId="0" borderId="1" xfId="152" applyNumberFormat="1" applyFill="1" applyBorder="1">
      <alignment vertical="center"/>
    </xf>
    <xf numFmtId="204" fontId="23" fillId="0" borderId="12" xfId="152" applyNumberFormat="1" applyBorder="1">
      <alignment vertical="center"/>
    </xf>
    <xf numFmtId="0" fontId="23" fillId="0" borderId="0" xfId="152" applyFont="1" applyFill="1" applyBorder="1">
      <alignment vertical="center"/>
    </xf>
    <xf numFmtId="0" fontId="25" fillId="0" borderId="12" xfId="152" applyFont="1" applyFill="1" applyBorder="1">
      <alignment vertical="center"/>
    </xf>
    <xf numFmtId="0" fontId="23" fillId="0" borderId="11" xfId="152" applyFont="1" applyFill="1" applyBorder="1" applyAlignment="1">
      <alignment horizontal="left" vertical="center" indent="1"/>
    </xf>
    <xf numFmtId="177" fontId="23" fillId="0" borderId="0" xfId="152" applyNumberFormat="1" applyFont="1" applyFill="1" applyBorder="1">
      <alignment vertical="center"/>
    </xf>
    <xf numFmtId="180" fontId="23" fillId="0" borderId="0" xfId="152" applyNumberFormat="1" applyFont="1" applyFill="1" applyBorder="1">
      <alignment vertical="center"/>
    </xf>
    <xf numFmtId="180" fontId="23" fillId="0" borderId="12" xfId="152" applyNumberFormat="1" applyFont="1" applyFill="1" applyBorder="1">
      <alignment vertical="center"/>
    </xf>
    <xf numFmtId="179" fontId="23" fillId="0" borderId="12" xfId="152" applyNumberFormat="1" applyFill="1" applyBorder="1">
      <alignment vertical="center"/>
    </xf>
    <xf numFmtId="205" fontId="25" fillId="0" borderId="0" xfId="152" applyNumberFormat="1" applyFont="1" applyBorder="1" applyAlignment="1">
      <alignment horizontal="center" vertical="center"/>
    </xf>
    <xf numFmtId="205" fontId="25" fillId="0" borderId="12" xfId="152" applyNumberFormat="1" applyFont="1" applyBorder="1" applyAlignment="1">
      <alignment horizontal="center" vertical="center"/>
    </xf>
    <xf numFmtId="0" fontId="34" fillId="0" borderId="18" xfId="152" applyFont="1" applyBorder="1" applyAlignment="1">
      <alignment vertical="center"/>
    </xf>
    <xf numFmtId="0" fontId="25" fillId="0" borderId="2" xfId="152" applyFont="1" applyFill="1" applyBorder="1" applyAlignment="1">
      <alignment horizontal="center" vertical="center"/>
    </xf>
    <xf numFmtId="181" fontId="25" fillId="0" borderId="0" xfId="152" applyNumberFormat="1" applyFont="1" applyBorder="1">
      <alignment vertical="center"/>
    </xf>
    <xf numFmtId="176" fontId="23" fillId="0" borderId="0" xfId="152" applyNumberFormat="1" applyBorder="1">
      <alignment vertical="center"/>
    </xf>
    <xf numFmtId="180" fontId="23" fillId="0" borderId="0" xfId="152" applyNumberFormat="1" applyFill="1" applyBorder="1">
      <alignment vertical="center"/>
    </xf>
    <xf numFmtId="183" fontId="23" fillId="0" borderId="12" xfId="152" applyNumberFormat="1" applyBorder="1">
      <alignment vertical="center"/>
    </xf>
    <xf numFmtId="0" fontId="25" fillId="0" borderId="11" xfId="152" applyFont="1" applyBorder="1" applyAlignment="1">
      <alignment horizontal="left" vertical="center" indent="1"/>
    </xf>
    <xf numFmtId="0" fontId="23" fillId="0" borderId="11" xfId="152" applyFill="1" applyBorder="1">
      <alignment vertical="center"/>
    </xf>
    <xf numFmtId="181" fontId="25" fillId="0" borderId="0" xfId="152" applyNumberFormat="1" applyFont="1" applyFill="1" applyBorder="1">
      <alignment vertical="center"/>
    </xf>
    <xf numFmtId="177" fontId="25" fillId="0" borderId="0" xfId="152" applyNumberFormat="1" applyFont="1" applyFill="1" applyBorder="1">
      <alignment vertical="center"/>
    </xf>
    <xf numFmtId="180" fontId="23" fillId="0" borderId="0" xfId="152" applyNumberFormat="1" applyBorder="1">
      <alignment vertical="center"/>
    </xf>
    <xf numFmtId="176" fontId="25" fillId="0" borderId="2" xfId="152" applyNumberFormat="1" applyFont="1" applyBorder="1">
      <alignment vertical="center"/>
    </xf>
    <xf numFmtId="0" fontId="23" fillId="0" borderId="11" xfId="152" applyBorder="1" applyAlignment="1">
      <alignment horizontal="left" vertical="center" indent="1"/>
    </xf>
    <xf numFmtId="0" fontId="23" fillId="0" borderId="11" xfId="152" applyFont="1" applyFill="1" applyBorder="1">
      <alignment vertical="center"/>
    </xf>
    <xf numFmtId="0" fontId="23" fillId="0" borderId="17" xfId="152" applyBorder="1">
      <alignment vertical="center"/>
    </xf>
    <xf numFmtId="0" fontId="23" fillId="0" borderId="16" xfId="152" applyBorder="1">
      <alignment vertical="center"/>
    </xf>
    <xf numFmtId="0" fontId="26" fillId="0" borderId="14" xfId="152" applyFont="1" applyBorder="1">
      <alignment vertical="center"/>
    </xf>
    <xf numFmtId="177" fontId="26" fillId="0" borderId="12" xfId="152" applyNumberFormat="1" applyFont="1" applyBorder="1">
      <alignment vertical="center"/>
    </xf>
    <xf numFmtId="0" fontId="25" fillId="0" borderId="0" xfId="152" applyFont="1" applyFill="1" applyBorder="1" applyAlignment="1">
      <alignment horizontal="right" vertical="center"/>
    </xf>
    <xf numFmtId="0" fontId="26" fillId="0" borderId="18" xfId="152" applyFont="1" applyFill="1" applyBorder="1">
      <alignment vertical="center"/>
    </xf>
    <xf numFmtId="0" fontId="26" fillId="0" borderId="2" xfId="152" applyFont="1" applyBorder="1">
      <alignment vertical="center"/>
    </xf>
    <xf numFmtId="0" fontId="26" fillId="0" borderId="2" xfId="152" applyFont="1" applyFill="1" applyBorder="1">
      <alignment vertical="center"/>
    </xf>
    <xf numFmtId="0" fontId="25" fillId="0" borderId="14" xfId="152" applyFont="1" applyBorder="1">
      <alignment vertical="center"/>
    </xf>
    <xf numFmtId="180" fontId="23" fillId="0" borderId="12" xfId="152" applyNumberFormat="1" applyFill="1" applyBorder="1">
      <alignment vertical="center"/>
    </xf>
    <xf numFmtId="0" fontId="23" fillId="0" borderId="1" xfId="152" applyBorder="1" applyAlignment="1">
      <alignment horizontal="center" vertical="center"/>
    </xf>
    <xf numFmtId="0" fontId="23" fillId="0" borderId="16" xfId="152" applyBorder="1" applyAlignment="1">
      <alignment horizontal="center" vertical="center"/>
    </xf>
    <xf numFmtId="180" fontId="23" fillId="0" borderId="1" xfId="152" applyNumberFormat="1" applyFill="1" applyBorder="1">
      <alignment vertical="center"/>
    </xf>
    <xf numFmtId="177" fontId="31" fillId="0" borderId="0" xfId="152" applyNumberFormat="1" applyFont="1" applyBorder="1">
      <alignment vertical="center"/>
    </xf>
    <xf numFmtId="0" fontId="23" fillId="0" borderId="0" xfId="152" applyBorder="1" applyAlignment="1">
      <alignment horizontal="left" vertical="center" indent="1"/>
    </xf>
    <xf numFmtId="0" fontId="25" fillId="0" borderId="0" xfId="152" applyFont="1" applyFill="1">
      <alignment vertical="center"/>
    </xf>
    <xf numFmtId="205" fontId="25" fillId="0" borderId="11" xfId="152" applyNumberFormat="1" applyFont="1" applyFill="1" applyBorder="1">
      <alignment vertical="center"/>
    </xf>
    <xf numFmtId="0" fontId="26" fillId="0" borderId="18" xfId="152" applyFont="1" applyBorder="1">
      <alignment vertical="center"/>
    </xf>
    <xf numFmtId="180" fontId="23" fillId="0" borderId="12" xfId="152" applyNumberFormat="1" applyBorder="1">
      <alignment vertical="center"/>
    </xf>
    <xf numFmtId="0" fontId="23" fillId="0" borderId="3" xfId="152" applyBorder="1" applyAlignment="1">
      <alignment horizontal="right" vertical="center"/>
    </xf>
    <xf numFmtId="0" fontId="23" fillId="0" borderId="15" xfId="152" applyBorder="1">
      <alignment vertical="center"/>
    </xf>
    <xf numFmtId="0" fontId="23" fillId="0" borderId="17" xfId="152" applyBorder="1" applyAlignment="1">
      <alignment horizontal="center" vertical="center"/>
    </xf>
    <xf numFmtId="0" fontId="23" fillId="0" borderId="11" xfId="152" quotePrefix="1" applyBorder="1" applyAlignment="1">
      <alignment horizontal="left" vertical="center" indent="2"/>
    </xf>
    <xf numFmtId="177" fontId="23" fillId="0" borderId="12" xfId="152" applyNumberFormat="1" applyBorder="1" applyAlignment="1">
      <alignment horizontal="center" vertical="center"/>
    </xf>
    <xf numFmtId="0" fontId="23" fillId="0" borderId="17" xfId="152" quotePrefix="1" applyBorder="1" applyAlignment="1">
      <alignment horizontal="left" vertical="center" indent="2"/>
    </xf>
    <xf numFmtId="0" fontId="23" fillId="0" borderId="1" xfId="152" applyBorder="1" applyAlignment="1">
      <alignment horizontal="right" vertical="center"/>
    </xf>
    <xf numFmtId="177" fontId="23" fillId="0" borderId="16" xfId="152" applyNumberFormat="1" applyBorder="1" applyAlignment="1">
      <alignment horizontal="center" vertical="center"/>
    </xf>
    <xf numFmtId="0" fontId="23" fillId="0" borderId="0" xfId="152" applyBorder="1" applyAlignment="1">
      <alignment horizontal="center" vertical="center"/>
    </xf>
    <xf numFmtId="0" fontId="23" fillId="0" borderId="22" xfId="152" applyBorder="1">
      <alignment vertical="center"/>
    </xf>
    <xf numFmtId="0" fontId="23" fillId="0" borderId="23" xfId="152" applyBorder="1">
      <alignment vertical="center"/>
    </xf>
    <xf numFmtId="0" fontId="23" fillId="0" borderId="24" xfId="152" applyBorder="1">
      <alignment vertical="center"/>
    </xf>
    <xf numFmtId="177" fontId="23" fillId="0" borderId="0" xfId="152" applyNumberFormat="1" applyFont="1" applyBorder="1" applyProtection="1">
      <alignment vertical="center"/>
    </xf>
    <xf numFmtId="0" fontId="23" fillId="0" borderId="0" xfId="152" applyFont="1" applyProtection="1">
      <alignment vertical="center"/>
    </xf>
    <xf numFmtId="0" fontId="23" fillId="0" borderId="0" xfId="152" applyFont="1" applyAlignment="1" applyProtection="1">
      <alignment horizontal="right" vertical="center"/>
    </xf>
    <xf numFmtId="0" fontId="23" fillId="0" borderId="0" xfId="152" applyFont="1" applyBorder="1" applyAlignment="1" applyProtection="1">
      <alignment horizontal="left" vertical="center" indent="1"/>
    </xf>
    <xf numFmtId="0" fontId="23" fillId="0" borderId="0" xfId="152" applyProtection="1">
      <alignment vertical="center"/>
    </xf>
    <xf numFmtId="0" fontId="23" fillId="0" borderId="0" xfId="152" applyFont="1" applyBorder="1" applyProtection="1">
      <alignment vertical="center"/>
    </xf>
    <xf numFmtId="176" fontId="23" fillId="0" borderId="0" xfId="152" applyNumberFormat="1" applyFont="1" applyBorder="1" applyProtection="1">
      <alignment vertical="center"/>
    </xf>
    <xf numFmtId="0" fontId="23" fillId="0" borderId="1" xfId="152" applyFont="1" applyBorder="1" applyProtection="1">
      <alignment vertical="center"/>
    </xf>
    <xf numFmtId="177" fontId="23" fillId="0" borderId="0" xfId="152" applyNumberFormat="1" applyFont="1" applyProtection="1">
      <alignment vertical="center"/>
    </xf>
    <xf numFmtId="0" fontId="23" fillId="0" borderId="0" xfId="152" applyFont="1" applyBorder="1" applyAlignment="1" applyProtection="1">
      <alignment horizontal="right" vertical="center"/>
    </xf>
    <xf numFmtId="0" fontId="23" fillId="0" borderId="1" xfId="152" applyFont="1" applyBorder="1" applyAlignment="1" applyProtection="1">
      <alignment horizontal="right" vertical="center"/>
    </xf>
    <xf numFmtId="177" fontId="23" fillId="0" borderId="1" xfId="152" applyNumberFormat="1" applyFont="1" applyBorder="1" applyProtection="1">
      <alignment vertical="center"/>
    </xf>
    <xf numFmtId="0" fontId="23" fillId="0" borderId="0" xfId="152" applyFont="1" applyFill="1" applyBorder="1" applyAlignment="1" applyProtection="1">
      <alignment horizontal="right" vertical="center"/>
    </xf>
    <xf numFmtId="0" fontId="23" fillId="0" borderId="1" xfId="152" applyFont="1" applyBorder="1" applyAlignment="1" applyProtection="1">
      <alignment horizontal="left" vertical="center" indent="1"/>
    </xf>
    <xf numFmtId="0" fontId="23" fillId="11" borderId="0" xfId="152" applyFont="1" applyFill="1" applyBorder="1" applyProtection="1">
      <alignment vertical="center"/>
    </xf>
    <xf numFmtId="0" fontId="25" fillId="0" borderId="0" xfId="152" applyFont="1" applyAlignment="1" applyProtection="1">
      <alignment horizontal="left" vertical="center" indent="1"/>
    </xf>
    <xf numFmtId="0" fontId="26" fillId="0" borderId="0" xfId="152" applyFont="1" applyProtection="1">
      <alignment vertical="center"/>
    </xf>
    <xf numFmtId="0" fontId="25" fillId="0" borderId="1" xfId="152" applyFont="1" applyBorder="1" applyAlignment="1" applyProtection="1">
      <alignment horizontal="left" vertical="center" indent="1"/>
    </xf>
    <xf numFmtId="0" fontId="26" fillId="0" borderId="1" xfId="152" applyFont="1" applyBorder="1" applyProtection="1">
      <alignment vertical="center"/>
    </xf>
    <xf numFmtId="177" fontId="23" fillId="0" borderId="1" xfId="152" applyNumberFormat="1" applyFont="1" applyFill="1" applyBorder="1" applyProtection="1">
      <alignment vertical="center"/>
    </xf>
    <xf numFmtId="177" fontId="25" fillId="0" borderId="1" xfId="152" applyNumberFormat="1" applyFont="1" applyBorder="1" applyProtection="1">
      <alignment vertical="center"/>
    </xf>
    <xf numFmtId="0" fontId="23" fillId="11" borderId="0" xfId="152" applyFont="1" applyFill="1" applyProtection="1">
      <alignment vertical="center"/>
    </xf>
    <xf numFmtId="0" fontId="26" fillId="0" borderId="0" xfId="152" applyFont="1" applyFill="1" applyBorder="1" applyProtection="1">
      <alignment vertical="center"/>
    </xf>
    <xf numFmtId="177" fontId="26" fillId="0" borderId="0" xfId="152" applyNumberFormat="1" applyFont="1" applyProtection="1">
      <alignment vertical="center"/>
    </xf>
    <xf numFmtId="0" fontId="23" fillId="0" borderId="0" xfId="152" applyFont="1" applyFill="1" applyProtection="1">
      <alignment vertical="center"/>
    </xf>
    <xf numFmtId="0" fontId="23" fillId="0" borderId="0" xfId="152" applyFont="1" applyFill="1" applyAlignment="1" applyProtection="1">
      <alignment horizontal="center" vertical="center"/>
    </xf>
    <xf numFmtId="180" fontId="23" fillId="0" borderId="0" xfId="152" applyNumberFormat="1" applyFont="1" applyProtection="1">
      <alignment vertical="center"/>
    </xf>
    <xf numFmtId="179" fontId="23" fillId="0" borderId="0" xfId="152" applyNumberFormat="1" applyFont="1" applyFill="1" applyProtection="1">
      <alignment vertical="center"/>
    </xf>
    <xf numFmtId="177" fontId="23" fillId="0" borderId="0" xfId="152" applyNumberFormat="1" applyFont="1" applyFill="1" applyProtection="1">
      <alignment vertical="center"/>
    </xf>
    <xf numFmtId="14" fontId="23" fillId="0" borderId="0" xfId="152" applyNumberFormat="1" applyFont="1" applyFill="1" applyProtection="1">
      <alignment vertical="center"/>
    </xf>
    <xf numFmtId="204" fontId="23" fillId="0" borderId="0" xfId="152" applyNumberFormat="1" applyFont="1" applyFill="1" applyProtection="1">
      <alignment vertical="center"/>
    </xf>
    <xf numFmtId="176" fontId="23" fillId="0" borderId="0" xfId="152" applyNumberFormat="1" applyFont="1" applyFill="1" applyProtection="1">
      <alignment vertical="center"/>
    </xf>
    <xf numFmtId="180" fontId="25" fillId="0" borderId="0" xfId="152" applyNumberFormat="1" applyFont="1" applyFill="1" applyBorder="1">
      <alignment vertical="center"/>
    </xf>
    <xf numFmtId="0" fontId="25" fillId="0" borderId="1" xfId="152" applyFont="1" applyFill="1" applyBorder="1" applyAlignment="1">
      <alignment horizontal="center" vertical="center"/>
    </xf>
    <xf numFmtId="0" fontId="25" fillId="0" borderId="4" xfId="152" applyFont="1" applyFill="1" applyBorder="1" applyAlignment="1">
      <alignment horizontal="center" vertical="center"/>
    </xf>
    <xf numFmtId="0" fontId="25" fillId="0" borderId="16" xfId="152" applyFont="1" applyFill="1" applyBorder="1" applyAlignment="1">
      <alignment horizontal="center" vertical="center"/>
    </xf>
    <xf numFmtId="180" fontId="25" fillId="0" borderId="3" xfId="152" applyNumberFormat="1" applyFont="1" applyFill="1" applyBorder="1" applyAlignment="1">
      <alignment vertical="center"/>
    </xf>
    <xf numFmtId="183" fontId="25" fillId="0" borderId="3" xfId="152" applyNumberFormat="1" applyFont="1" applyFill="1" applyBorder="1" applyAlignment="1">
      <alignment vertical="center"/>
    </xf>
    <xf numFmtId="180" fontId="25" fillId="0" borderId="0" xfId="152" applyNumberFormat="1" applyFont="1" applyFill="1" applyBorder="1" applyAlignment="1">
      <alignment vertical="center"/>
    </xf>
    <xf numFmtId="0" fontId="26" fillId="0" borderId="18" xfId="152" applyFont="1" applyFill="1" applyBorder="1" applyAlignment="1">
      <alignment vertical="center"/>
    </xf>
    <xf numFmtId="0" fontId="23" fillId="0" borderId="2" xfId="152" applyFill="1" applyBorder="1">
      <alignment vertical="center"/>
    </xf>
    <xf numFmtId="0" fontId="23" fillId="0" borderId="1" xfId="152" applyFill="1" applyBorder="1" applyAlignment="1">
      <alignment horizontal="center" vertical="center"/>
    </xf>
    <xf numFmtId="0" fontId="25" fillId="0" borderId="17" xfId="152" applyFont="1" applyBorder="1">
      <alignment vertical="center"/>
    </xf>
    <xf numFmtId="10" fontId="25" fillId="0" borderId="0" xfId="152" applyNumberFormat="1" applyFont="1" applyBorder="1">
      <alignment vertical="center"/>
    </xf>
    <xf numFmtId="0" fontId="32" fillId="0" borderId="0" xfId="152" applyFont="1">
      <alignment vertical="center"/>
    </xf>
    <xf numFmtId="203" fontId="25" fillId="0" borderId="0" xfId="152" applyNumberFormat="1" applyFont="1" applyBorder="1" applyAlignment="1">
      <alignment vertical="center"/>
    </xf>
    <xf numFmtId="0" fontId="26" fillId="0" borderId="0" xfId="152" applyFont="1" applyBorder="1">
      <alignment vertical="center"/>
    </xf>
    <xf numFmtId="0" fontId="37" fillId="0" borderId="0" xfId="152" applyFont="1" applyBorder="1">
      <alignment vertical="center"/>
    </xf>
    <xf numFmtId="0" fontId="37" fillId="0" borderId="0" xfId="152" quotePrefix="1" applyFont="1" applyBorder="1">
      <alignment vertical="center"/>
    </xf>
    <xf numFmtId="0" fontId="38" fillId="0" borderId="17" xfId="152" applyFont="1" applyBorder="1">
      <alignment vertical="center"/>
    </xf>
    <xf numFmtId="177" fontId="38" fillId="0" borderId="1" xfId="152" applyNumberFormat="1" applyFont="1" applyBorder="1">
      <alignment vertical="center"/>
    </xf>
    <xf numFmtId="0" fontId="38" fillId="0" borderId="1" xfId="152" applyFont="1" applyBorder="1">
      <alignment vertical="center"/>
    </xf>
    <xf numFmtId="176" fontId="38" fillId="0" borderId="1" xfId="152" applyNumberFormat="1" applyFont="1" applyBorder="1">
      <alignment vertical="center"/>
    </xf>
    <xf numFmtId="180" fontId="38" fillId="0" borderId="1" xfId="152" applyNumberFormat="1" applyFont="1" applyBorder="1">
      <alignment vertical="center"/>
    </xf>
    <xf numFmtId="183" fontId="38" fillId="0" borderId="16" xfId="152" applyNumberFormat="1" applyFont="1" applyBorder="1">
      <alignment vertical="center"/>
    </xf>
    <xf numFmtId="0" fontId="25" fillId="0" borderId="22" xfId="152" applyFont="1" applyBorder="1">
      <alignment vertical="center"/>
    </xf>
    <xf numFmtId="0" fontId="25" fillId="0" borderId="23" xfId="152" applyFont="1" applyBorder="1">
      <alignment vertical="center"/>
    </xf>
    <xf numFmtId="0" fontId="25" fillId="0" borderId="24" xfId="152" applyFont="1" applyBorder="1">
      <alignment vertical="center"/>
    </xf>
    <xf numFmtId="0" fontId="23" fillId="0" borderId="11" xfId="152" applyFill="1" applyBorder="1" applyAlignment="1">
      <alignment horizontal="left" vertical="center" indent="1"/>
    </xf>
    <xf numFmtId="180" fontId="25" fillId="0" borderId="1" xfId="152" applyNumberFormat="1" applyFont="1" applyFill="1" applyBorder="1">
      <alignment vertical="center"/>
    </xf>
    <xf numFmtId="180" fontId="25" fillId="0" borderId="16" xfId="152" applyNumberFormat="1" applyFont="1" applyFill="1" applyBorder="1">
      <alignment vertical="center"/>
    </xf>
    <xf numFmtId="14" fontId="23" fillId="0" borderId="12" xfId="152" applyNumberFormat="1" applyFill="1" applyBorder="1" applyAlignment="1">
      <alignment horizontal="center" vertical="center"/>
    </xf>
    <xf numFmtId="204" fontId="23" fillId="0" borderId="12" xfId="152" applyNumberFormat="1" applyFill="1" applyBorder="1">
      <alignment vertical="center"/>
    </xf>
    <xf numFmtId="209" fontId="0" fillId="0" borderId="0" xfId="0" applyNumberFormat="1">
      <alignment vertical="center"/>
    </xf>
    <xf numFmtId="181" fontId="25" fillId="2" borderId="0" xfId="152" applyNumberFormat="1" applyFont="1" applyFill="1" applyBorder="1">
      <alignment vertical="center"/>
    </xf>
    <xf numFmtId="182" fontId="32" fillId="0" borderId="0" xfId="152" applyNumberFormat="1" applyFont="1" applyBorder="1">
      <alignment vertical="center"/>
    </xf>
    <xf numFmtId="177" fontId="25" fillId="12" borderId="0" xfId="152" applyNumberFormat="1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212" fontId="25" fillId="0" borderId="0" xfId="152" applyNumberFormat="1" applyFont="1" applyBorder="1">
      <alignment vertical="center"/>
    </xf>
    <xf numFmtId="182" fontId="31" fillId="0" borderId="1" xfId="152" applyNumberFormat="1" applyFont="1" applyBorder="1">
      <alignment vertical="center"/>
    </xf>
    <xf numFmtId="179" fontId="0" fillId="0" borderId="0" xfId="0" applyNumberFormat="1">
      <alignment vertical="center"/>
    </xf>
    <xf numFmtId="203" fontId="0" fillId="0" borderId="0" xfId="0" applyNumberFormat="1">
      <alignment vertical="center"/>
    </xf>
    <xf numFmtId="0" fontId="45" fillId="0" borderId="0" xfId="152" applyFont="1" applyBorder="1">
      <alignment vertical="center"/>
    </xf>
    <xf numFmtId="0" fontId="25" fillId="0" borderId="0" xfId="152" quotePrefix="1" applyFont="1" applyProtection="1">
      <alignment vertical="center"/>
    </xf>
    <xf numFmtId="0" fontId="30" fillId="0" borderId="0" xfId="153" applyFont="1" applyFill="1" applyBorder="1" applyAlignment="1" applyProtection="1">
      <alignment vertical="center"/>
    </xf>
    <xf numFmtId="0" fontId="23" fillId="0" borderId="0" xfId="152" applyFont="1" applyFill="1" applyBorder="1" applyAlignment="1" applyProtection="1">
      <alignment vertical="center"/>
    </xf>
    <xf numFmtId="177" fontId="23" fillId="0" borderId="0" xfId="152" applyNumberFormat="1" applyFont="1" applyFill="1" applyBorder="1" applyAlignment="1" applyProtection="1">
      <alignment vertical="center"/>
    </xf>
    <xf numFmtId="0" fontId="30" fillId="0" borderId="1" xfId="153" applyFont="1" applyFill="1" applyBorder="1" applyAlignment="1" applyProtection="1">
      <alignment vertical="center"/>
    </xf>
    <xf numFmtId="0" fontId="23" fillId="0" borderId="1" xfId="152" applyFont="1" applyFill="1" applyBorder="1" applyAlignment="1" applyProtection="1">
      <alignment vertical="center"/>
    </xf>
    <xf numFmtId="177" fontId="23" fillId="0" borderId="1" xfId="152" applyNumberFormat="1" applyFont="1" applyFill="1" applyBorder="1" applyAlignment="1" applyProtection="1">
      <alignment vertical="center"/>
    </xf>
    <xf numFmtId="0" fontId="33" fillId="0" borderId="0" xfId="153" applyFont="1" applyFill="1" applyBorder="1" applyAlignment="1" applyProtection="1">
      <alignment vertical="center"/>
    </xf>
    <xf numFmtId="0" fontId="23" fillId="0" borderId="0" xfId="152" applyFont="1" applyFill="1" applyBorder="1" applyProtection="1">
      <alignment vertical="center"/>
    </xf>
    <xf numFmtId="177" fontId="23" fillId="0" borderId="0" xfId="152" applyNumberFormat="1" applyFont="1" applyFill="1" applyBorder="1" applyProtection="1">
      <alignment vertical="center"/>
    </xf>
    <xf numFmtId="177" fontId="26" fillId="0" borderId="0" xfId="152" applyNumberFormat="1" applyFont="1" applyFill="1" applyBorder="1" applyAlignment="1" applyProtection="1">
      <alignment vertical="center"/>
    </xf>
    <xf numFmtId="0" fontId="23" fillId="0" borderId="1" xfId="152" applyFont="1" applyFill="1" applyBorder="1" applyProtection="1">
      <alignment vertical="center"/>
    </xf>
    <xf numFmtId="0" fontId="33" fillId="0" borderId="0" xfId="153" applyFont="1" applyAlignment="1" applyProtection="1">
      <alignment vertical="center"/>
    </xf>
    <xf numFmtId="0" fontId="30" fillId="0" borderId="1" xfId="153" applyFont="1" applyBorder="1" applyAlignment="1" applyProtection="1">
      <alignment horizontal="left" vertical="center" indent="1"/>
    </xf>
    <xf numFmtId="177" fontId="23" fillId="2" borderId="1" xfId="152" applyNumberFormat="1" applyFont="1" applyFill="1" applyBorder="1" applyProtection="1">
      <alignment vertical="center"/>
    </xf>
    <xf numFmtId="0" fontId="23" fillId="0" borderId="0" xfId="152" applyFont="1" applyAlignment="1" applyProtection="1">
      <alignment horizontal="left" vertical="center" indent="1"/>
    </xf>
    <xf numFmtId="0" fontId="23" fillId="0" borderId="3" xfId="152" applyFont="1" applyBorder="1" applyProtection="1">
      <alignment vertical="center"/>
    </xf>
    <xf numFmtId="177" fontId="23" fillId="0" borderId="3" xfId="152" applyNumberFormat="1" applyFont="1" applyBorder="1" applyProtection="1">
      <alignment vertical="center"/>
    </xf>
    <xf numFmtId="0" fontId="23" fillId="0" borderId="0" xfId="152" applyFont="1" applyBorder="1" applyAlignment="1" applyProtection="1">
      <alignment vertical="center"/>
    </xf>
    <xf numFmtId="0" fontId="23" fillId="0" borderId="1" xfId="152" applyFont="1" applyBorder="1" applyAlignment="1" applyProtection="1">
      <alignment vertical="center"/>
    </xf>
    <xf numFmtId="0" fontId="26" fillId="0" borderId="0" xfId="152" applyFont="1" applyBorder="1" applyAlignment="1" applyProtection="1">
      <alignment vertical="center"/>
    </xf>
    <xf numFmtId="177" fontId="25" fillId="0" borderId="0" xfId="152" applyNumberFormat="1" applyFont="1" applyFill="1" applyAlignment="1" applyProtection="1">
      <alignment horizontal="right" vertical="center"/>
    </xf>
    <xf numFmtId="0" fontId="26" fillId="0" borderId="0" xfId="152" applyFont="1" applyAlignment="1" applyProtection="1">
      <alignment horizontal="right" vertical="center"/>
    </xf>
    <xf numFmtId="0" fontId="23" fillId="0" borderId="0" xfId="152" applyFont="1" applyAlignment="1" applyProtection="1">
      <alignment horizontal="center" vertical="center"/>
    </xf>
    <xf numFmtId="0" fontId="25" fillId="0" borderId="1" xfId="152" applyFont="1" applyBorder="1" applyAlignment="1" applyProtection="1">
      <alignment horizontal="right" vertical="center"/>
    </xf>
    <xf numFmtId="183" fontId="25" fillId="0" borderId="1" xfId="152" applyNumberFormat="1" applyFont="1" applyFill="1" applyBorder="1">
      <alignment vertical="center"/>
    </xf>
    <xf numFmtId="183" fontId="25" fillId="0" borderId="16" xfId="152" applyNumberFormat="1" applyFont="1" applyFill="1" applyBorder="1">
      <alignment vertical="center"/>
    </xf>
    <xf numFmtId="0" fontId="25" fillId="0" borderId="0" xfId="152" applyFont="1" applyAlignment="1" applyProtection="1">
      <alignment vertical="center"/>
    </xf>
    <xf numFmtId="0" fontId="35" fillId="0" borderId="0" xfId="0" applyFont="1" applyAlignment="1" applyProtection="1">
      <alignment horizontal="left" vertical="center" indent="3"/>
    </xf>
    <xf numFmtId="0" fontId="35" fillId="0" borderId="0" xfId="0" applyFont="1" applyAlignment="1" applyProtection="1">
      <alignment vertical="center"/>
    </xf>
    <xf numFmtId="177" fontId="35" fillId="0" borderId="0" xfId="0" applyNumberFormat="1" applyFont="1" applyAlignment="1" applyProtection="1">
      <alignment vertical="center"/>
    </xf>
    <xf numFmtId="0" fontId="35" fillId="0" borderId="0" xfId="0" applyFont="1" applyFill="1" applyBorder="1" applyAlignment="1" applyProtection="1">
      <alignment horizontal="left" vertical="center" indent="3"/>
    </xf>
    <xf numFmtId="0" fontId="35" fillId="0" borderId="0" xfId="0" applyFont="1" applyFill="1" applyBorder="1" applyAlignment="1" applyProtection="1">
      <alignment vertical="center"/>
    </xf>
    <xf numFmtId="177" fontId="35" fillId="0" borderId="0" xfId="0" applyNumberFormat="1" applyFont="1" applyFill="1" applyBorder="1" applyAlignment="1" applyProtection="1">
      <alignment vertical="center"/>
    </xf>
    <xf numFmtId="0" fontId="35" fillId="0" borderId="0" xfId="0" applyFont="1" applyProtection="1">
      <alignment vertical="center"/>
    </xf>
    <xf numFmtId="0" fontId="25" fillId="0" borderId="0" xfId="152" applyFont="1" applyFill="1" applyBorder="1" applyAlignment="1" applyProtection="1">
      <alignment vertical="center"/>
    </xf>
    <xf numFmtId="177" fontId="25" fillId="0" borderId="0" xfId="152" applyNumberFormat="1" applyFont="1" applyFill="1" applyBorder="1" applyAlignment="1" applyProtection="1">
      <alignment vertical="center"/>
    </xf>
    <xf numFmtId="0" fontId="35" fillId="0" borderId="0" xfId="0" applyFont="1" applyAlignment="1" applyProtection="1">
      <alignment horizontal="left" vertical="center" indent="2"/>
    </xf>
    <xf numFmtId="0" fontId="35" fillId="0" borderId="0" xfId="0" applyFont="1" applyAlignment="1" applyProtection="1">
      <alignment horizontal="left" vertical="center" indent="1"/>
    </xf>
    <xf numFmtId="0" fontId="49" fillId="0" borderId="0" xfId="0" applyFont="1">
      <alignment vertical="center"/>
    </xf>
    <xf numFmtId="0" fontId="48" fillId="0" borderId="0" xfId="152" applyFont="1" applyProtection="1">
      <alignment vertical="center"/>
    </xf>
    <xf numFmtId="177" fontId="23" fillId="0" borderId="12" xfId="152" applyNumberFormat="1" applyFont="1" applyFill="1" applyBorder="1">
      <alignment vertical="center"/>
    </xf>
    <xf numFmtId="0" fontId="51" fillId="16" borderId="0" xfId="152" applyFont="1" applyFill="1">
      <alignment vertical="center"/>
    </xf>
    <xf numFmtId="0" fontId="52" fillId="16" borderId="0" xfId="152" applyFont="1" applyFill="1">
      <alignment vertical="center"/>
    </xf>
    <xf numFmtId="0" fontId="26" fillId="17" borderId="8" xfId="152" applyFont="1" applyFill="1" applyBorder="1">
      <alignment vertical="center"/>
    </xf>
    <xf numFmtId="0" fontId="26" fillId="17" borderId="9" xfId="152" applyFont="1" applyFill="1" applyBorder="1">
      <alignment vertical="center"/>
    </xf>
    <xf numFmtId="0" fontId="25" fillId="17" borderId="9" xfId="152" applyFont="1" applyFill="1" applyBorder="1">
      <alignment vertical="center"/>
    </xf>
    <xf numFmtId="0" fontId="26" fillId="17" borderId="9" xfId="152" applyFont="1" applyFill="1" applyBorder="1" applyAlignment="1">
      <alignment horizontal="right" vertical="center"/>
    </xf>
    <xf numFmtId="197" fontId="26" fillId="17" borderId="10" xfId="152" applyNumberFormat="1" applyFont="1" applyFill="1" applyBorder="1">
      <alignment vertical="center"/>
    </xf>
    <xf numFmtId="0" fontId="26" fillId="17" borderId="18" xfId="152" applyFont="1" applyFill="1" applyBorder="1">
      <alignment vertical="center"/>
    </xf>
    <xf numFmtId="0" fontId="26" fillId="17" borderId="2" xfId="152" applyFont="1" applyFill="1" applyBorder="1">
      <alignment vertical="center"/>
    </xf>
    <xf numFmtId="0" fontId="23" fillId="17" borderId="2" xfId="152" applyFill="1" applyBorder="1">
      <alignment vertical="center"/>
    </xf>
    <xf numFmtId="0" fontId="26" fillId="17" borderId="2" xfId="152" applyFont="1" applyFill="1" applyBorder="1" applyAlignment="1">
      <alignment horizontal="right" vertical="center"/>
    </xf>
    <xf numFmtId="198" fontId="26" fillId="17" borderId="13" xfId="152" applyNumberFormat="1" applyFont="1" applyFill="1" applyBorder="1">
      <alignment vertical="center"/>
    </xf>
    <xf numFmtId="0" fontId="26" fillId="17" borderId="10" xfId="152" applyFont="1" applyFill="1" applyBorder="1" applyAlignment="1">
      <alignment horizontal="right" vertical="center"/>
    </xf>
    <xf numFmtId="0" fontId="25" fillId="17" borderId="2" xfId="152" applyFont="1" applyFill="1" applyBorder="1">
      <alignment vertical="center"/>
    </xf>
    <xf numFmtId="198" fontId="26" fillId="17" borderId="2" xfId="152" applyNumberFormat="1" applyFont="1" applyFill="1" applyBorder="1">
      <alignment vertical="center"/>
    </xf>
    <xf numFmtId="0" fontId="25" fillId="17" borderId="3" xfId="152" applyFont="1" applyFill="1" applyBorder="1">
      <alignment vertical="center"/>
    </xf>
    <xf numFmtId="0" fontId="25" fillId="17" borderId="3" xfId="152" applyFont="1" applyFill="1" applyBorder="1" applyAlignment="1">
      <alignment horizontal="center" vertical="center"/>
    </xf>
    <xf numFmtId="199" fontId="25" fillId="17" borderId="3" xfId="152" applyNumberFormat="1" applyFont="1" applyFill="1" applyBorder="1" applyAlignment="1">
      <alignment horizontal="center" vertical="center"/>
    </xf>
    <xf numFmtId="199" fontId="25" fillId="17" borderId="15" xfId="152" applyNumberFormat="1" applyFont="1" applyFill="1" applyBorder="1" applyAlignment="1">
      <alignment horizontal="center" vertical="center"/>
    </xf>
    <xf numFmtId="0" fontId="25" fillId="17" borderId="17" xfId="152" applyFont="1" applyFill="1" applyBorder="1">
      <alignment vertical="center"/>
    </xf>
    <xf numFmtId="0" fontId="25" fillId="17" borderId="1" xfId="152" applyFont="1" applyFill="1" applyBorder="1">
      <alignment vertical="center"/>
    </xf>
    <xf numFmtId="0" fontId="25" fillId="17" borderId="1" xfId="152" applyFont="1" applyFill="1" applyBorder="1" applyAlignment="1">
      <alignment horizontal="center" vertical="center"/>
    </xf>
    <xf numFmtId="14" fontId="25" fillId="17" borderId="1" xfId="152" applyNumberFormat="1" applyFont="1" applyFill="1" applyBorder="1" applyAlignment="1">
      <alignment horizontal="center" vertical="center"/>
    </xf>
    <xf numFmtId="179" fontId="25" fillId="17" borderId="1" xfId="152" applyNumberFormat="1" applyFont="1" applyFill="1" applyBorder="1" applyAlignment="1">
      <alignment horizontal="center" vertical="center"/>
    </xf>
    <xf numFmtId="179" fontId="25" fillId="17" borderId="16" xfId="152" applyNumberFormat="1" applyFont="1" applyFill="1" applyBorder="1" applyAlignment="1">
      <alignment horizontal="center" vertical="center"/>
    </xf>
    <xf numFmtId="0" fontId="25" fillId="17" borderId="10" xfId="152" applyFont="1" applyFill="1" applyBorder="1">
      <alignment vertical="center"/>
    </xf>
    <xf numFmtId="0" fontId="34" fillId="17" borderId="3" xfId="152" applyFont="1" applyFill="1" applyBorder="1">
      <alignment vertical="center"/>
    </xf>
    <xf numFmtId="0" fontId="26" fillId="18" borderId="20" xfId="152" applyFont="1" applyFill="1" applyBorder="1" applyAlignment="1">
      <alignment horizontal="center" vertical="center"/>
    </xf>
    <xf numFmtId="205" fontId="26" fillId="18" borderId="21" xfId="152" applyNumberFormat="1" applyFont="1" applyFill="1" applyBorder="1" applyAlignment="1">
      <alignment horizontal="center" vertical="center"/>
    </xf>
    <xf numFmtId="0" fontId="26" fillId="19" borderId="11" xfId="152" applyFont="1" applyFill="1" applyBorder="1">
      <alignment vertical="center"/>
    </xf>
    <xf numFmtId="0" fontId="23" fillId="17" borderId="3" xfId="152" applyFont="1" applyFill="1" applyBorder="1" applyAlignment="1" applyProtection="1">
      <alignment horizontal="center" vertical="center"/>
    </xf>
    <xf numFmtId="179" fontId="23" fillId="17" borderId="3" xfId="152" applyNumberFormat="1" applyFont="1" applyFill="1" applyBorder="1" applyAlignment="1" applyProtection="1">
      <alignment horizontal="center" vertical="center"/>
    </xf>
    <xf numFmtId="0" fontId="23" fillId="17" borderId="0" xfId="152" applyFont="1" applyFill="1" applyBorder="1" applyAlignment="1" applyProtection="1">
      <alignment horizontal="center" vertical="center"/>
    </xf>
    <xf numFmtId="202" fontId="35" fillId="17" borderId="0" xfId="152" applyNumberFormat="1" applyFont="1" applyFill="1" applyBorder="1" applyAlignment="1" applyProtection="1">
      <alignment horizontal="center" vertical="center"/>
    </xf>
    <xf numFmtId="179" fontId="25" fillId="17" borderId="0" xfId="152" applyNumberFormat="1" applyFont="1" applyFill="1" applyBorder="1" applyAlignment="1" applyProtection="1">
      <alignment horizontal="center" vertical="center"/>
    </xf>
    <xf numFmtId="206" fontId="35" fillId="17" borderId="0" xfId="152" applyNumberFormat="1" applyFont="1" applyFill="1" applyBorder="1" applyAlignment="1" applyProtection="1">
      <alignment horizontal="center" vertical="center"/>
    </xf>
    <xf numFmtId="178" fontId="35" fillId="17" borderId="0" xfId="152" applyNumberFormat="1" applyFont="1" applyFill="1" applyBorder="1" applyAlignment="1" applyProtection="1">
      <alignment horizontal="center" vertical="center"/>
    </xf>
    <xf numFmtId="207" fontId="35" fillId="17" borderId="0" xfId="152" applyNumberFormat="1" applyFont="1" applyFill="1" applyBorder="1" applyAlignment="1" applyProtection="1">
      <alignment horizontal="center" vertical="center"/>
    </xf>
    <xf numFmtId="208" fontId="35" fillId="17" borderId="0" xfId="152" applyNumberFormat="1" applyFont="1" applyFill="1" applyBorder="1" applyAlignment="1" applyProtection="1">
      <alignment horizontal="center" vertical="center"/>
    </xf>
    <xf numFmtId="0" fontId="25" fillId="17" borderId="1" xfId="152" applyFont="1" applyFill="1" applyBorder="1" applyAlignment="1" applyProtection="1">
      <alignment horizontal="center" vertical="center"/>
    </xf>
    <xf numFmtId="200" fontId="35" fillId="17" borderId="1" xfId="152" applyNumberFormat="1" applyFont="1" applyFill="1" applyBorder="1" applyAlignment="1" applyProtection="1">
      <alignment horizontal="center" vertical="center"/>
    </xf>
    <xf numFmtId="0" fontId="25" fillId="17" borderId="0" xfId="152" applyFont="1" applyFill="1" applyBorder="1" applyAlignment="1" applyProtection="1">
      <alignment horizontal="center" vertical="center"/>
    </xf>
    <xf numFmtId="0" fontId="25" fillId="17" borderId="0" xfId="152" applyFont="1" applyFill="1" applyBorder="1" applyAlignment="1" applyProtection="1">
      <alignment horizontal="right" vertical="center"/>
    </xf>
    <xf numFmtId="200" fontId="35" fillId="17" borderId="0" xfId="152" applyNumberFormat="1" applyFont="1" applyFill="1" applyBorder="1" applyAlignment="1" applyProtection="1">
      <alignment horizontal="center" vertical="center"/>
    </xf>
    <xf numFmtId="199" fontId="35" fillId="17" borderId="0" xfId="152" applyNumberFormat="1" applyFont="1" applyFill="1" applyBorder="1" applyAlignment="1" applyProtection="1">
      <alignment horizontal="center" vertical="center"/>
    </xf>
    <xf numFmtId="0" fontId="48" fillId="17" borderId="0" xfId="152" applyFont="1" applyFill="1" applyBorder="1" applyAlignment="1" applyProtection="1">
      <alignment horizontal="right" vertical="center"/>
    </xf>
    <xf numFmtId="203" fontId="35" fillId="17" borderId="0" xfId="152" applyNumberFormat="1" applyFont="1" applyFill="1" applyBorder="1" applyAlignment="1" applyProtection="1">
      <alignment horizontal="center" vertical="center"/>
    </xf>
    <xf numFmtId="179" fontId="35" fillId="17" borderId="0" xfId="152" applyNumberFormat="1" applyFont="1" applyFill="1" applyBorder="1" applyAlignment="1" applyProtection="1">
      <alignment horizontal="center" vertical="center"/>
    </xf>
    <xf numFmtId="0" fontId="25" fillId="17" borderId="1" xfId="152" applyFont="1" applyFill="1" applyBorder="1" applyAlignment="1" applyProtection="1">
      <alignment horizontal="right" vertical="center"/>
    </xf>
    <xf numFmtId="179" fontId="35" fillId="17" borderId="1" xfId="152" applyNumberFormat="1" applyFont="1" applyFill="1" applyBorder="1" applyAlignment="1" applyProtection="1">
      <alignment horizontal="center" vertical="center"/>
    </xf>
    <xf numFmtId="0" fontId="26" fillId="19" borderId="0" xfId="152" applyFont="1" applyFill="1" applyProtection="1">
      <alignment vertical="center"/>
    </xf>
    <xf numFmtId="14" fontId="25" fillId="18" borderId="0" xfId="152" applyNumberFormat="1" applyFont="1" applyFill="1" applyBorder="1" applyAlignment="1" applyProtection="1">
      <alignment horizontal="center" vertical="center"/>
    </xf>
    <xf numFmtId="14" fontId="23" fillId="18" borderId="0" xfId="152" applyNumberFormat="1" applyFont="1" applyFill="1" applyBorder="1" applyAlignment="1" applyProtection="1">
      <alignment horizontal="center" vertical="center"/>
    </xf>
    <xf numFmtId="204" fontId="25" fillId="18" borderId="0" xfId="152" applyNumberFormat="1" applyFont="1" applyFill="1" applyBorder="1" applyAlignment="1" applyProtection="1">
      <alignment vertical="center"/>
    </xf>
    <xf numFmtId="204" fontId="25" fillId="18" borderId="1" xfId="152" applyNumberFormat="1" applyFont="1" applyFill="1" applyBorder="1" applyAlignment="1" applyProtection="1">
      <alignment vertical="center"/>
    </xf>
    <xf numFmtId="177" fontId="23" fillId="18" borderId="1" xfId="152" applyNumberFormat="1" applyFont="1" applyFill="1" applyBorder="1" applyProtection="1">
      <alignment vertical="center"/>
    </xf>
    <xf numFmtId="14" fontId="25" fillId="18" borderId="0" xfId="152" applyNumberFormat="1" applyFont="1" applyFill="1" applyAlignment="1" applyProtection="1">
      <alignment horizontal="center" vertical="center"/>
    </xf>
    <xf numFmtId="0" fontId="23" fillId="18" borderId="0" xfId="152" applyFont="1" applyFill="1" applyAlignment="1" applyProtection="1">
      <alignment horizontal="left" vertical="center" indent="1"/>
    </xf>
    <xf numFmtId="177" fontId="23" fillId="18" borderId="0" xfId="152" applyNumberFormat="1" applyFont="1" applyFill="1" applyProtection="1">
      <alignment vertical="center"/>
    </xf>
    <xf numFmtId="180" fontId="23" fillId="18" borderId="0" xfId="152" applyNumberFormat="1" applyFont="1" applyFill="1" applyProtection="1">
      <alignment vertical="center"/>
    </xf>
    <xf numFmtId="177" fontId="23" fillId="18" borderId="0" xfId="152" applyNumberFormat="1" applyFont="1" applyFill="1" applyBorder="1" applyProtection="1">
      <alignment vertical="center"/>
    </xf>
    <xf numFmtId="201" fontId="23" fillId="18" borderId="0" xfId="152" applyNumberFormat="1" applyFont="1" applyFill="1" applyProtection="1">
      <alignment vertical="center"/>
    </xf>
    <xf numFmtId="14" fontId="23" fillId="18" borderId="1" xfId="152" applyNumberFormat="1" applyFont="1" applyFill="1" applyBorder="1" applyAlignment="1" applyProtection="1">
      <alignment horizontal="center" vertical="center"/>
    </xf>
    <xf numFmtId="0" fontId="26" fillId="21" borderId="25" xfId="152" applyFont="1" applyFill="1" applyBorder="1" applyAlignment="1" applyProtection="1">
      <alignment horizontal="center" vertical="center"/>
    </xf>
    <xf numFmtId="180" fontId="26" fillId="21" borderId="26" xfId="152" applyNumberFormat="1" applyFont="1" applyFill="1" applyBorder="1" applyProtection="1">
      <alignment vertical="center"/>
    </xf>
    <xf numFmtId="0" fontId="26" fillId="21" borderId="22" xfId="152" applyFont="1" applyFill="1" applyBorder="1" applyAlignment="1" applyProtection="1">
      <alignment horizontal="center" vertical="center"/>
    </xf>
    <xf numFmtId="180" fontId="26" fillId="21" borderId="24" xfId="152" applyNumberFormat="1" applyFont="1" applyFill="1" applyBorder="1" applyAlignment="1" applyProtection="1">
      <alignment vertical="center"/>
    </xf>
    <xf numFmtId="0" fontId="26" fillId="20" borderId="1" xfId="152" applyFont="1" applyFill="1" applyBorder="1" applyProtection="1">
      <alignment vertical="center"/>
    </xf>
    <xf numFmtId="0" fontId="23" fillId="20" borderId="1" xfId="152" applyFont="1" applyFill="1" applyBorder="1" applyProtection="1">
      <alignment vertical="center"/>
    </xf>
    <xf numFmtId="177" fontId="26" fillId="20" borderId="1" xfId="152" applyNumberFormat="1" applyFont="1" applyFill="1" applyBorder="1" applyProtection="1">
      <alignment vertical="center"/>
    </xf>
    <xf numFmtId="0" fontId="26" fillId="20" borderId="2" xfId="152" applyFont="1" applyFill="1" applyBorder="1" applyProtection="1">
      <alignment vertical="center"/>
    </xf>
    <xf numFmtId="177" fontId="23" fillId="20" borderId="2" xfId="152" applyNumberFormat="1" applyFont="1" applyFill="1" applyBorder="1" applyProtection="1">
      <alignment vertical="center"/>
    </xf>
    <xf numFmtId="177" fontId="25" fillId="20" borderId="2" xfId="152" applyNumberFormat="1" applyFont="1" applyFill="1" applyBorder="1" applyProtection="1">
      <alignment vertical="center"/>
    </xf>
    <xf numFmtId="0" fontId="23" fillId="20" borderId="2" xfId="152" applyFont="1" applyFill="1" applyBorder="1" applyProtection="1">
      <alignment vertical="center"/>
    </xf>
    <xf numFmtId="0" fontId="23" fillId="20" borderId="2" xfId="152" applyFont="1" applyFill="1" applyBorder="1" applyAlignment="1" applyProtection="1">
      <alignment horizontal="right" vertical="center"/>
    </xf>
    <xf numFmtId="0" fontId="23" fillId="17" borderId="0" xfId="152" applyFont="1" applyFill="1" applyBorder="1" applyAlignment="1" applyProtection="1">
      <alignment horizontal="right" vertical="center"/>
    </xf>
    <xf numFmtId="177" fontId="25" fillId="17" borderId="0" xfId="152" applyNumberFormat="1" applyFont="1" applyFill="1" applyBorder="1" applyAlignment="1" applyProtection="1">
      <alignment horizontal="center" vertical="center"/>
    </xf>
    <xf numFmtId="0" fontId="2" fillId="0" borderId="0" xfId="166" applyFont="1" applyAlignment="1" applyProtection="1">
      <alignment horizontal="left" vertical="top"/>
    </xf>
    <xf numFmtId="37" fontId="54" fillId="0" borderId="0" xfId="166" applyNumberFormat="1" applyFont="1" applyAlignment="1" applyProtection="1">
      <alignment horizontal="right"/>
    </xf>
    <xf numFmtId="0" fontId="36" fillId="19" borderId="0" xfId="0" applyFont="1" applyFill="1" applyBorder="1" applyAlignment="1" applyProtection="1">
      <alignment vertical="center"/>
    </xf>
    <xf numFmtId="177" fontId="36" fillId="19" borderId="0" xfId="0" applyNumberFormat="1" applyFont="1" applyFill="1" applyBorder="1" applyAlignment="1" applyProtection="1">
      <alignment vertical="center"/>
    </xf>
    <xf numFmtId="0" fontId="36" fillId="20" borderId="3" xfId="0" applyFont="1" applyFill="1" applyBorder="1" applyProtection="1">
      <alignment vertical="center"/>
    </xf>
    <xf numFmtId="0" fontId="36" fillId="20" borderId="3" xfId="0" applyFont="1" applyFill="1" applyBorder="1" applyAlignment="1" applyProtection="1">
      <alignment vertical="center"/>
    </xf>
    <xf numFmtId="177" fontId="36" fillId="20" borderId="3" xfId="0" applyNumberFormat="1" applyFont="1" applyFill="1" applyBorder="1" applyAlignment="1" applyProtection="1">
      <alignment vertical="center"/>
    </xf>
    <xf numFmtId="0" fontId="36" fillId="20" borderId="3" xfId="0" applyFont="1" applyFill="1" applyBorder="1" applyAlignment="1" applyProtection="1">
      <alignment horizontal="left" vertical="center" indent="1"/>
    </xf>
    <xf numFmtId="0" fontId="35" fillId="0" borderId="0" xfId="0" applyFont="1" applyBorder="1" applyAlignment="1" applyProtection="1">
      <alignment horizontal="left" vertical="center" indent="3"/>
    </xf>
    <xf numFmtId="0" fontId="35" fillId="0" borderId="0" xfId="0" applyFont="1" applyBorder="1" applyAlignment="1" applyProtection="1">
      <alignment vertical="center"/>
    </xf>
    <xf numFmtId="177" fontId="35" fillId="0" borderId="0" xfId="0" applyNumberFormat="1" applyFont="1" applyBorder="1" applyAlignment="1" applyProtection="1">
      <alignment vertical="center"/>
    </xf>
    <xf numFmtId="177" fontId="36" fillId="11" borderId="3" xfId="0" applyNumberFormat="1" applyFont="1" applyFill="1" applyBorder="1" applyAlignment="1" applyProtection="1">
      <alignment vertical="center"/>
    </xf>
    <xf numFmtId="0" fontId="36" fillId="0" borderId="0" xfId="0" applyFont="1" applyFill="1" applyBorder="1" applyProtection="1">
      <alignment vertical="center"/>
    </xf>
    <xf numFmtId="214" fontId="25" fillId="0" borderId="12" xfId="152" applyNumberFormat="1" applyFont="1" applyBorder="1">
      <alignment vertical="center"/>
    </xf>
    <xf numFmtId="215" fontId="25" fillId="0" borderId="12" xfId="152" applyNumberFormat="1" applyFont="1" applyBorder="1">
      <alignment vertical="center"/>
    </xf>
    <xf numFmtId="0" fontId="56" fillId="0" borderId="0" xfId="0" applyFont="1" applyBorder="1" applyAlignment="1">
      <alignment horizontal="left" vertical="center" wrapText="1" indent="1"/>
    </xf>
    <xf numFmtId="179" fontId="56" fillId="0" borderId="0" xfId="0" applyNumberFormat="1" applyFont="1" applyBorder="1" applyAlignment="1">
      <alignment horizontal="center" vertical="center"/>
    </xf>
    <xf numFmtId="177" fontId="56" fillId="0" borderId="0" xfId="0" applyNumberFormat="1" applyFont="1" applyBorder="1" applyAlignment="1">
      <alignment vertical="center" wrapText="1"/>
    </xf>
    <xf numFmtId="0" fontId="56" fillId="0" borderId="0" xfId="0" applyFont="1" applyBorder="1" applyAlignment="1">
      <alignment vertical="center" wrapText="1"/>
    </xf>
    <xf numFmtId="179" fontId="56" fillId="0" borderId="0" xfId="0" applyNumberFormat="1" applyFont="1" applyBorder="1" applyAlignment="1">
      <alignment vertical="center" wrapText="1"/>
    </xf>
    <xf numFmtId="0" fontId="56" fillId="0" borderId="0" xfId="0" applyFont="1" applyBorder="1" applyAlignment="1">
      <alignment horizontal="center" vertical="top" wrapText="1"/>
    </xf>
    <xf numFmtId="179" fontId="56" fillId="0" borderId="0" xfId="0" applyNumberFormat="1" applyFont="1" applyBorder="1" applyAlignment="1">
      <alignment horizontal="center" vertical="top"/>
    </xf>
    <xf numFmtId="177" fontId="56" fillId="0" borderId="0" xfId="0" applyNumberFormat="1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6" fillId="0" borderId="0" xfId="0" applyFont="1" applyBorder="1" applyAlignment="1">
      <alignment horizontal="left" vertical="top" wrapText="1" indent="2"/>
    </xf>
    <xf numFmtId="177" fontId="57" fillId="0" borderId="0" xfId="0" applyNumberFormat="1" applyFont="1" applyBorder="1" applyAlignment="1">
      <alignment vertical="top" wrapText="1"/>
    </xf>
    <xf numFmtId="179" fontId="56" fillId="0" borderId="0" xfId="0" applyNumberFormat="1" applyFont="1" applyBorder="1" applyAlignment="1">
      <alignment vertical="top" wrapText="1"/>
    </xf>
    <xf numFmtId="0" fontId="55" fillId="0" borderId="2" xfId="0" applyFont="1" applyBorder="1" applyAlignment="1">
      <alignment horizontal="center" vertical="center"/>
    </xf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 vertical="top"/>
    </xf>
    <xf numFmtId="0" fontId="56" fillId="0" borderId="1" xfId="0" applyFont="1" applyBorder="1" applyAlignment="1">
      <alignment horizontal="left" vertical="top"/>
    </xf>
    <xf numFmtId="0" fontId="56" fillId="0" borderId="1" xfId="0" applyFont="1" applyBorder="1" applyAlignment="1">
      <alignment horizontal="left" vertical="top" wrapText="1" indent="2"/>
    </xf>
    <xf numFmtId="179" fontId="56" fillId="0" borderId="1" xfId="0" applyNumberFormat="1" applyFont="1" applyBorder="1" applyAlignment="1">
      <alignment horizontal="center" vertical="top"/>
    </xf>
    <xf numFmtId="177" fontId="56" fillId="0" borderId="1" xfId="0" applyNumberFormat="1" applyFont="1" applyBorder="1" applyAlignment="1">
      <alignment vertical="top" wrapText="1"/>
    </xf>
    <xf numFmtId="0" fontId="56" fillId="0" borderId="1" xfId="0" applyFont="1" applyBorder="1" applyAlignment="1">
      <alignment vertical="top" wrapText="1"/>
    </xf>
    <xf numFmtId="177" fontId="57" fillId="0" borderId="1" xfId="0" applyNumberFormat="1" applyFont="1" applyBorder="1" applyAlignment="1">
      <alignment vertical="top" wrapText="1"/>
    </xf>
    <xf numFmtId="179" fontId="56" fillId="0" borderId="1" xfId="0" applyNumberFormat="1" applyFont="1" applyBorder="1" applyAlignment="1">
      <alignment vertical="center" wrapText="1"/>
    </xf>
    <xf numFmtId="177" fontId="0" fillId="0" borderId="0" xfId="0" applyNumberFormat="1">
      <alignment vertical="center"/>
    </xf>
    <xf numFmtId="0" fontId="56" fillId="0" borderId="0" xfId="0" applyFont="1" applyBorder="1" applyAlignment="1">
      <alignment vertical="top"/>
    </xf>
    <xf numFmtId="216" fontId="0" fillId="0" borderId="0" xfId="0" applyNumberFormat="1">
      <alignment vertical="center"/>
    </xf>
    <xf numFmtId="216" fontId="56" fillId="0" borderId="0" xfId="0" applyNumberFormat="1" applyFont="1" applyBorder="1" applyAlignment="1">
      <alignment horizontal="right" vertical="top" wrapText="1"/>
    </xf>
    <xf numFmtId="216" fontId="56" fillId="20" borderId="0" xfId="0" applyNumberFormat="1" applyFont="1" applyFill="1" applyBorder="1" applyAlignment="1">
      <alignment horizontal="right" vertical="top" wrapText="1"/>
    </xf>
    <xf numFmtId="216" fontId="56" fillId="14" borderId="0" xfId="0" applyNumberFormat="1" applyFont="1" applyFill="1" applyBorder="1" applyAlignment="1">
      <alignment horizontal="right" vertical="top" wrapText="1"/>
    </xf>
    <xf numFmtId="216" fontId="56" fillId="14" borderId="1" xfId="0" applyNumberFormat="1" applyFont="1" applyFill="1" applyBorder="1" applyAlignment="1">
      <alignment horizontal="right" vertical="top" wrapText="1"/>
    </xf>
    <xf numFmtId="216" fontId="56" fillId="14" borderId="0" xfId="0" applyNumberFormat="1" applyFont="1" applyFill="1" applyBorder="1" applyAlignment="1">
      <alignment horizontal="right" vertical="center" wrapText="1"/>
    </xf>
    <xf numFmtId="14" fontId="4" fillId="11" borderId="0" xfId="0" applyNumberFormat="1" applyFont="1" applyFill="1" applyAlignment="1">
      <alignment horizontal="center" vertical="center"/>
    </xf>
    <xf numFmtId="10" fontId="56" fillId="0" borderId="0" xfId="0" applyNumberFormat="1" applyFont="1" applyBorder="1" applyAlignment="1">
      <alignment vertical="top" wrapText="1"/>
    </xf>
    <xf numFmtId="0" fontId="4" fillId="0" borderId="0" xfId="0" applyFont="1">
      <alignment vertical="center"/>
    </xf>
    <xf numFmtId="180" fontId="0" fillId="11" borderId="0" xfId="0" applyNumberFormat="1" applyFill="1">
      <alignment vertical="center"/>
    </xf>
    <xf numFmtId="10" fontId="0" fillId="0" borderId="0" xfId="0" applyNumberFormat="1">
      <alignment vertical="center"/>
    </xf>
    <xf numFmtId="176" fontId="57" fillId="0" borderId="1" xfId="0" applyNumberFormat="1" applyFont="1" applyBorder="1" applyAlignment="1">
      <alignment vertical="top" wrapText="1"/>
    </xf>
    <xf numFmtId="205" fontId="25" fillId="0" borderId="3" xfId="152" applyNumberFormat="1" applyFont="1" applyBorder="1" applyAlignment="1">
      <alignment horizontal="center" vertical="center"/>
    </xf>
    <xf numFmtId="205" fontId="25" fillId="0" borderId="15" xfId="152" applyNumberFormat="1" applyFont="1" applyBorder="1" applyAlignment="1">
      <alignment horizontal="center" vertical="center"/>
    </xf>
    <xf numFmtId="205" fontId="25" fillId="0" borderId="1" xfId="152" applyNumberFormat="1" applyFont="1" applyBorder="1" applyAlignment="1">
      <alignment horizontal="center" vertical="center"/>
    </xf>
    <xf numFmtId="205" fontId="25" fillId="0" borderId="16" xfId="152" applyNumberFormat="1" applyFont="1" applyBorder="1" applyAlignment="1">
      <alignment horizontal="center" vertical="center"/>
    </xf>
    <xf numFmtId="0" fontId="25" fillId="0" borderId="0" xfId="152" applyFont="1" applyBorder="1" applyAlignment="1">
      <alignment horizontal="left" vertical="center" indent="1"/>
    </xf>
    <xf numFmtId="183" fontId="25" fillId="18" borderId="0" xfId="152" applyNumberFormat="1" applyFont="1" applyFill="1" applyBorder="1">
      <alignment vertical="center"/>
    </xf>
    <xf numFmtId="180" fontId="25" fillId="18" borderId="0" xfId="152" applyNumberFormat="1" applyFont="1" applyFill="1" applyBorder="1">
      <alignment vertical="center"/>
    </xf>
    <xf numFmtId="0" fontId="50" fillId="16" borderId="0" xfId="152" applyFont="1" applyFill="1" applyAlignment="1">
      <alignment vertical="center"/>
    </xf>
    <xf numFmtId="0" fontId="53" fillId="22" borderId="0" xfId="168" applyFill="1">
      <alignment vertical="center"/>
    </xf>
    <xf numFmtId="0" fontId="53" fillId="22" borderId="0" xfId="168" applyFill="1" applyAlignment="1">
      <alignment horizontal="right"/>
    </xf>
    <xf numFmtId="0" fontId="59" fillId="16" borderId="5" xfId="168" applyFont="1" applyFill="1" applyBorder="1" applyAlignment="1">
      <alignment horizontal="center" vertical="center"/>
    </xf>
    <xf numFmtId="0" fontId="59" fillId="16" borderId="6" xfId="168" applyFont="1" applyFill="1" applyBorder="1" applyAlignment="1">
      <alignment horizontal="center" vertical="center"/>
    </xf>
    <xf numFmtId="0" fontId="59" fillId="16" borderId="34" xfId="168" applyFont="1" applyFill="1" applyBorder="1" applyAlignment="1">
      <alignment horizontal="center" vertical="center"/>
    </xf>
    <xf numFmtId="0" fontId="59" fillId="16" borderId="35" xfId="168" applyFont="1" applyFill="1" applyBorder="1" applyAlignment="1">
      <alignment horizontal="center" vertical="center"/>
    </xf>
    <xf numFmtId="217" fontId="60" fillId="22" borderId="5" xfId="168" applyNumberFormat="1" applyFont="1" applyFill="1" applyBorder="1" applyAlignment="1">
      <alignment horizontal="center" vertical="center"/>
    </xf>
    <xf numFmtId="217" fontId="60" fillId="22" borderId="6" xfId="168" applyNumberFormat="1" applyFont="1" applyFill="1" applyBorder="1" applyAlignment="1">
      <alignment horizontal="center" vertical="center"/>
    </xf>
    <xf numFmtId="217" fontId="60" fillId="22" borderId="33" xfId="168" applyNumberFormat="1" applyFont="1" applyFill="1" applyBorder="1" applyAlignment="1">
      <alignment horizontal="center" vertical="center"/>
    </xf>
    <xf numFmtId="218" fontId="60" fillId="22" borderId="35" xfId="168" applyNumberFormat="1" applyFont="1" applyFill="1" applyBorder="1" applyAlignment="1">
      <alignment horizontal="center" vertical="center"/>
    </xf>
    <xf numFmtId="41" fontId="60" fillId="22" borderId="5" xfId="169" applyFont="1" applyFill="1" applyBorder="1">
      <alignment vertical="center"/>
    </xf>
    <xf numFmtId="10" fontId="60" fillId="14" borderId="5" xfId="170" applyNumberFormat="1" applyFont="1" applyFill="1" applyBorder="1" applyAlignment="1">
      <alignment horizontal="center" vertical="center"/>
    </xf>
    <xf numFmtId="10" fontId="60" fillId="14" borderId="6" xfId="170" applyNumberFormat="1" applyFont="1" applyFill="1" applyBorder="1" applyAlignment="1">
      <alignment horizontal="center" vertical="center"/>
    </xf>
    <xf numFmtId="10" fontId="61" fillId="14" borderId="33" xfId="170" applyNumberFormat="1" applyFont="1" applyFill="1" applyBorder="1" applyAlignment="1">
      <alignment horizontal="center" vertical="center"/>
    </xf>
    <xf numFmtId="10" fontId="60" fillId="22" borderId="35" xfId="170" applyNumberFormat="1" applyFont="1" applyFill="1" applyBorder="1" applyAlignment="1">
      <alignment horizontal="center" vertical="center"/>
    </xf>
    <xf numFmtId="219" fontId="60" fillId="22" borderId="5" xfId="168" applyNumberFormat="1" applyFont="1" applyFill="1" applyBorder="1" applyAlignment="1">
      <alignment horizontal="center" vertical="center"/>
    </xf>
    <xf numFmtId="219" fontId="60" fillId="22" borderId="6" xfId="168" applyNumberFormat="1" applyFont="1" applyFill="1" applyBorder="1" applyAlignment="1">
      <alignment horizontal="center" vertical="center"/>
    </xf>
    <xf numFmtId="219" fontId="60" fillId="22" borderId="33" xfId="168" applyNumberFormat="1" applyFont="1" applyFill="1" applyBorder="1" applyAlignment="1">
      <alignment horizontal="center" vertical="center"/>
    </xf>
    <xf numFmtId="219" fontId="60" fillId="22" borderId="35" xfId="168" applyNumberFormat="1" applyFont="1" applyFill="1" applyBorder="1" applyAlignment="1">
      <alignment horizontal="center" vertical="center"/>
    </xf>
    <xf numFmtId="10" fontId="60" fillId="22" borderId="5" xfId="170" applyNumberFormat="1" applyFont="1" applyFill="1" applyBorder="1" applyAlignment="1">
      <alignment horizontal="center" vertical="center"/>
    </xf>
    <xf numFmtId="10" fontId="60" fillId="22" borderId="6" xfId="170" applyNumberFormat="1" applyFont="1" applyFill="1" applyBorder="1" applyAlignment="1">
      <alignment horizontal="center" vertical="center"/>
    </xf>
    <xf numFmtId="10" fontId="60" fillId="22" borderId="33" xfId="170" applyNumberFormat="1" applyFont="1" applyFill="1" applyBorder="1" applyAlignment="1">
      <alignment horizontal="center" vertical="center"/>
    </xf>
    <xf numFmtId="41" fontId="62" fillId="22" borderId="5" xfId="169" applyFont="1" applyFill="1" applyBorder="1">
      <alignment vertical="center"/>
    </xf>
    <xf numFmtId="217" fontId="62" fillId="22" borderId="5" xfId="168" applyNumberFormat="1" applyFont="1" applyFill="1" applyBorder="1" applyAlignment="1">
      <alignment horizontal="center" vertical="center"/>
    </xf>
    <xf numFmtId="217" fontId="62" fillId="22" borderId="6" xfId="168" applyNumberFormat="1" applyFont="1" applyFill="1" applyBorder="1" applyAlignment="1">
      <alignment horizontal="center" vertical="center"/>
    </xf>
    <xf numFmtId="217" fontId="62" fillId="22" borderId="33" xfId="168" applyNumberFormat="1" applyFont="1" applyFill="1" applyBorder="1" applyAlignment="1">
      <alignment horizontal="center" vertical="center"/>
    </xf>
    <xf numFmtId="218" fontId="62" fillId="22" borderId="35" xfId="168" applyNumberFormat="1" applyFont="1" applyFill="1" applyBorder="1" applyAlignment="1">
      <alignment horizontal="center" vertical="center"/>
    </xf>
    <xf numFmtId="0" fontId="60" fillId="22" borderId="5" xfId="168" applyFont="1" applyFill="1" applyBorder="1" applyAlignment="1">
      <alignment horizontal="center" vertical="center"/>
    </xf>
    <xf numFmtId="0" fontId="60" fillId="22" borderId="5" xfId="168" applyFont="1" applyFill="1" applyBorder="1">
      <alignment vertical="center"/>
    </xf>
    <xf numFmtId="41" fontId="60" fillId="22" borderId="5" xfId="169" applyFont="1" applyFill="1" applyBorder="1" applyAlignment="1">
      <alignment horizontal="right" vertical="center"/>
    </xf>
    <xf numFmtId="220" fontId="60" fillId="22" borderId="6" xfId="168" applyNumberFormat="1" applyFont="1" applyFill="1" applyBorder="1" applyAlignment="1">
      <alignment horizontal="right" vertical="center"/>
    </xf>
    <xf numFmtId="220" fontId="60" fillId="22" borderId="33" xfId="168" applyNumberFormat="1" applyFont="1" applyFill="1" applyBorder="1" applyAlignment="1">
      <alignment horizontal="right" vertical="center"/>
    </xf>
    <xf numFmtId="220" fontId="60" fillId="22" borderId="35" xfId="169" applyNumberFormat="1" applyFont="1" applyFill="1" applyBorder="1" applyAlignment="1">
      <alignment horizontal="center" vertical="center"/>
    </xf>
    <xf numFmtId="220" fontId="63" fillId="22" borderId="35" xfId="168" applyNumberFormat="1" applyFont="1" applyFill="1" applyBorder="1" applyAlignment="1">
      <alignment horizontal="center" vertical="center"/>
    </xf>
    <xf numFmtId="220" fontId="60" fillId="22" borderId="35" xfId="168" applyNumberFormat="1" applyFont="1" applyFill="1" applyBorder="1">
      <alignment vertical="center"/>
    </xf>
    <xf numFmtId="0" fontId="60" fillId="23" borderId="5" xfId="168" applyFont="1" applyFill="1" applyBorder="1" applyAlignment="1">
      <alignment horizontal="center" vertical="center"/>
    </xf>
    <xf numFmtId="0" fontId="60" fillId="23" borderId="5" xfId="168" applyFont="1" applyFill="1" applyBorder="1">
      <alignment vertical="center"/>
    </xf>
    <xf numFmtId="220" fontId="60" fillId="23" borderId="5" xfId="168" applyNumberFormat="1" applyFont="1" applyFill="1" applyBorder="1" applyAlignment="1">
      <alignment horizontal="right" vertical="center"/>
    </xf>
    <xf numFmtId="220" fontId="60" fillId="23" borderId="6" xfId="168" applyNumberFormat="1" applyFont="1" applyFill="1" applyBorder="1" applyAlignment="1">
      <alignment horizontal="right" vertical="center"/>
    </xf>
    <xf numFmtId="220" fontId="60" fillId="23" borderId="33" xfId="168" applyNumberFormat="1" applyFont="1" applyFill="1" applyBorder="1" applyAlignment="1">
      <alignment horizontal="right" vertical="center"/>
    </xf>
    <xf numFmtId="220" fontId="60" fillId="23" borderId="35" xfId="168" applyNumberFormat="1" applyFont="1" applyFill="1" applyBorder="1">
      <alignment vertical="center"/>
    </xf>
    <xf numFmtId="0" fontId="62" fillId="23" borderId="5" xfId="168" applyFont="1" applyFill="1" applyBorder="1" applyAlignment="1">
      <alignment horizontal="center" vertical="center"/>
    </xf>
    <xf numFmtId="0" fontId="62" fillId="23" borderId="5" xfId="168" applyFont="1" applyFill="1" applyBorder="1">
      <alignment vertical="center"/>
    </xf>
    <xf numFmtId="217" fontId="62" fillId="23" borderId="5" xfId="168" applyNumberFormat="1" applyFont="1" applyFill="1" applyBorder="1" applyAlignment="1">
      <alignment horizontal="right" vertical="center"/>
    </xf>
    <xf numFmtId="217" fontId="62" fillId="23" borderId="6" xfId="168" applyNumberFormat="1" applyFont="1" applyFill="1" applyBorder="1" applyAlignment="1">
      <alignment horizontal="right" vertical="center"/>
    </xf>
    <xf numFmtId="217" fontId="62" fillId="23" borderId="33" xfId="168" applyNumberFormat="1" applyFont="1" applyFill="1" applyBorder="1" applyAlignment="1">
      <alignment horizontal="right" vertical="center"/>
    </xf>
    <xf numFmtId="220" fontId="62" fillId="23" borderId="35" xfId="168" applyNumberFormat="1" applyFont="1" applyFill="1" applyBorder="1">
      <alignment vertical="center"/>
    </xf>
    <xf numFmtId="217" fontId="62" fillId="23" borderId="5" xfId="168" applyNumberFormat="1" applyFont="1" applyFill="1" applyBorder="1">
      <alignment vertical="center"/>
    </xf>
    <xf numFmtId="217" fontId="62" fillId="23" borderId="6" xfId="168" applyNumberFormat="1" applyFont="1" applyFill="1" applyBorder="1">
      <alignment vertical="center"/>
    </xf>
    <xf numFmtId="217" fontId="62" fillId="23" borderId="33" xfId="168" applyNumberFormat="1" applyFont="1" applyFill="1" applyBorder="1">
      <alignment vertical="center"/>
    </xf>
    <xf numFmtId="10" fontId="62" fillId="23" borderId="5" xfId="170" applyNumberFormat="1" applyFont="1" applyFill="1" applyBorder="1" applyAlignment="1">
      <alignment horizontal="center" vertical="center"/>
    </xf>
    <xf numFmtId="10" fontId="62" fillId="23" borderId="6" xfId="170" applyNumberFormat="1" applyFont="1" applyFill="1" applyBorder="1" applyAlignment="1">
      <alignment horizontal="center" vertical="center"/>
    </xf>
    <xf numFmtId="10" fontId="61" fillId="23" borderId="36" xfId="170" applyNumberFormat="1" applyFont="1" applyFill="1" applyBorder="1" applyAlignment="1">
      <alignment horizontal="center" vertical="center"/>
    </xf>
    <xf numFmtId="10" fontId="53" fillId="22" borderId="0" xfId="168" applyNumberFormat="1" applyFill="1">
      <alignment vertical="center"/>
    </xf>
    <xf numFmtId="0" fontId="38" fillId="0" borderId="11" xfId="152" applyFont="1" applyFill="1" applyBorder="1">
      <alignment vertical="center"/>
    </xf>
    <xf numFmtId="177" fontId="38" fillId="0" borderId="0" xfId="152" applyNumberFormat="1" applyFont="1" applyFill="1" applyBorder="1">
      <alignment vertical="center"/>
    </xf>
    <xf numFmtId="182" fontId="38" fillId="0" borderId="0" xfId="152" applyNumberFormat="1" applyFont="1" applyFill="1" applyBorder="1">
      <alignment vertical="center"/>
    </xf>
    <xf numFmtId="176" fontId="38" fillId="0" borderId="0" xfId="152" applyNumberFormat="1" applyFont="1" applyFill="1" applyBorder="1">
      <alignment vertical="center"/>
    </xf>
    <xf numFmtId="180" fontId="38" fillId="0" borderId="0" xfId="152" applyNumberFormat="1" applyFont="1" applyFill="1" applyBorder="1">
      <alignment vertical="center"/>
    </xf>
    <xf numFmtId="183" fontId="38" fillId="0" borderId="12" xfId="152" applyNumberFormat="1" applyFont="1" applyFill="1" applyBorder="1">
      <alignment vertical="center"/>
    </xf>
    <xf numFmtId="177" fontId="58" fillId="0" borderId="0" xfId="152" applyNumberFormat="1" applyFont="1" applyFill="1" applyBorder="1">
      <alignment vertical="center"/>
    </xf>
    <xf numFmtId="177" fontId="58" fillId="0" borderId="0" xfId="152" applyNumberFormat="1" applyFont="1" applyBorder="1">
      <alignment vertical="center"/>
    </xf>
    <xf numFmtId="0" fontId="60" fillId="19" borderId="5" xfId="168" applyFont="1" applyFill="1" applyBorder="1" applyAlignment="1">
      <alignment horizontal="center" vertical="center"/>
    </xf>
    <xf numFmtId="0" fontId="60" fillId="19" borderId="5" xfId="168" applyFont="1" applyFill="1" applyBorder="1">
      <alignment vertical="center"/>
    </xf>
    <xf numFmtId="220" fontId="60" fillId="19" borderId="5" xfId="169" applyNumberFormat="1" applyFont="1" applyFill="1" applyBorder="1" applyAlignment="1">
      <alignment horizontal="right" vertical="center"/>
    </xf>
    <xf numFmtId="220" fontId="60" fillId="19" borderId="6" xfId="169" applyNumberFormat="1" applyFont="1" applyFill="1" applyBorder="1" applyAlignment="1">
      <alignment horizontal="right" vertical="center"/>
    </xf>
    <xf numFmtId="220" fontId="60" fillId="19" borderId="33" xfId="169" applyNumberFormat="1" applyFont="1" applyFill="1" applyBorder="1" applyAlignment="1">
      <alignment horizontal="right" vertical="center"/>
    </xf>
    <xf numFmtId="220" fontId="60" fillId="19" borderId="5" xfId="168" applyNumberFormat="1" applyFont="1" applyFill="1" applyBorder="1" applyAlignment="1">
      <alignment horizontal="right" vertical="center"/>
    </xf>
    <xf numFmtId="220" fontId="60" fillId="19" borderId="6" xfId="168" applyNumberFormat="1" applyFont="1" applyFill="1" applyBorder="1" applyAlignment="1">
      <alignment horizontal="right" vertical="center"/>
    </xf>
    <xf numFmtId="220" fontId="60" fillId="19" borderId="33" xfId="168" applyNumberFormat="1" applyFont="1" applyFill="1" applyBorder="1" applyAlignment="1">
      <alignment horizontal="right" vertical="center"/>
    </xf>
    <xf numFmtId="41" fontId="60" fillId="19" borderId="5" xfId="169" applyFont="1" applyFill="1" applyBorder="1" applyAlignment="1">
      <alignment horizontal="right" vertical="center"/>
    </xf>
    <xf numFmtId="177" fontId="53" fillId="22" borderId="0" xfId="168" applyNumberFormat="1" applyFill="1">
      <alignment vertical="center"/>
    </xf>
    <xf numFmtId="177" fontId="58" fillId="0" borderId="12" xfId="152" applyNumberFormat="1" applyFont="1" applyBorder="1">
      <alignment vertical="center"/>
    </xf>
    <xf numFmtId="0" fontId="25" fillId="0" borderId="18" xfId="152" applyFont="1" applyFill="1" applyBorder="1">
      <alignment vertical="center"/>
    </xf>
    <xf numFmtId="177" fontId="25" fillId="0" borderId="2" xfId="152" applyNumberFormat="1" applyFont="1" applyBorder="1">
      <alignment vertical="center"/>
    </xf>
    <xf numFmtId="182" fontId="25" fillId="0" borderId="2" xfId="152" applyNumberFormat="1" applyFont="1" applyBorder="1">
      <alignment vertical="center"/>
    </xf>
    <xf numFmtId="180" fontId="25" fillId="0" borderId="2" xfId="152" applyNumberFormat="1" applyFont="1" applyBorder="1">
      <alignment vertical="center"/>
    </xf>
    <xf numFmtId="183" fontId="25" fillId="0" borderId="13" xfId="152" applyNumberFormat="1" applyFont="1" applyBorder="1">
      <alignment vertical="center"/>
    </xf>
    <xf numFmtId="176" fontId="58" fillId="0" borderId="12" xfId="152" applyNumberFormat="1" applyFont="1" applyBorder="1">
      <alignment vertical="center"/>
    </xf>
    <xf numFmtId="0" fontId="23" fillId="0" borderId="2" xfId="152" applyFont="1" applyBorder="1" applyProtection="1">
      <alignment vertical="center"/>
    </xf>
    <xf numFmtId="177" fontId="23" fillId="0" borderId="2" xfId="152" applyNumberFormat="1" applyFont="1" applyBorder="1" applyProtection="1">
      <alignment vertical="center"/>
    </xf>
    <xf numFmtId="177" fontId="23" fillId="11" borderId="2" xfId="152" applyNumberFormat="1" applyFont="1" applyFill="1" applyBorder="1" applyProtection="1">
      <alignment vertical="center"/>
    </xf>
    <xf numFmtId="177" fontId="26" fillId="0" borderId="2" xfId="152" applyNumberFormat="1" applyFont="1" applyBorder="1" applyProtection="1">
      <alignment vertical="center"/>
    </xf>
    <xf numFmtId="0" fontId="33" fillId="0" borderId="2" xfId="153" applyFont="1" applyBorder="1" applyAlignment="1" applyProtection="1">
      <alignment vertical="center"/>
    </xf>
    <xf numFmtId="0" fontId="23" fillId="0" borderId="0" xfId="152" applyFont="1" applyBorder="1" applyAlignment="1" applyProtection="1">
      <alignment horizontal="left" vertical="center" indent="3"/>
    </xf>
    <xf numFmtId="0" fontId="25" fillId="0" borderId="0" xfId="152" applyFont="1" applyBorder="1" applyAlignment="1" applyProtection="1">
      <alignment horizontal="left" vertical="center" indent="2"/>
    </xf>
    <xf numFmtId="201" fontId="23" fillId="0" borderId="0" xfId="152" applyNumberFormat="1" applyFont="1" applyBorder="1" applyProtection="1">
      <alignment vertical="center"/>
    </xf>
    <xf numFmtId="176" fontId="23" fillId="18" borderId="0" xfId="152" applyNumberFormat="1" applyFill="1" applyProtection="1">
      <alignment vertical="center"/>
    </xf>
    <xf numFmtId="0" fontId="23" fillId="0" borderId="0" xfId="152" applyFont="1" applyBorder="1" applyAlignment="1" applyProtection="1">
      <alignment horizontal="left" vertical="center" indent="4"/>
    </xf>
    <xf numFmtId="0" fontId="25" fillId="0" borderId="12" xfId="152" applyFont="1" applyBorder="1" applyAlignment="1">
      <alignment horizontal="right" vertical="center"/>
    </xf>
    <xf numFmtId="176" fontId="23" fillId="18" borderId="0" xfId="152" applyNumberFormat="1" applyFont="1" applyFill="1" applyProtection="1">
      <alignment vertical="center"/>
    </xf>
    <xf numFmtId="0" fontId="23" fillId="21" borderId="0" xfId="152" applyFont="1" applyFill="1" applyProtection="1">
      <alignment vertical="center"/>
    </xf>
    <xf numFmtId="0" fontId="23" fillId="21" borderId="0" xfId="152" applyFont="1" applyFill="1" applyBorder="1" applyProtection="1">
      <alignment vertical="center"/>
    </xf>
    <xf numFmtId="176" fontId="23" fillId="21" borderId="0" xfId="152" applyNumberFormat="1" applyFont="1" applyFill="1" applyBorder="1" applyProtection="1">
      <alignment vertical="center"/>
    </xf>
    <xf numFmtId="177" fontId="23" fillId="21" borderId="0" xfId="152" applyNumberFormat="1" applyFont="1" applyFill="1" applyBorder="1" applyProtection="1">
      <alignment vertical="center"/>
    </xf>
    <xf numFmtId="0" fontId="23" fillId="21" borderId="0" xfId="152" applyFill="1" applyProtection="1">
      <alignment vertical="center"/>
    </xf>
    <xf numFmtId="0" fontId="25" fillId="21" borderId="0" xfId="152" applyFont="1" applyFill="1" applyBorder="1" applyAlignment="1" applyProtection="1">
      <alignment horizontal="left" vertical="center" indent="1"/>
    </xf>
    <xf numFmtId="0" fontId="23" fillId="0" borderId="1" xfId="152" applyFont="1" applyBorder="1" applyAlignment="1" applyProtection="1">
      <alignment horizontal="left" vertical="center" indent="4"/>
    </xf>
    <xf numFmtId="0" fontId="23" fillId="0" borderId="1" xfId="152" applyBorder="1" applyProtection="1">
      <alignment vertical="center"/>
    </xf>
    <xf numFmtId="176" fontId="23" fillId="0" borderId="1" xfId="152" applyNumberFormat="1" applyFont="1" applyBorder="1" applyProtection="1">
      <alignment vertical="center"/>
    </xf>
    <xf numFmtId="200" fontId="23" fillId="18" borderId="1" xfId="152" applyNumberFormat="1" applyFill="1" applyBorder="1" applyProtection="1">
      <alignment vertical="center"/>
    </xf>
    <xf numFmtId="221" fontId="23" fillId="0" borderId="0" xfId="152" applyNumberFormat="1" applyFont="1" applyBorder="1" applyProtection="1">
      <alignment vertical="center"/>
    </xf>
    <xf numFmtId="0" fontId="23" fillId="0" borderId="3" xfId="152" applyFont="1" applyBorder="1" applyAlignment="1" applyProtection="1">
      <alignment horizontal="left" vertical="center" indent="4"/>
    </xf>
    <xf numFmtId="0" fontId="23" fillId="0" borderId="3" xfId="152" applyBorder="1" applyProtection="1">
      <alignment vertical="center"/>
    </xf>
    <xf numFmtId="176" fontId="23" fillId="0" borderId="3" xfId="152" applyNumberFormat="1" applyFont="1" applyBorder="1" applyProtection="1">
      <alignment vertical="center"/>
    </xf>
    <xf numFmtId="0" fontId="23" fillId="0" borderId="0" xfId="152" applyBorder="1" applyProtection="1">
      <alignment vertical="center"/>
    </xf>
    <xf numFmtId="177" fontId="25" fillId="11" borderId="0" xfId="152" applyNumberFormat="1" applyFont="1" applyFill="1" applyProtection="1">
      <alignment vertical="center"/>
    </xf>
    <xf numFmtId="0" fontId="25" fillId="0" borderId="0" xfId="152" applyFont="1" applyFill="1" applyBorder="1" applyAlignment="1" applyProtection="1">
      <alignment horizontal="left" vertical="center" indent="1"/>
    </xf>
    <xf numFmtId="0" fontId="23" fillId="0" borderId="0" xfId="152" applyFill="1" applyProtection="1">
      <alignment vertical="center"/>
    </xf>
    <xf numFmtId="176" fontId="23" fillId="0" borderId="0" xfId="152" applyNumberFormat="1" applyFont="1" applyFill="1" applyBorder="1" applyProtection="1">
      <alignment vertical="center"/>
    </xf>
    <xf numFmtId="177" fontId="23" fillId="18" borderId="0" xfId="152" applyNumberFormat="1" applyFill="1" applyProtection="1">
      <alignment vertical="center"/>
    </xf>
    <xf numFmtId="222" fontId="23" fillId="0" borderId="0" xfId="152" applyNumberFormat="1" applyFont="1" applyProtection="1">
      <alignment vertical="center"/>
    </xf>
    <xf numFmtId="177" fontId="65" fillId="0" borderId="0" xfId="152" applyNumberFormat="1" applyFont="1" applyBorder="1">
      <alignment vertical="center"/>
    </xf>
    <xf numFmtId="42" fontId="26" fillId="19" borderId="0" xfId="152" applyNumberFormat="1" applyFont="1" applyFill="1" applyProtection="1">
      <alignment vertical="center"/>
    </xf>
    <xf numFmtId="223" fontId="26" fillId="19" borderId="0" xfId="152" applyNumberFormat="1" applyFont="1" applyFill="1" applyProtection="1">
      <alignment vertical="center"/>
    </xf>
    <xf numFmtId="198" fontId="26" fillId="19" borderId="0" xfId="152" applyNumberFormat="1" applyFont="1" applyFill="1" applyProtection="1">
      <alignment vertical="center"/>
    </xf>
    <xf numFmtId="0" fontId="25" fillId="0" borderId="14" xfId="152" applyFont="1" applyFill="1" applyBorder="1" applyAlignment="1">
      <alignment vertical="center"/>
    </xf>
    <xf numFmtId="0" fontId="25" fillId="0" borderId="11" xfId="152" applyFont="1" applyFill="1" applyBorder="1" applyAlignment="1">
      <alignment vertical="center"/>
    </xf>
    <xf numFmtId="177" fontId="23" fillId="0" borderId="2" xfId="152" applyNumberFormat="1" applyFill="1" applyBorder="1">
      <alignment vertical="center"/>
    </xf>
    <xf numFmtId="177" fontId="23" fillId="0" borderId="13" xfId="152" applyNumberFormat="1" applyFill="1" applyBorder="1">
      <alignment vertical="center"/>
    </xf>
    <xf numFmtId="0" fontId="25" fillId="0" borderId="17" xfId="152" applyFont="1" applyFill="1" applyBorder="1" applyAlignment="1">
      <alignment vertical="center"/>
    </xf>
    <xf numFmtId="0" fontId="26" fillId="0" borderId="2" xfId="152" applyFont="1" applyBorder="1" applyProtection="1">
      <alignment vertical="center"/>
    </xf>
    <xf numFmtId="0" fontId="25" fillId="0" borderId="11" xfId="152" applyFont="1" applyBorder="1" applyAlignment="1">
      <alignment vertical="center"/>
    </xf>
    <xf numFmtId="0" fontId="25" fillId="0" borderId="17" xfId="152" applyFont="1" applyBorder="1" applyAlignment="1">
      <alignment vertical="center"/>
    </xf>
    <xf numFmtId="210" fontId="26" fillId="0" borderId="0" xfId="152" applyNumberFormat="1" applyFont="1" applyBorder="1">
      <alignment vertical="center"/>
    </xf>
    <xf numFmtId="210" fontId="23" fillId="0" borderId="0" xfId="152" applyNumberFormat="1" applyBorder="1">
      <alignment vertical="center"/>
    </xf>
    <xf numFmtId="210" fontId="23" fillId="0" borderId="12" xfId="152" applyNumberFormat="1" applyBorder="1">
      <alignment vertical="center"/>
    </xf>
    <xf numFmtId="210" fontId="23" fillId="0" borderId="1" xfId="152" applyNumberFormat="1" applyBorder="1">
      <alignment vertical="center"/>
    </xf>
    <xf numFmtId="210" fontId="23" fillId="0" borderId="16" xfId="152" applyNumberFormat="1" applyBorder="1">
      <alignment vertical="center"/>
    </xf>
    <xf numFmtId="210" fontId="26" fillId="0" borderId="2" xfId="152" applyNumberFormat="1" applyFont="1" applyBorder="1">
      <alignment vertical="center"/>
    </xf>
    <xf numFmtId="210" fontId="26" fillId="0" borderId="13" xfId="152" applyNumberFormat="1" applyFont="1" applyBorder="1">
      <alignment vertical="center"/>
    </xf>
    <xf numFmtId="210" fontId="25" fillId="0" borderId="0" xfId="152" applyNumberFormat="1" applyFont="1" applyBorder="1">
      <alignment vertical="center"/>
    </xf>
    <xf numFmtId="210" fontId="25" fillId="0" borderId="2" xfId="152" applyNumberFormat="1" applyFont="1" applyBorder="1">
      <alignment vertical="center"/>
    </xf>
    <xf numFmtId="210" fontId="25" fillId="0" borderId="13" xfId="152" applyNumberFormat="1" applyFont="1" applyBorder="1">
      <alignment vertical="center"/>
    </xf>
    <xf numFmtId="213" fontId="23" fillId="0" borderId="23" xfId="152" applyNumberFormat="1" applyBorder="1">
      <alignment vertical="center"/>
    </xf>
    <xf numFmtId="180" fontId="23" fillId="0" borderId="24" xfId="152" applyNumberFormat="1" applyBorder="1">
      <alignment vertical="center"/>
    </xf>
    <xf numFmtId="180" fontId="25" fillId="0" borderId="2" xfId="152" applyNumberFormat="1" applyFont="1" applyFill="1" applyBorder="1" applyAlignment="1">
      <alignment vertical="center"/>
    </xf>
    <xf numFmtId="180" fontId="25" fillId="0" borderId="35" xfId="152" applyNumberFormat="1" applyFont="1" applyFill="1" applyBorder="1" applyAlignment="1">
      <alignment vertical="center"/>
    </xf>
    <xf numFmtId="183" fontId="25" fillId="0" borderId="2" xfId="152" applyNumberFormat="1" applyFont="1" applyFill="1" applyBorder="1" applyAlignment="1">
      <alignment vertical="center"/>
    </xf>
    <xf numFmtId="183" fontId="25" fillId="0" borderId="13" xfId="152" applyNumberFormat="1" applyFont="1" applyFill="1" applyBorder="1" applyAlignment="1">
      <alignment vertical="center"/>
    </xf>
    <xf numFmtId="0" fontId="25" fillId="0" borderId="2" xfId="152" applyFont="1" applyFill="1" applyBorder="1" applyAlignment="1">
      <alignment vertical="center"/>
    </xf>
    <xf numFmtId="0" fontId="26" fillId="19" borderId="11" xfId="152" applyFont="1" applyFill="1" applyBorder="1" applyProtection="1">
      <alignment vertical="center"/>
    </xf>
    <xf numFmtId="0" fontId="66" fillId="0" borderId="0" xfId="152" applyFont="1" applyBorder="1">
      <alignment vertical="center"/>
    </xf>
    <xf numFmtId="210" fontId="23" fillId="0" borderId="2" xfId="152" applyNumberFormat="1" applyBorder="1">
      <alignment vertical="center"/>
    </xf>
    <xf numFmtId="210" fontId="26" fillId="0" borderId="3" xfId="152" applyNumberFormat="1" applyFont="1" applyBorder="1">
      <alignment vertical="center"/>
    </xf>
    <xf numFmtId="210" fontId="23" fillId="0" borderId="0" xfId="152" applyNumberFormat="1" applyFill="1" applyBorder="1">
      <alignment vertical="center"/>
    </xf>
    <xf numFmtId="210" fontId="23" fillId="0" borderId="2" xfId="152" applyNumberFormat="1" applyFill="1" applyBorder="1">
      <alignment vertical="center"/>
    </xf>
    <xf numFmtId="0" fontId="45" fillId="0" borderId="12" xfId="152" applyFont="1" applyBorder="1">
      <alignment vertical="center"/>
    </xf>
    <xf numFmtId="0" fontId="25" fillId="17" borderId="15" xfId="152" applyFont="1" applyFill="1" applyBorder="1">
      <alignment vertical="center"/>
    </xf>
    <xf numFmtId="0" fontId="25" fillId="17" borderId="16" xfId="152" applyFont="1" applyFill="1" applyBorder="1" applyAlignment="1">
      <alignment horizontal="center" vertical="center"/>
    </xf>
    <xf numFmtId="179" fontId="25" fillId="0" borderId="11" xfId="152" applyNumberFormat="1" applyFont="1" applyFill="1" applyBorder="1" applyAlignment="1">
      <alignment horizontal="center" vertical="center"/>
    </xf>
    <xf numFmtId="180" fontId="25" fillId="0" borderId="12" xfId="152" applyNumberFormat="1" applyFont="1" applyBorder="1">
      <alignment vertical="center"/>
    </xf>
    <xf numFmtId="179" fontId="25" fillId="0" borderId="11" xfId="152" applyNumberFormat="1" applyFont="1" applyBorder="1" applyAlignment="1">
      <alignment horizontal="center" vertical="center"/>
    </xf>
    <xf numFmtId="0" fontId="26" fillId="0" borderId="18" xfId="152" applyFont="1" applyBorder="1" applyAlignment="1">
      <alignment horizontal="center" vertical="center"/>
    </xf>
    <xf numFmtId="180" fontId="26" fillId="0" borderId="13" xfId="152" applyNumberFormat="1" applyFont="1" applyBorder="1">
      <alignment vertical="center"/>
    </xf>
    <xf numFmtId="0" fontId="37" fillId="0" borderId="12" xfId="152" applyFont="1" applyBorder="1">
      <alignment vertical="center"/>
    </xf>
    <xf numFmtId="6" fontId="28" fillId="17" borderId="14" xfId="152" applyNumberFormat="1" applyFont="1" applyFill="1" applyBorder="1" applyAlignment="1">
      <alignment horizontal="left" vertical="center" indent="1"/>
    </xf>
    <xf numFmtId="26" fontId="28" fillId="17" borderId="14" xfId="152" applyNumberFormat="1" applyFont="1" applyFill="1" applyBorder="1" applyAlignment="1">
      <alignment horizontal="left" vertical="center" indent="1"/>
    </xf>
    <xf numFmtId="14" fontId="66" fillId="17" borderId="17" xfId="152" applyNumberFormat="1" applyFont="1" applyFill="1" applyBorder="1" applyAlignment="1">
      <alignment horizontal="center" vertical="center"/>
    </xf>
    <xf numFmtId="180" fontId="25" fillId="0" borderId="16" xfId="152" applyNumberFormat="1" applyFont="1" applyFill="1" applyBorder="1" applyAlignment="1">
      <alignment vertical="center"/>
    </xf>
    <xf numFmtId="0" fontId="25" fillId="0" borderId="1" xfId="152" applyFont="1" applyBorder="1" applyAlignment="1">
      <alignment vertical="center"/>
    </xf>
    <xf numFmtId="180" fontId="25" fillId="0" borderId="13" xfId="152" applyNumberFormat="1" applyFont="1" applyBorder="1">
      <alignment vertical="center"/>
    </xf>
    <xf numFmtId="180" fontId="25" fillId="0" borderId="15" xfId="152" applyNumberFormat="1" applyFont="1" applyFill="1" applyBorder="1" applyAlignment="1">
      <alignment vertical="center"/>
    </xf>
    <xf numFmtId="0" fontId="25" fillId="19" borderId="0" xfId="152" applyFont="1" applyFill="1" applyBorder="1">
      <alignment vertical="center"/>
    </xf>
    <xf numFmtId="0" fontId="25" fillId="0" borderId="11" xfId="152" applyFont="1" applyBorder="1" applyAlignment="1">
      <alignment horizontal="left" vertical="center" indent="2"/>
    </xf>
    <xf numFmtId="0" fontId="23" fillId="0" borderId="11" xfId="152" applyBorder="1" applyAlignment="1">
      <alignment horizontal="left" vertical="center" indent="2"/>
    </xf>
    <xf numFmtId="177" fontId="67" fillId="0" borderId="0" xfId="152" applyNumberFormat="1" applyFont="1" applyBorder="1">
      <alignment vertical="center"/>
    </xf>
    <xf numFmtId="0" fontId="25" fillId="0" borderId="17" xfId="152" applyFont="1" applyBorder="1" applyAlignment="1">
      <alignment horizontal="left" vertical="center" indent="5"/>
    </xf>
    <xf numFmtId="177" fontId="25" fillId="0" borderId="0" xfId="152" applyNumberFormat="1" applyFont="1">
      <alignment vertical="center"/>
    </xf>
    <xf numFmtId="26" fontId="23" fillId="0" borderId="0" xfId="152" applyNumberFormat="1" applyFont="1" applyProtection="1">
      <alignment vertical="center"/>
    </xf>
    <xf numFmtId="179" fontId="25" fillId="0" borderId="0" xfId="152" applyNumberFormat="1" applyFont="1" applyBorder="1">
      <alignment vertical="center"/>
    </xf>
    <xf numFmtId="0" fontId="40" fillId="24" borderId="40" xfId="176">
      <alignment horizontal="center" vertical="center"/>
    </xf>
    <xf numFmtId="0" fontId="70" fillId="24" borderId="39" xfId="175">
      <alignment horizontal="left" vertical="center"/>
    </xf>
    <xf numFmtId="0" fontId="40" fillId="24" borderId="41" xfId="177">
      <alignment horizontal="center" vertical="center"/>
    </xf>
    <xf numFmtId="0" fontId="39" fillId="0" borderId="37" xfId="172">
      <alignment vertical="center"/>
    </xf>
    <xf numFmtId="177" fontId="39" fillId="0" borderId="37" xfId="172" applyNumberFormat="1">
      <alignment vertical="center"/>
    </xf>
    <xf numFmtId="176" fontId="39" fillId="0" borderId="37" xfId="172" applyNumberFormat="1">
      <alignment vertical="center"/>
    </xf>
    <xf numFmtId="180" fontId="39" fillId="0" borderId="37" xfId="172" applyNumberFormat="1">
      <alignment vertical="center"/>
    </xf>
    <xf numFmtId="183" fontId="39" fillId="0" borderId="38" xfId="173" applyNumberFormat="1">
      <alignment vertical="center"/>
    </xf>
    <xf numFmtId="0" fontId="39" fillId="13" borderId="39" xfId="174">
      <alignment vertical="center"/>
    </xf>
    <xf numFmtId="182" fontId="39" fillId="0" borderId="37" xfId="172" applyNumberFormat="1" applyFont="1">
      <alignment vertical="center"/>
    </xf>
    <xf numFmtId="0" fontId="40" fillId="24" borderId="40" xfId="176" applyFont="1">
      <alignment horizontal="center" vertical="center"/>
    </xf>
    <xf numFmtId="0" fontId="39" fillId="0" borderId="38" xfId="173">
      <alignment vertical="center"/>
    </xf>
    <xf numFmtId="0" fontId="40" fillId="24" borderId="41" xfId="177" applyFont="1">
      <alignment horizontal="center" vertical="center"/>
    </xf>
    <xf numFmtId="0" fontId="39" fillId="13" borderId="39" xfId="174" applyFont="1">
      <alignment vertical="center"/>
    </xf>
    <xf numFmtId="0" fontId="39" fillId="0" borderId="38" xfId="173" applyFont="1" applyAlignment="1">
      <alignment horizontal="left" vertical="center" wrapText="1"/>
    </xf>
    <xf numFmtId="9" fontId="39" fillId="0" borderId="38" xfId="173" applyNumberFormat="1" applyFont="1" applyAlignment="1">
      <alignment horizontal="left" vertical="center" wrapText="1"/>
    </xf>
    <xf numFmtId="0" fontId="40" fillId="24" borderId="39" xfId="175" applyFont="1" applyAlignment="1">
      <alignment horizontal="center" vertical="center"/>
    </xf>
    <xf numFmtId="177" fontId="39" fillId="0" borderId="38" xfId="173" applyNumberFormat="1">
      <alignment vertical="center"/>
    </xf>
    <xf numFmtId="0" fontId="39" fillId="0" borderId="38" xfId="173" applyFont="1">
      <alignment vertical="center"/>
    </xf>
    <xf numFmtId="177" fontId="39" fillId="0" borderId="38" xfId="173" applyNumberFormat="1" applyFont="1">
      <alignment vertical="center"/>
    </xf>
    <xf numFmtId="10" fontId="39" fillId="0" borderId="38" xfId="173" applyNumberFormat="1" applyFont="1">
      <alignment vertical="center"/>
    </xf>
    <xf numFmtId="224" fontId="39" fillId="0" borderId="38" xfId="173" applyNumberFormat="1" applyFont="1">
      <alignment vertical="center"/>
    </xf>
    <xf numFmtId="0" fontId="39" fillId="0" borderId="38" xfId="173" applyFont="1" applyAlignment="1">
      <alignment vertical="center" wrapText="1"/>
    </xf>
    <xf numFmtId="0" fontId="69" fillId="13" borderId="39" xfId="174" applyFont="1">
      <alignment vertical="center"/>
    </xf>
    <xf numFmtId="177" fontId="69" fillId="0" borderId="37" xfId="172" applyNumberFormat="1" applyFont="1">
      <alignment vertical="center"/>
    </xf>
    <xf numFmtId="177" fontId="69" fillId="0" borderId="38" xfId="173" applyNumberFormat="1" applyFont="1">
      <alignment vertical="center"/>
    </xf>
    <xf numFmtId="0" fontId="39" fillId="13" borderId="39" xfId="174" applyAlignment="1">
      <alignment horizontal="left" vertical="center" indent="2"/>
    </xf>
    <xf numFmtId="177" fontId="39" fillId="0" borderId="37" xfId="172" applyNumberFormat="1" applyFont="1">
      <alignment vertical="center"/>
    </xf>
    <xf numFmtId="26" fontId="70" fillId="24" borderId="43" xfId="175" applyNumberFormat="1" applyBorder="1">
      <alignment horizontal="left" vertical="center"/>
    </xf>
    <xf numFmtId="26" fontId="70" fillId="24" borderId="45" xfId="175" applyNumberFormat="1" applyBorder="1">
      <alignment horizontal="left" vertical="center"/>
    </xf>
    <xf numFmtId="199" fontId="40" fillId="24" borderId="46" xfId="176" applyNumberFormat="1" applyBorder="1">
      <alignment horizontal="center" vertical="center"/>
    </xf>
    <xf numFmtId="199" fontId="40" fillId="24" borderId="42" xfId="177" applyNumberFormat="1" applyBorder="1">
      <alignment horizontal="center" vertical="center"/>
    </xf>
    <xf numFmtId="210" fontId="69" fillId="0" borderId="37" xfId="172" applyNumberFormat="1" applyFont="1">
      <alignment vertical="center"/>
    </xf>
    <xf numFmtId="210" fontId="69" fillId="0" borderId="38" xfId="173" applyNumberFormat="1" applyFont="1">
      <alignment vertical="center"/>
    </xf>
    <xf numFmtId="210" fontId="39" fillId="0" borderId="47" xfId="172" applyNumberFormat="1" applyBorder="1">
      <alignment vertical="center"/>
    </xf>
    <xf numFmtId="210" fontId="39" fillId="0" borderId="48" xfId="173" applyNumberFormat="1" applyBorder="1">
      <alignment vertical="center"/>
    </xf>
    <xf numFmtId="210" fontId="39" fillId="0" borderId="52" xfId="172" applyNumberFormat="1" applyBorder="1">
      <alignment vertical="center"/>
    </xf>
    <xf numFmtId="210" fontId="39" fillId="0" borderId="53" xfId="173" applyNumberFormat="1" applyBorder="1">
      <alignment vertical="center"/>
    </xf>
    <xf numFmtId="26" fontId="39" fillId="13" borderId="42" xfId="174" applyNumberFormat="1" applyFont="1" applyBorder="1" applyAlignment="1">
      <alignment horizontal="left" vertical="center" indent="1"/>
    </xf>
    <xf numFmtId="210" fontId="39" fillId="0" borderId="55" xfId="172" applyNumberFormat="1" applyFont="1" applyFill="1" applyBorder="1" applyAlignment="1">
      <alignment vertical="center"/>
    </xf>
    <xf numFmtId="210" fontId="39" fillId="0" borderId="49" xfId="172" applyNumberFormat="1" applyFont="1" applyFill="1" applyBorder="1" applyAlignment="1">
      <alignment vertical="center"/>
    </xf>
    <xf numFmtId="210" fontId="39" fillId="0" borderId="49" xfId="173" applyNumberFormat="1" applyFont="1" applyFill="1" applyBorder="1" applyAlignment="1">
      <alignment vertical="center"/>
    </xf>
    <xf numFmtId="26" fontId="39" fillId="13" borderId="0" xfId="174" applyNumberFormat="1" applyBorder="1" applyAlignment="1">
      <alignment horizontal="left" vertical="center" indent="1"/>
    </xf>
    <xf numFmtId="210" fontId="39" fillId="0" borderId="56" xfId="172" applyNumberFormat="1" applyFont="1" applyFill="1" applyBorder="1" applyAlignment="1">
      <alignment vertical="center"/>
    </xf>
    <xf numFmtId="210" fontId="39" fillId="0" borderId="51" xfId="172" applyNumberFormat="1" applyFont="1" applyFill="1" applyBorder="1" applyAlignment="1">
      <alignment vertical="center"/>
    </xf>
    <xf numFmtId="210" fontId="39" fillId="0" borderId="51" xfId="173" applyNumberFormat="1" applyFont="1" applyFill="1" applyBorder="1" applyAlignment="1">
      <alignment vertical="center"/>
    </xf>
    <xf numFmtId="26" fontId="39" fillId="13" borderId="44" xfId="174" applyNumberFormat="1" applyBorder="1" applyAlignment="1">
      <alignment horizontal="left" vertical="center" indent="1"/>
    </xf>
    <xf numFmtId="26" fontId="69" fillId="13" borderId="41" xfId="174" applyNumberFormat="1" applyFont="1" applyBorder="1">
      <alignment vertical="center"/>
    </xf>
    <xf numFmtId="210" fontId="69" fillId="0" borderId="57" xfId="172" applyNumberFormat="1" applyFont="1" applyFill="1" applyBorder="1" applyAlignment="1">
      <alignment vertical="center"/>
    </xf>
    <xf numFmtId="210" fontId="69" fillId="0" borderId="38" xfId="172" applyNumberFormat="1" applyFont="1" applyFill="1" applyBorder="1" applyAlignment="1">
      <alignment vertical="center"/>
    </xf>
    <xf numFmtId="210" fontId="69" fillId="0" borderId="38" xfId="173" applyNumberFormat="1" applyFont="1" applyFill="1" applyBorder="1" applyAlignment="1">
      <alignment vertical="center"/>
    </xf>
    <xf numFmtId="26" fontId="39" fillId="13" borderId="42" xfId="174" applyNumberFormat="1" applyBorder="1">
      <alignment vertical="center"/>
    </xf>
    <xf numFmtId="210" fontId="69" fillId="0" borderId="58" xfId="172" applyNumberFormat="1" applyFont="1" applyFill="1" applyBorder="1" applyAlignment="1">
      <alignment vertical="center"/>
    </xf>
    <xf numFmtId="210" fontId="39" fillId="0" borderId="58" xfId="172" applyNumberFormat="1" applyFont="1" applyFill="1" applyBorder="1" applyAlignment="1">
      <alignment vertical="center"/>
    </xf>
    <xf numFmtId="210" fontId="69" fillId="0" borderId="53" xfId="172" applyNumberFormat="1" applyFont="1" applyFill="1" applyBorder="1" applyAlignment="1">
      <alignment vertical="center"/>
    </xf>
    <xf numFmtId="210" fontId="39" fillId="0" borderId="53" xfId="172" applyNumberFormat="1" applyFont="1" applyFill="1" applyBorder="1" applyAlignment="1">
      <alignment vertical="center"/>
    </xf>
    <xf numFmtId="210" fontId="39" fillId="0" borderId="53" xfId="173" applyNumberFormat="1" applyFont="1" applyFill="1" applyBorder="1" applyAlignment="1">
      <alignment vertical="center"/>
    </xf>
    <xf numFmtId="210" fontId="69" fillId="0" borderId="53" xfId="173" applyNumberFormat="1" applyFont="1" applyFill="1" applyBorder="1" applyAlignment="1">
      <alignment vertical="center"/>
    </xf>
    <xf numFmtId="26" fontId="39" fillId="13" borderId="44" xfId="174" applyNumberFormat="1" applyBorder="1">
      <alignment vertical="center"/>
    </xf>
    <xf numFmtId="226" fontId="40" fillId="24" borderId="54" xfId="176" applyNumberFormat="1" applyBorder="1">
      <alignment horizontal="center" vertical="center"/>
    </xf>
    <xf numFmtId="226" fontId="40" fillId="24" borderId="0" xfId="177" applyNumberFormat="1" applyBorder="1">
      <alignment horizontal="center" vertical="center"/>
    </xf>
    <xf numFmtId="210" fontId="26" fillId="0" borderId="12" xfId="152" applyNumberFormat="1" applyFont="1" applyBorder="1">
      <alignment vertical="center"/>
    </xf>
    <xf numFmtId="210" fontId="26" fillId="0" borderId="15" xfId="152" applyNumberFormat="1" applyFont="1" applyBorder="1">
      <alignment vertical="center"/>
    </xf>
    <xf numFmtId="210" fontId="23" fillId="0" borderId="12" xfId="152" applyNumberFormat="1" applyFill="1" applyBorder="1">
      <alignment vertical="center"/>
    </xf>
    <xf numFmtId="210" fontId="23" fillId="0" borderId="13" xfId="152" applyNumberFormat="1" applyBorder="1">
      <alignment vertical="center"/>
    </xf>
    <xf numFmtId="180" fontId="39" fillId="0" borderId="38" xfId="173" applyNumberFormat="1">
      <alignment vertical="center"/>
    </xf>
    <xf numFmtId="6" fontId="69" fillId="13" borderId="39" xfId="174" applyNumberFormat="1" applyFont="1">
      <alignment vertical="center"/>
    </xf>
    <xf numFmtId="6" fontId="39" fillId="13" borderId="43" xfId="174" applyNumberFormat="1" applyBorder="1">
      <alignment vertical="center"/>
    </xf>
    <xf numFmtId="210" fontId="39" fillId="0" borderId="47" xfId="172" applyNumberFormat="1" applyFont="1" applyBorder="1">
      <alignment vertical="center"/>
    </xf>
    <xf numFmtId="6" fontId="39" fillId="13" borderId="45" xfId="174" applyNumberFormat="1" applyBorder="1">
      <alignment vertical="center"/>
    </xf>
    <xf numFmtId="210" fontId="39" fillId="0" borderId="52" xfId="172" applyNumberFormat="1" applyFont="1" applyBorder="1">
      <alignment vertical="center"/>
    </xf>
    <xf numFmtId="0" fontId="40" fillId="24" borderId="40" xfId="176" applyFont="1" applyAlignment="1">
      <alignment horizontal="center" vertical="center"/>
    </xf>
    <xf numFmtId="0" fontId="40" fillId="24" borderId="41" xfId="177" applyFont="1" applyAlignment="1">
      <alignment horizontal="center" vertical="center"/>
    </xf>
    <xf numFmtId="180" fontId="39" fillId="22" borderId="39" xfId="174" applyNumberFormat="1" applyFill="1">
      <alignment vertical="center"/>
    </xf>
    <xf numFmtId="177" fontId="39" fillId="0" borderId="38" xfId="173" applyNumberFormat="1" applyAlignment="1">
      <alignment horizontal="center" vertical="center"/>
    </xf>
    <xf numFmtId="177" fontId="39" fillId="0" borderId="37" xfId="172" applyNumberFormat="1" applyAlignment="1">
      <alignment horizontal="center" vertical="center"/>
    </xf>
    <xf numFmtId="202" fontId="39" fillId="0" borderId="38" xfId="173" applyNumberFormat="1" applyAlignment="1">
      <alignment horizontal="center" vertical="center"/>
    </xf>
    <xf numFmtId="202" fontId="39" fillId="0" borderId="37" xfId="172" applyNumberFormat="1" applyAlignment="1">
      <alignment horizontal="center" vertical="center"/>
    </xf>
    <xf numFmtId="225" fontId="39" fillId="0" borderId="38" xfId="173" applyNumberFormat="1" applyAlignment="1">
      <alignment horizontal="center" vertical="center"/>
    </xf>
    <xf numFmtId="225" fontId="39" fillId="0" borderId="37" xfId="172" applyNumberFormat="1" applyAlignment="1">
      <alignment horizontal="center" vertical="center"/>
    </xf>
    <xf numFmtId="0" fontId="40" fillId="24" borderId="41" xfId="177" applyAlignment="1">
      <alignment horizontal="center" vertical="center" wrapText="1"/>
    </xf>
    <xf numFmtId="0" fontId="40" fillId="24" borderId="40" xfId="176" applyAlignment="1">
      <alignment horizontal="center" vertical="center" wrapText="1"/>
    </xf>
    <xf numFmtId="0" fontId="39" fillId="0" borderId="38" xfId="173" applyAlignment="1">
      <alignment vertical="center" wrapText="1"/>
    </xf>
    <xf numFmtId="0" fontId="39" fillId="0" borderId="37" xfId="172" applyAlignment="1">
      <alignment vertical="center" wrapText="1"/>
    </xf>
    <xf numFmtId="177" fontId="39" fillId="0" borderId="38" xfId="173" applyNumberFormat="1" applyAlignment="1">
      <alignment vertical="center" wrapText="1"/>
    </xf>
    <xf numFmtId="177" fontId="39" fillId="0" borderId="37" xfId="172" applyNumberFormat="1" applyAlignment="1">
      <alignment vertical="center" wrapText="1"/>
    </xf>
    <xf numFmtId="0" fontId="0" fillId="0" borderId="0" xfId="0" applyFont="1">
      <alignment vertical="center"/>
    </xf>
    <xf numFmtId="202" fontId="39" fillId="0" borderId="38" xfId="173" applyNumberFormat="1" applyAlignment="1">
      <alignment horizontal="center" vertical="center" wrapText="1"/>
    </xf>
    <xf numFmtId="202" fontId="39" fillId="0" borderId="37" xfId="172" applyNumberFormat="1" applyAlignment="1">
      <alignment horizontal="center" vertical="center" wrapText="1"/>
    </xf>
    <xf numFmtId="0" fontId="39" fillId="0" borderId="38" xfId="173" applyAlignment="1">
      <alignment horizontal="center" vertical="center" wrapText="1"/>
    </xf>
    <xf numFmtId="0" fontId="39" fillId="0" borderId="37" xfId="172" applyAlignment="1">
      <alignment horizontal="center" vertical="center" wrapText="1"/>
    </xf>
    <xf numFmtId="0" fontId="40" fillId="24" borderId="39" xfId="175" applyFont="1" applyAlignment="1">
      <alignment horizontal="center" vertical="center"/>
    </xf>
    <xf numFmtId="0" fontId="23" fillId="0" borderId="0" xfId="152" applyFill="1" applyBorder="1" applyProtection="1">
      <alignment vertical="center"/>
    </xf>
    <xf numFmtId="0" fontId="23" fillId="0" borderId="0" xfId="152" applyFont="1" applyFill="1" applyBorder="1" applyAlignment="1" applyProtection="1">
      <alignment horizontal="left" vertical="center" indent="2"/>
    </xf>
    <xf numFmtId="210" fontId="23" fillId="0" borderId="3" xfId="171" applyNumberFormat="1" applyFont="1" applyBorder="1">
      <alignment vertical="center"/>
    </xf>
    <xf numFmtId="210" fontId="23" fillId="0" borderId="15" xfId="171" applyNumberFormat="1" applyFont="1" applyBorder="1">
      <alignment vertical="center"/>
    </xf>
    <xf numFmtId="210" fontId="23" fillId="0" borderId="1" xfId="171" applyNumberFormat="1" applyFont="1" applyBorder="1">
      <alignment vertical="center"/>
    </xf>
    <xf numFmtId="210" fontId="23" fillId="0" borderId="16" xfId="171" applyNumberFormat="1" applyFont="1" applyBorder="1">
      <alignment vertical="center"/>
    </xf>
    <xf numFmtId="210" fontId="26" fillId="0" borderId="0" xfId="171" applyNumberFormat="1" applyFont="1" applyBorder="1">
      <alignment vertical="center"/>
    </xf>
    <xf numFmtId="210" fontId="26" fillId="0" borderId="12" xfId="171" applyNumberFormat="1" applyFont="1" applyBorder="1">
      <alignment vertical="center"/>
    </xf>
    <xf numFmtId="210" fontId="26" fillId="0" borderId="0" xfId="171" applyNumberFormat="1" applyFont="1">
      <alignment vertical="center"/>
    </xf>
    <xf numFmtId="177" fontId="39" fillId="0" borderId="47" xfId="172" applyNumberFormat="1" applyBorder="1">
      <alignment vertical="center"/>
    </xf>
    <xf numFmtId="177" fontId="39" fillId="0" borderId="48" xfId="173" applyNumberFormat="1" applyBorder="1">
      <alignment vertical="center"/>
    </xf>
    <xf numFmtId="177" fontId="39" fillId="0" borderId="52" xfId="172" applyNumberFormat="1" applyBorder="1">
      <alignment vertical="center"/>
    </xf>
    <xf numFmtId="6" fontId="69" fillId="13" borderId="42" xfId="174" applyNumberFormat="1" applyFont="1" applyBorder="1">
      <alignment vertical="center"/>
    </xf>
    <xf numFmtId="6" fontId="39" fillId="13" borderId="43" xfId="174" applyNumberFormat="1" applyBorder="1" applyAlignment="1">
      <alignment vertical="center"/>
    </xf>
    <xf numFmtId="6" fontId="39" fillId="13" borderId="42" xfId="174" applyNumberFormat="1" applyBorder="1" applyAlignment="1">
      <alignment vertical="center"/>
    </xf>
    <xf numFmtId="6" fontId="39" fillId="13" borderId="44" xfId="174" applyNumberFormat="1" applyBorder="1" applyAlignment="1">
      <alignment vertical="center"/>
    </xf>
    <xf numFmtId="6" fontId="40" fillId="24" borderId="40" xfId="176" applyNumberFormat="1">
      <alignment horizontal="center" vertical="center"/>
    </xf>
    <xf numFmtId="6" fontId="70" fillId="24" borderId="39" xfId="175" applyNumberFormat="1">
      <alignment horizontal="left" vertical="center"/>
    </xf>
    <xf numFmtId="0" fontId="69" fillId="0" borderId="37" xfId="172" applyFont="1">
      <alignment vertical="center"/>
    </xf>
    <xf numFmtId="203" fontId="39" fillId="0" borderId="38" xfId="172" applyNumberFormat="1" applyBorder="1">
      <alignment vertical="center"/>
    </xf>
    <xf numFmtId="0" fontId="40" fillId="24" borderId="46" xfId="176" applyBorder="1">
      <alignment horizontal="center" vertical="center"/>
    </xf>
    <xf numFmtId="6" fontId="40" fillId="24" borderId="46" xfId="176" applyNumberFormat="1" applyBorder="1">
      <alignment horizontal="center" vertical="center"/>
    </xf>
    <xf numFmtId="6" fontId="40" fillId="24" borderId="42" xfId="177" applyNumberFormat="1" applyBorder="1">
      <alignment horizontal="center" vertical="center"/>
    </xf>
    <xf numFmtId="180" fontId="39" fillId="0" borderId="49" xfId="173" applyNumberFormat="1" applyFont="1" applyFill="1" applyBorder="1" applyAlignment="1">
      <alignment vertical="center"/>
    </xf>
    <xf numFmtId="180" fontId="39" fillId="0" borderId="53" xfId="173" applyNumberFormat="1" applyFont="1" applyFill="1" applyBorder="1" applyAlignment="1">
      <alignment vertical="center"/>
    </xf>
    <xf numFmtId="177" fontId="69" fillId="0" borderId="47" xfId="172" applyNumberFormat="1" applyFont="1" applyBorder="1">
      <alignment vertical="center"/>
    </xf>
    <xf numFmtId="6" fontId="69" fillId="0" borderId="38" xfId="172" applyNumberFormat="1" applyFont="1" applyBorder="1">
      <alignment vertical="center"/>
    </xf>
    <xf numFmtId="180" fontId="69" fillId="0" borderId="38" xfId="173" applyNumberFormat="1" applyFont="1" applyFill="1" applyBorder="1" applyAlignment="1">
      <alignment vertical="center"/>
    </xf>
    <xf numFmtId="226" fontId="39" fillId="13" borderId="39" xfId="174" applyNumberFormat="1" applyAlignment="1">
      <alignment horizontal="center" vertical="center"/>
    </xf>
    <xf numFmtId="226" fontId="69" fillId="13" borderId="39" xfId="174" applyNumberFormat="1" applyFont="1" applyAlignment="1">
      <alignment horizontal="center" vertical="center"/>
    </xf>
    <xf numFmtId="203" fontId="39" fillId="0" borderId="38" xfId="172" applyNumberFormat="1" applyBorder="1" applyAlignment="1">
      <alignment horizontal="center" vertical="center"/>
    </xf>
    <xf numFmtId="183" fontId="0" fillId="0" borderId="0" xfId="0" applyNumberFormat="1">
      <alignment vertical="center"/>
    </xf>
    <xf numFmtId="176" fontId="0" fillId="0" borderId="0" xfId="0" applyNumberFormat="1">
      <alignment vertical="center"/>
    </xf>
    <xf numFmtId="216" fontId="39" fillId="0" borderId="37" xfId="172" applyNumberFormat="1">
      <alignment vertical="center"/>
    </xf>
    <xf numFmtId="176" fontId="39" fillId="0" borderId="38" xfId="173" applyNumberFormat="1">
      <alignment vertical="center"/>
    </xf>
    <xf numFmtId="216" fontId="69" fillId="0" borderId="37" xfId="172" applyNumberFormat="1" applyFont="1">
      <alignment vertical="center"/>
    </xf>
    <xf numFmtId="0" fontId="69" fillId="0" borderId="38" xfId="173" applyFont="1">
      <alignment vertical="center"/>
    </xf>
    <xf numFmtId="0" fontId="39" fillId="13" borderId="43" xfId="174" applyBorder="1">
      <alignment vertical="center"/>
    </xf>
    <xf numFmtId="216" fontId="39" fillId="0" borderId="47" xfId="172" applyNumberFormat="1" applyBorder="1">
      <alignment vertical="center"/>
    </xf>
    <xf numFmtId="0" fontId="39" fillId="0" borderId="47" xfId="172" applyBorder="1">
      <alignment vertical="center"/>
    </xf>
    <xf numFmtId="0" fontId="39" fillId="13" borderId="45" xfId="174" applyBorder="1">
      <alignment vertical="center"/>
    </xf>
    <xf numFmtId="177" fontId="39" fillId="0" borderId="50" xfId="172" applyNumberFormat="1" applyBorder="1">
      <alignment vertical="center"/>
    </xf>
    <xf numFmtId="215" fontId="39" fillId="0" borderId="47" xfId="172" applyNumberFormat="1" applyBorder="1">
      <alignment vertical="center"/>
    </xf>
    <xf numFmtId="215" fontId="39" fillId="0" borderId="52" xfId="172" applyNumberFormat="1" applyBorder="1">
      <alignment vertical="center"/>
    </xf>
    <xf numFmtId="0" fontId="39" fillId="0" borderId="52" xfId="172" applyBorder="1">
      <alignment vertical="center"/>
    </xf>
    <xf numFmtId="216" fontId="39" fillId="0" borderId="52" xfId="172" applyNumberFormat="1" applyBorder="1">
      <alignment vertical="center"/>
    </xf>
    <xf numFmtId="226" fontId="39" fillId="0" borderId="37" xfId="172" applyNumberFormat="1" applyAlignment="1">
      <alignment horizontal="center" vertical="center"/>
    </xf>
    <xf numFmtId="226" fontId="39" fillId="0" borderId="52" xfId="172" applyNumberFormat="1" applyBorder="1" applyAlignment="1">
      <alignment horizontal="center" vertical="center"/>
    </xf>
    <xf numFmtId="226" fontId="39" fillId="0" borderId="47" xfId="172" applyNumberFormat="1" applyBorder="1" applyAlignment="1">
      <alignment horizontal="center" vertical="center"/>
    </xf>
    <xf numFmtId="226" fontId="69" fillId="0" borderId="37" xfId="172" applyNumberFormat="1" applyFont="1" applyAlignment="1">
      <alignment horizontal="center" vertical="center"/>
    </xf>
    <xf numFmtId="10" fontId="39" fillId="0" borderId="48" xfId="173" applyNumberFormat="1" applyFont="1" applyBorder="1">
      <alignment vertical="center"/>
    </xf>
    <xf numFmtId="0" fontId="69" fillId="13" borderId="39" xfId="174" applyFont="1" applyAlignment="1">
      <alignment horizontal="center" vertical="center"/>
    </xf>
    <xf numFmtId="0" fontId="69" fillId="13" borderId="43" xfId="174" applyFont="1" applyBorder="1" applyAlignment="1">
      <alignment horizontal="center" vertical="center"/>
    </xf>
    <xf numFmtId="177" fontId="39" fillId="0" borderId="51" xfId="173" applyNumberFormat="1" applyBorder="1">
      <alignment vertical="center"/>
    </xf>
    <xf numFmtId="0" fontId="39" fillId="13" borderId="45" xfId="174" applyFont="1" applyBorder="1">
      <alignment vertical="center"/>
    </xf>
    <xf numFmtId="177" fontId="39" fillId="0" borderId="60" xfId="172" applyNumberFormat="1" applyFont="1" applyBorder="1">
      <alignment vertical="center"/>
    </xf>
    <xf numFmtId="0" fontId="39" fillId="13" borderId="61" xfId="174" applyBorder="1" applyAlignment="1">
      <alignment horizontal="left" vertical="center" indent="1"/>
    </xf>
    <xf numFmtId="0" fontId="39" fillId="13" borderId="43" xfId="174" applyBorder="1" applyAlignment="1">
      <alignment horizontal="left" vertical="center" indent="1"/>
    </xf>
    <xf numFmtId="0" fontId="39" fillId="13" borderId="61" xfId="174" quotePrefix="1" applyBorder="1" applyAlignment="1">
      <alignment horizontal="left" vertical="center" indent="2"/>
    </xf>
    <xf numFmtId="0" fontId="39" fillId="13" borderId="43" xfId="174" quotePrefix="1" applyBorder="1" applyAlignment="1">
      <alignment horizontal="left" vertical="center" indent="2"/>
    </xf>
    <xf numFmtId="0" fontId="39" fillId="13" borderId="45" xfId="174" applyBorder="1" applyAlignment="1">
      <alignment horizontal="left" vertical="center" indent="1"/>
    </xf>
    <xf numFmtId="0" fontId="39" fillId="13" borderId="61" xfId="174" quotePrefix="1" applyBorder="1" applyAlignment="1">
      <alignment horizontal="left" vertical="center" indent="3"/>
    </xf>
    <xf numFmtId="177" fontId="0" fillId="14" borderId="0" xfId="0" applyNumberFormat="1" applyFill="1">
      <alignment vertical="center"/>
    </xf>
    <xf numFmtId="210" fontId="39" fillId="0" borderId="50" xfId="172" applyNumberFormat="1" applyBorder="1">
      <alignment vertical="center"/>
    </xf>
    <xf numFmtId="210" fontId="39" fillId="0" borderId="51" xfId="173" applyNumberFormat="1" applyBorder="1">
      <alignment vertical="center"/>
    </xf>
    <xf numFmtId="26" fontId="0" fillId="0" borderId="0" xfId="0" applyNumberFormat="1">
      <alignment vertical="center"/>
    </xf>
    <xf numFmtId="26" fontId="39" fillId="13" borderId="39" xfId="174" applyNumberFormat="1">
      <alignment vertical="center"/>
    </xf>
    <xf numFmtId="183" fontId="39" fillId="0" borderId="37" xfId="172" applyNumberFormat="1">
      <alignment vertical="center"/>
    </xf>
    <xf numFmtId="210" fontId="0" fillId="0" borderId="0" xfId="0" applyNumberFormat="1">
      <alignment vertical="center"/>
    </xf>
    <xf numFmtId="227" fontId="0" fillId="0" borderId="0" xfId="0" applyNumberFormat="1">
      <alignment vertical="center"/>
    </xf>
    <xf numFmtId="228" fontId="0" fillId="0" borderId="0" xfId="0" applyNumberFormat="1" applyAlignment="1">
      <alignment vertical="center" wrapText="1"/>
    </xf>
    <xf numFmtId="229" fontId="40" fillId="24" borderId="40" xfId="176" applyNumberFormat="1">
      <alignment horizontal="center" vertical="center"/>
    </xf>
    <xf numFmtId="229" fontId="40" fillId="24" borderId="41" xfId="177" applyNumberFormat="1">
      <alignment horizontal="center" vertical="center"/>
    </xf>
    <xf numFmtId="0" fontId="70" fillId="24" borderId="43" xfId="175" applyBorder="1">
      <alignment horizontal="left" vertical="center"/>
    </xf>
    <xf numFmtId="0" fontId="70" fillId="24" borderId="45" xfId="175" applyBorder="1">
      <alignment horizontal="left" vertical="center"/>
    </xf>
    <xf numFmtId="10" fontId="25" fillId="0" borderId="12" xfId="152" applyNumberFormat="1" applyFont="1" applyBorder="1">
      <alignment vertical="center"/>
    </xf>
    <xf numFmtId="177" fontId="39" fillId="0" borderId="0" xfId="172" applyNumberFormat="1" applyBorder="1">
      <alignment vertical="center"/>
    </xf>
    <xf numFmtId="16" fontId="0" fillId="0" borderId="0" xfId="0" applyNumberFormat="1">
      <alignment vertical="center"/>
    </xf>
    <xf numFmtId="24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77" fontId="0" fillId="18" borderId="0" xfId="0" applyNumberFormat="1" applyFill="1">
      <alignment vertical="center"/>
    </xf>
    <xf numFmtId="0" fontId="0" fillId="0" borderId="0" xfId="0" applyAlignment="1">
      <alignment vertical="center" wrapText="1"/>
    </xf>
    <xf numFmtId="177" fontId="0" fillId="20" borderId="0" xfId="0" applyNumberFormat="1" applyFill="1">
      <alignment vertical="center"/>
    </xf>
    <xf numFmtId="177" fontId="0" fillId="3" borderId="0" xfId="0" applyNumberFormat="1" applyFill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0" fillId="25" borderId="0" xfId="0" applyNumberFormat="1" applyFill="1">
      <alignment vertical="center"/>
    </xf>
    <xf numFmtId="179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11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12" xfId="0" applyNumberFormat="1" applyBorder="1">
      <alignment vertical="center"/>
    </xf>
    <xf numFmtId="177" fontId="0" fillId="0" borderId="17" xfId="0" applyNumberFormat="1" applyBorder="1">
      <alignment vertical="center"/>
    </xf>
    <xf numFmtId="177" fontId="0" fillId="0" borderId="16" xfId="0" applyNumberFormat="1" applyBorder="1">
      <alignment vertical="center"/>
    </xf>
    <xf numFmtId="177" fontId="0" fillId="0" borderId="22" xfId="0" applyNumberFormat="1" applyBorder="1">
      <alignment vertical="center"/>
    </xf>
    <xf numFmtId="177" fontId="0" fillId="0" borderId="23" xfId="0" applyNumberFormat="1" applyBorder="1">
      <alignment vertical="center"/>
    </xf>
    <xf numFmtId="177" fontId="0" fillId="0" borderId="24" xfId="0" applyNumberFormat="1" applyBorder="1">
      <alignment vertical="center"/>
    </xf>
    <xf numFmtId="177" fontId="0" fillId="25" borderId="1" xfId="0" applyNumberFormat="1" applyFill="1" applyBorder="1">
      <alignment vertical="center"/>
    </xf>
    <xf numFmtId="0" fontId="0" fillId="21" borderId="8" xfId="0" applyFill="1" applyBorder="1" applyAlignment="1">
      <alignment horizontal="center" vertical="center" wrapText="1"/>
    </xf>
    <xf numFmtId="0" fontId="0" fillId="21" borderId="9" xfId="0" applyFill="1" applyBorder="1" applyAlignment="1">
      <alignment horizontal="center" vertical="center" wrapText="1"/>
    </xf>
    <xf numFmtId="0" fontId="0" fillId="21" borderId="10" xfId="0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53" fillId="0" borderId="0" xfId="166" applyFont="1" applyAlignment="1" applyProtection="1">
      <alignment horizontal="left" vertical="top"/>
    </xf>
    <xf numFmtId="0" fontId="71" fillId="0" borderId="0" xfId="166" applyFont="1" applyAlignment="1" applyProtection="1">
      <alignment horizontal="left"/>
    </xf>
    <xf numFmtId="0" fontId="71" fillId="0" borderId="0" xfId="166" applyFont="1" applyAlignment="1" applyProtection="1">
      <alignment horizontal="center"/>
    </xf>
    <xf numFmtId="0" fontId="53" fillId="0" borderId="0" xfId="166" applyFont="1" applyAlignment="1" applyProtection="1">
      <alignment horizontal="left"/>
    </xf>
    <xf numFmtId="0" fontId="72" fillId="0" borderId="0" xfId="166" applyFont="1" applyAlignment="1" applyProtection="1">
      <alignment horizontal="center"/>
    </xf>
    <xf numFmtId="177" fontId="71" fillId="0" borderId="0" xfId="166" applyNumberFormat="1" applyFont="1" applyAlignment="1" applyProtection="1">
      <alignment horizontal="right"/>
    </xf>
    <xf numFmtId="37" fontId="71" fillId="0" borderId="0" xfId="166" applyNumberFormat="1" applyFont="1" applyAlignment="1" applyProtection="1">
      <alignment horizontal="right"/>
    </xf>
    <xf numFmtId="0" fontId="71" fillId="0" borderId="0" xfId="166" applyFont="1" applyAlignment="1" applyProtection="1">
      <alignment horizontal="left" vertical="top"/>
    </xf>
    <xf numFmtId="177" fontId="71" fillId="0" borderId="30" xfId="166" applyNumberFormat="1" applyFont="1" applyBorder="1" applyAlignment="1" applyProtection="1">
      <alignment horizontal="right"/>
    </xf>
    <xf numFmtId="177" fontId="53" fillId="0" borderId="0" xfId="166" applyNumberFormat="1" applyFont="1" applyAlignment="1" applyProtection="1">
      <alignment horizontal="left" vertical="top"/>
    </xf>
    <xf numFmtId="177" fontId="71" fillId="0" borderId="31" xfId="166" applyNumberFormat="1" applyFont="1" applyBorder="1" applyAlignment="1" applyProtection="1">
      <alignment horizontal="right"/>
    </xf>
    <xf numFmtId="177" fontId="71" fillId="0" borderId="32" xfId="166" applyNumberFormat="1" applyFont="1" applyBorder="1" applyAlignment="1" applyProtection="1">
      <alignment horizontal="right"/>
    </xf>
    <xf numFmtId="177" fontId="71" fillId="0" borderId="62" xfId="166" applyNumberFormat="1" applyFont="1" applyBorder="1" applyAlignment="1" applyProtection="1">
      <alignment horizontal="right"/>
    </xf>
    <xf numFmtId="37" fontId="71" fillId="0" borderId="0" xfId="166" applyNumberFormat="1" applyFont="1" applyBorder="1" applyAlignment="1" applyProtection="1">
      <alignment horizontal="right"/>
    </xf>
    <xf numFmtId="179" fontId="0" fillId="11" borderId="0" xfId="0" applyNumberFormat="1" applyFill="1">
      <alignment vertical="center"/>
    </xf>
    <xf numFmtId="177" fontId="0" fillId="11" borderId="0" xfId="0" applyNumberFormat="1" applyFill="1">
      <alignment vertical="center"/>
    </xf>
    <xf numFmtId="177" fontId="0" fillId="11" borderId="11" xfId="0" applyNumberFormat="1" applyFill="1" applyBorder="1">
      <alignment vertical="center"/>
    </xf>
    <xf numFmtId="177" fontId="0" fillId="11" borderId="0" xfId="0" applyNumberFormat="1" applyFill="1" applyBorder="1">
      <alignment vertical="center"/>
    </xf>
    <xf numFmtId="177" fontId="0" fillId="11" borderId="12" xfId="0" applyNumberFormat="1" applyFill="1" applyBorder="1">
      <alignment vertical="center"/>
    </xf>
    <xf numFmtId="179" fontId="0" fillId="0" borderId="0" xfId="0" applyNumberFormat="1" applyBorder="1">
      <alignment vertical="center"/>
    </xf>
    <xf numFmtId="177" fontId="0" fillId="25" borderId="0" xfId="0" applyNumberFormat="1" applyFill="1" applyBorder="1">
      <alignment vertical="center"/>
    </xf>
    <xf numFmtId="177" fontId="0" fillId="0" borderId="0" xfId="0" applyNumberFormat="1" applyFill="1">
      <alignment vertical="center"/>
    </xf>
    <xf numFmtId="177" fontId="0" fillId="0" borderId="1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176" fontId="53" fillId="0" borderId="0" xfId="166" applyNumberFormat="1" applyFont="1" applyAlignment="1" applyProtection="1">
      <alignment horizontal="left" vertical="top"/>
    </xf>
    <xf numFmtId="176" fontId="53" fillId="11" borderId="0" xfId="166" applyNumberFormat="1" applyFont="1" applyFill="1" applyAlignment="1" applyProtection="1">
      <alignment horizontal="left" vertical="top"/>
    </xf>
    <xf numFmtId="183" fontId="25" fillId="0" borderId="0" xfId="152" applyNumberFormat="1" applyFont="1" applyBorder="1">
      <alignment vertical="center"/>
    </xf>
    <xf numFmtId="180" fontId="25" fillId="0" borderId="1" xfId="152" applyNumberFormat="1" applyFont="1" applyBorder="1">
      <alignment vertical="center"/>
    </xf>
    <xf numFmtId="0" fontId="23" fillId="0" borderId="0" xfId="166" applyFont="1" applyAlignment="1" applyProtection="1">
      <alignment horizontal="left" vertical="top"/>
    </xf>
    <xf numFmtId="176" fontId="23" fillId="0" borderId="0" xfId="166" applyNumberFormat="1" applyFont="1" applyAlignment="1" applyProtection="1">
      <alignment horizontal="left" vertical="top"/>
    </xf>
    <xf numFmtId="176" fontId="73" fillId="0" borderId="0" xfId="166" applyNumberFormat="1" applyFont="1" applyFill="1" applyBorder="1" applyAlignment="1" applyProtection="1">
      <alignment horizontal="left" vertical="top"/>
    </xf>
    <xf numFmtId="180" fontId="23" fillId="0" borderId="0" xfId="166" applyNumberFormat="1" applyFont="1" applyAlignment="1" applyProtection="1">
      <alignment horizontal="left" vertical="top"/>
    </xf>
    <xf numFmtId="180" fontId="23" fillId="0" borderId="0" xfId="166" applyNumberFormat="1" applyFont="1" applyFill="1" applyAlignment="1" applyProtection="1">
      <alignment horizontal="left" vertical="top"/>
    </xf>
    <xf numFmtId="37" fontId="71" fillId="11" borderId="0" xfId="166" applyNumberFormat="1" applyFont="1" applyFill="1" applyAlignment="1" applyProtection="1">
      <alignment horizontal="right"/>
    </xf>
    <xf numFmtId="177" fontId="71" fillId="11" borderId="0" xfId="166" applyNumberFormat="1" applyFont="1" applyFill="1" applyAlignment="1" applyProtection="1">
      <alignment horizontal="right"/>
    </xf>
    <xf numFmtId="37" fontId="23" fillId="0" borderId="0" xfId="152" applyNumberFormat="1" applyFont="1" applyProtection="1">
      <alignment vertical="center"/>
    </xf>
    <xf numFmtId="177" fontId="23" fillId="11" borderId="0" xfId="152" applyNumberFormat="1" applyFont="1" applyFill="1" applyProtection="1">
      <alignment vertical="center"/>
    </xf>
    <xf numFmtId="0" fontId="36" fillId="0" borderId="0" xfId="0" applyFont="1" applyFill="1" applyBorder="1" applyAlignment="1" applyProtection="1">
      <alignment vertical="center"/>
    </xf>
    <xf numFmtId="177" fontId="36" fillId="0" borderId="0" xfId="0" applyNumberFormat="1" applyFont="1" applyFill="1" applyBorder="1" applyAlignment="1" applyProtection="1">
      <alignment vertical="center"/>
    </xf>
    <xf numFmtId="0" fontId="35" fillId="0" borderId="0" xfId="0" applyFont="1" applyBorder="1" applyAlignment="1" applyProtection="1">
      <alignment horizontal="left" vertical="center" indent="2"/>
    </xf>
    <xf numFmtId="0" fontId="35" fillId="0" borderId="0" xfId="0" applyFont="1" applyFill="1" applyBorder="1" applyAlignment="1" applyProtection="1">
      <alignment horizontal="left" vertical="center" indent="2"/>
    </xf>
    <xf numFmtId="0" fontId="23" fillId="25" borderId="0" xfId="152" applyFont="1" applyFill="1" applyProtection="1">
      <alignment vertical="center"/>
    </xf>
    <xf numFmtId="0" fontId="25" fillId="25" borderId="0" xfId="152" applyFont="1" applyFill="1" applyAlignment="1" applyProtection="1">
      <alignment vertical="center"/>
    </xf>
    <xf numFmtId="177" fontId="35" fillId="25" borderId="0" xfId="0" applyNumberFormat="1" applyFont="1" applyFill="1" applyAlignment="1" applyProtection="1">
      <alignment vertical="center"/>
    </xf>
    <xf numFmtId="0" fontId="71" fillId="17" borderId="0" xfId="166" applyFont="1" applyFill="1" applyAlignment="1" applyProtection="1">
      <alignment horizontal="center"/>
    </xf>
    <xf numFmtId="0" fontId="53" fillId="17" borderId="0" xfId="166" applyFont="1" applyFill="1" applyAlignment="1" applyProtection="1">
      <alignment horizontal="left" vertical="top"/>
    </xf>
    <xf numFmtId="0" fontId="72" fillId="17" borderId="0" xfId="166" applyFont="1" applyFill="1" applyAlignment="1" applyProtection="1">
      <alignment horizontal="center"/>
    </xf>
    <xf numFmtId="37" fontId="53" fillId="17" borderId="0" xfId="166" applyNumberFormat="1" applyFont="1" applyFill="1" applyAlignment="1" applyProtection="1">
      <alignment horizontal="left" vertical="top"/>
    </xf>
    <xf numFmtId="177" fontId="71" fillId="17" borderId="0" xfId="166" applyNumberFormat="1" applyFont="1" applyFill="1" applyAlignment="1" applyProtection="1">
      <alignment horizontal="right"/>
    </xf>
    <xf numFmtId="177" fontId="71" fillId="17" borderId="30" xfId="166" applyNumberFormat="1" applyFont="1" applyFill="1" applyBorder="1" applyAlignment="1" applyProtection="1">
      <alignment horizontal="right"/>
    </xf>
    <xf numFmtId="177" fontId="53" fillId="17" borderId="0" xfId="166" applyNumberFormat="1" applyFont="1" applyFill="1" applyAlignment="1" applyProtection="1">
      <alignment horizontal="left" vertical="top"/>
    </xf>
    <xf numFmtId="177" fontId="71" fillId="17" borderId="31" xfId="166" applyNumberFormat="1" applyFont="1" applyFill="1" applyBorder="1" applyAlignment="1" applyProtection="1">
      <alignment horizontal="right"/>
    </xf>
    <xf numFmtId="210" fontId="39" fillId="0" borderId="37" xfId="172" applyNumberFormat="1" applyFont="1">
      <alignment vertical="center"/>
    </xf>
    <xf numFmtId="210" fontId="39" fillId="0" borderId="38" xfId="173" applyNumberFormat="1" applyFont="1">
      <alignment vertical="center"/>
    </xf>
    <xf numFmtId="176" fontId="69" fillId="0" borderId="0" xfId="173" applyNumberFormat="1" applyFont="1" applyFill="1" applyBorder="1">
      <alignment vertical="center"/>
    </xf>
    <xf numFmtId="0" fontId="25" fillId="19" borderId="0" xfId="152" applyFont="1" applyFill="1" applyAlignment="1" applyProtection="1">
      <alignment vertical="center"/>
    </xf>
    <xf numFmtId="177" fontId="26" fillId="19" borderId="0" xfId="152" applyNumberFormat="1" applyFont="1" applyFill="1" applyProtection="1">
      <alignment vertical="center"/>
    </xf>
    <xf numFmtId="177" fontId="35" fillId="18" borderId="0" xfId="0" applyNumberFormat="1" applyFont="1" applyFill="1" applyAlignment="1" applyProtection="1">
      <alignment vertical="center"/>
    </xf>
    <xf numFmtId="177" fontId="36" fillId="18" borderId="3" xfId="0" applyNumberFormat="1" applyFont="1" applyFill="1" applyBorder="1" applyAlignment="1" applyProtection="1">
      <alignment vertical="center"/>
    </xf>
    <xf numFmtId="177" fontId="35" fillId="18" borderId="0" xfId="0" applyNumberFormat="1" applyFont="1" applyFill="1" applyBorder="1" applyAlignment="1" applyProtection="1">
      <alignment vertical="center"/>
    </xf>
    <xf numFmtId="177" fontId="25" fillId="18" borderId="0" xfId="152" applyNumberFormat="1" applyFont="1" applyFill="1" applyBorder="1" applyAlignment="1" applyProtection="1">
      <alignment vertical="center"/>
    </xf>
    <xf numFmtId="177" fontId="36" fillId="18" borderId="0" xfId="0" applyNumberFormat="1" applyFont="1" applyFill="1" applyBorder="1" applyAlignment="1" applyProtection="1">
      <alignment vertical="center"/>
    </xf>
    <xf numFmtId="0" fontId="48" fillId="0" borderId="0" xfId="166" applyFont="1" applyAlignment="1" applyProtection="1">
      <alignment horizontal="left" vertical="top"/>
    </xf>
    <xf numFmtId="17" fontId="72" fillId="18" borderId="0" xfId="166" applyNumberFormat="1" applyFont="1" applyFill="1" applyAlignment="1" applyProtection="1">
      <alignment horizontal="center"/>
    </xf>
    <xf numFmtId="0" fontId="1" fillId="0" borderId="0" xfId="178">
      <alignment vertical="center"/>
    </xf>
    <xf numFmtId="0" fontId="1" fillId="25" borderId="0" xfId="178" applyFill="1">
      <alignment vertical="center"/>
    </xf>
    <xf numFmtId="49" fontId="1" fillId="0" borderId="0" xfId="178" applyNumberFormat="1">
      <alignment vertical="center"/>
    </xf>
    <xf numFmtId="0" fontId="1" fillId="0" borderId="0" xfId="178" applyFill="1">
      <alignment vertical="center"/>
    </xf>
    <xf numFmtId="179" fontId="1" fillId="20" borderId="0" xfId="178" applyNumberFormat="1" applyFill="1">
      <alignment vertical="center"/>
    </xf>
    <xf numFmtId="14" fontId="1" fillId="25" borderId="0" xfId="178" applyNumberFormat="1" applyFill="1">
      <alignment vertical="center"/>
    </xf>
    <xf numFmtId="14" fontId="1" fillId="0" borderId="0" xfId="178" applyNumberFormat="1">
      <alignment vertical="center"/>
    </xf>
    <xf numFmtId="179" fontId="1" fillId="25" borderId="0" xfId="178" applyNumberFormat="1" applyFill="1">
      <alignment vertical="center"/>
    </xf>
    <xf numFmtId="179" fontId="1" fillId="0" borderId="0" xfId="178" applyNumberFormat="1" applyFill="1">
      <alignment vertical="center"/>
    </xf>
    <xf numFmtId="179" fontId="1" fillId="20" borderId="0" xfId="178" applyNumberFormat="1" applyFill="1" applyAlignment="1">
      <alignment horizontal="center" vertical="center"/>
    </xf>
    <xf numFmtId="179" fontId="1" fillId="0" borderId="0" xfId="178" applyNumberFormat="1" applyAlignment="1">
      <alignment horizontal="center" vertical="center"/>
    </xf>
    <xf numFmtId="0" fontId="1" fillId="20" borderId="0" xfId="178" applyFill="1">
      <alignment vertical="center"/>
    </xf>
    <xf numFmtId="0" fontId="1" fillId="25" borderId="0" xfId="178" applyFill="1" applyAlignment="1">
      <alignment horizontal="center" vertical="center"/>
    </xf>
    <xf numFmtId="0" fontId="1" fillId="0" borderId="0" xfId="178" applyAlignment="1">
      <alignment horizontal="center" vertical="center"/>
    </xf>
    <xf numFmtId="0" fontId="1" fillId="0" borderId="0" xfId="178" applyFill="1" applyAlignment="1">
      <alignment horizontal="center" vertical="center"/>
    </xf>
    <xf numFmtId="0" fontId="74" fillId="0" borderId="0" xfId="178" applyFont="1">
      <alignment vertical="center"/>
    </xf>
    <xf numFmtId="0" fontId="1" fillId="14" borderId="63" xfId="178" applyFill="1" applyBorder="1" applyAlignment="1">
      <alignment vertical="center"/>
    </xf>
    <xf numFmtId="177" fontId="74" fillId="20" borderId="0" xfId="178" applyNumberFormat="1" applyFont="1" applyFill="1">
      <alignment vertical="center"/>
    </xf>
    <xf numFmtId="177" fontId="74" fillId="0" borderId="0" xfId="178" applyNumberFormat="1" applyFont="1">
      <alignment vertical="center"/>
    </xf>
    <xf numFmtId="177" fontId="74" fillId="25" borderId="0" xfId="178" applyNumberFormat="1" applyFont="1" applyFill="1">
      <alignment vertical="center"/>
    </xf>
    <xf numFmtId="177" fontId="74" fillId="0" borderId="0" xfId="178" applyNumberFormat="1" applyFont="1" applyFill="1">
      <alignment vertical="center"/>
    </xf>
    <xf numFmtId="0" fontId="75" fillId="0" borderId="0" xfId="178" applyFont="1">
      <alignment vertical="center"/>
    </xf>
    <xf numFmtId="0" fontId="1" fillId="14" borderId="64" xfId="178" applyFill="1" applyBorder="1" applyAlignment="1">
      <alignment vertical="center"/>
    </xf>
    <xf numFmtId="177" fontId="1" fillId="20" borderId="0" xfId="178" applyNumberFormat="1" applyFill="1">
      <alignment vertical="center"/>
    </xf>
    <xf numFmtId="177" fontId="1" fillId="25" borderId="0" xfId="178" applyNumberFormat="1" applyFill="1">
      <alignment vertical="center"/>
    </xf>
    <xf numFmtId="177" fontId="1" fillId="0" borderId="0" xfId="178" applyNumberFormat="1">
      <alignment vertical="center"/>
    </xf>
    <xf numFmtId="177" fontId="1" fillId="0" borderId="0" xfId="178" applyNumberFormat="1" applyFill="1">
      <alignment vertical="center"/>
    </xf>
    <xf numFmtId="177" fontId="1" fillId="14" borderId="64" xfId="178" applyNumberFormat="1" applyFill="1" applyBorder="1" applyAlignment="1">
      <alignment vertical="center"/>
    </xf>
    <xf numFmtId="49" fontId="1" fillId="0" borderId="0" xfId="178" applyNumberFormat="1" applyFill="1">
      <alignment vertical="center"/>
    </xf>
    <xf numFmtId="177" fontId="1" fillId="26" borderId="64" xfId="178" applyNumberFormat="1" applyFill="1" applyBorder="1" applyAlignment="1">
      <alignment vertical="center"/>
    </xf>
    <xf numFmtId="49" fontId="1" fillId="25" borderId="0" xfId="178" applyNumberFormat="1" applyFill="1">
      <alignment vertical="center"/>
    </xf>
    <xf numFmtId="49" fontId="74" fillId="0" borderId="0" xfId="178" applyNumberFormat="1" applyFont="1">
      <alignment vertical="center"/>
    </xf>
    <xf numFmtId="49" fontId="54" fillId="0" borderId="0" xfId="179" applyNumberFormat="1" applyFont="1"/>
    <xf numFmtId="0" fontId="54" fillId="0" borderId="0" xfId="179" applyFont="1"/>
    <xf numFmtId="49" fontId="1" fillId="27" borderId="0" xfId="178" applyNumberFormat="1" applyFill="1">
      <alignment vertical="center"/>
    </xf>
    <xf numFmtId="177" fontId="1" fillId="14" borderId="65" xfId="178" applyNumberFormat="1" applyFill="1" applyBorder="1" applyAlignment="1">
      <alignment vertical="center"/>
    </xf>
    <xf numFmtId="0" fontId="1" fillId="28" borderId="0" xfId="178" applyFill="1">
      <alignment vertical="center"/>
    </xf>
    <xf numFmtId="0" fontId="74" fillId="28" borderId="0" xfId="178" applyFont="1" applyFill="1">
      <alignment vertical="center"/>
    </xf>
    <xf numFmtId="183" fontId="1" fillId="20" borderId="0" xfId="178" applyNumberFormat="1" applyFill="1">
      <alignment vertical="center"/>
    </xf>
    <xf numFmtId="183" fontId="1" fillId="28" borderId="0" xfId="178" applyNumberFormat="1" applyFill="1">
      <alignment vertical="center"/>
    </xf>
    <xf numFmtId="183" fontId="1" fillId="25" borderId="0" xfId="178" applyNumberFormat="1" applyFill="1">
      <alignment vertical="center"/>
    </xf>
    <xf numFmtId="183" fontId="1" fillId="0" borderId="0" xfId="178" applyNumberFormat="1" applyFill="1">
      <alignment vertical="center"/>
    </xf>
    <xf numFmtId="176" fontId="1" fillId="20" borderId="0" xfId="178" applyNumberFormat="1" applyFill="1">
      <alignment vertical="center"/>
    </xf>
    <xf numFmtId="176" fontId="1" fillId="28" borderId="0" xfId="178" applyNumberFormat="1" applyFill="1">
      <alignment vertical="center"/>
    </xf>
    <xf numFmtId="176" fontId="1" fillId="25" borderId="0" xfId="178" applyNumberFormat="1" applyFill="1">
      <alignment vertical="center"/>
    </xf>
    <xf numFmtId="176" fontId="1" fillId="0" borderId="0" xfId="178" applyNumberFormat="1" applyFill="1">
      <alignment vertical="center"/>
    </xf>
    <xf numFmtId="177" fontId="75" fillId="0" borderId="0" xfId="178" applyNumberFormat="1" applyFont="1">
      <alignment vertical="center"/>
    </xf>
    <xf numFmtId="0" fontId="35" fillId="0" borderId="0" xfId="178" applyFont="1" applyAlignment="1" applyProtection="1">
      <alignment horizontal="left" vertical="center" indent="2"/>
    </xf>
    <xf numFmtId="0" fontId="35" fillId="0" borderId="0" xfId="178" applyFont="1" applyBorder="1" applyAlignment="1" applyProtection="1">
      <alignment horizontal="left" vertical="center" indent="2"/>
    </xf>
    <xf numFmtId="0" fontId="36" fillId="20" borderId="3" xfId="178" applyFont="1" applyFill="1" applyBorder="1" applyAlignment="1" applyProtection="1">
      <alignment horizontal="left" vertical="center" indent="1"/>
    </xf>
    <xf numFmtId="0" fontId="35" fillId="0" borderId="0" xfId="178" applyFont="1" applyFill="1" applyBorder="1" applyAlignment="1" applyProtection="1">
      <alignment horizontal="left" vertical="center" indent="2"/>
    </xf>
    <xf numFmtId="0" fontId="35" fillId="0" borderId="0" xfId="178" applyFont="1" applyProtection="1">
      <alignment vertical="center"/>
    </xf>
    <xf numFmtId="0" fontId="35" fillId="0" borderId="0" xfId="178" applyFont="1" applyAlignment="1" applyProtection="1">
      <alignment horizontal="left" vertical="center" indent="1"/>
    </xf>
    <xf numFmtId="0" fontId="36" fillId="19" borderId="0" xfId="178" applyFont="1" applyFill="1" applyBorder="1" applyAlignment="1" applyProtection="1">
      <alignment vertical="center"/>
    </xf>
    <xf numFmtId="180" fontId="1" fillId="0" borderId="0" xfId="178" applyNumberFormat="1">
      <alignment vertical="center"/>
    </xf>
    <xf numFmtId="0" fontId="7" fillId="0" borderId="63" xfId="178" applyFont="1" applyBorder="1" applyAlignment="1" applyProtection="1"/>
    <xf numFmtId="0" fontId="7" fillId="0" borderId="0" xfId="178" applyFont="1" applyBorder="1" applyAlignment="1" applyProtection="1"/>
    <xf numFmtId="0" fontId="5" fillId="29" borderId="64" xfId="178" applyFont="1" applyFill="1" applyBorder="1" applyAlignment="1" applyProtection="1"/>
    <xf numFmtId="0" fontId="5" fillId="29" borderId="0" xfId="178" applyFont="1" applyFill="1" applyBorder="1" applyAlignment="1" applyProtection="1"/>
    <xf numFmtId="41" fontId="0" fillId="0" borderId="0" xfId="180" applyFont="1" applyAlignment="1">
      <alignment vertical="center"/>
    </xf>
    <xf numFmtId="0" fontId="5" fillId="0" borderId="64" xfId="178" applyFont="1" applyBorder="1" applyAlignment="1" applyProtection="1"/>
    <xf numFmtId="0" fontId="5" fillId="0" borderId="0" xfId="178" applyFont="1" applyBorder="1" applyAlignment="1" applyProtection="1"/>
    <xf numFmtId="0" fontId="1" fillId="0" borderId="64" xfId="178" applyFont="1" applyBorder="1" applyAlignment="1" applyProtection="1">
      <alignment vertical="top"/>
    </xf>
    <xf numFmtId="0" fontId="1" fillId="0" borderId="0" xfId="178" applyFont="1" applyBorder="1" applyAlignment="1" applyProtection="1">
      <alignment vertical="top"/>
    </xf>
    <xf numFmtId="0" fontId="7" fillId="0" borderId="64" xfId="178" applyFont="1" applyBorder="1" applyAlignment="1" applyProtection="1"/>
    <xf numFmtId="0" fontId="5" fillId="0" borderId="65" xfId="178" applyFont="1" applyBorder="1" applyAlignment="1" applyProtection="1"/>
    <xf numFmtId="0" fontId="1" fillId="0" borderId="0" xfId="178" applyFont="1" applyAlignment="1" applyProtection="1">
      <alignment horizontal="left" vertical="top"/>
    </xf>
    <xf numFmtId="0" fontId="71" fillId="0" borderId="0" xfId="178" applyFont="1" applyAlignment="1" applyProtection="1">
      <alignment horizontal="left"/>
    </xf>
    <xf numFmtId="49" fontId="76" fillId="9" borderId="66" xfId="179" applyNumberFormat="1" applyFont="1" applyFill="1" applyBorder="1" applyAlignment="1">
      <alignment horizontal="left"/>
    </xf>
    <xf numFmtId="0" fontId="76" fillId="9" borderId="66" xfId="179" applyFont="1" applyFill="1" applyBorder="1" applyAlignment="1">
      <alignment horizontal="left"/>
    </xf>
    <xf numFmtId="0" fontId="5" fillId="9" borderId="66" xfId="179" applyFont="1" applyFill="1" applyBorder="1"/>
    <xf numFmtId="0" fontId="76" fillId="9" borderId="66" xfId="179" applyFont="1" applyFill="1" applyBorder="1" applyAlignment="1">
      <alignment horizontal="center"/>
    </xf>
    <xf numFmtId="0" fontId="77" fillId="0" borderId="0" xfId="181" applyFont="1" applyFill="1" applyBorder="1"/>
    <xf numFmtId="49" fontId="78" fillId="9" borderId="0" xfId="179" applyNumberFormat="1" applyFont="1" applyFill="1" applyAlignment="1">
      <alignment horizontal="left"/>
    </xf>
    <xf numFmtId="0" fontId="78" fillId="9" borderId="0" xfId="179" applyFont="1" applyFill="1" applyAlignment="1">
      <alignment horizontal="left"/>
    </xf>
    <xf numFmtId="0" fontId="5" fillId="9" borderId="0" xfId="179" applyFont="1" applyFill="1"/>
    <xf numFmtId="0" fontId="78" fillId="9" borderId="0" xfId="179" applyFont="1" applyFill="1" applyAlignment="1">
      <alignment horizontal="center"/>
    </xf>
    <xf numFmtId="49" fontId="79" fillId="9" borderId="0" xfId="179" applyNumberFormat="1" applyFont="1" applyFill="1" applyAlignment="1">
      <alignment horizontal="left"/>
    </xf>
    <xf numFmtId="0" fontId="79" fillId="9" borderId="0" xfId="179" applyFont="1" applyFill="1" applyAlignment="1">
      <alignment horizontal="left"/>
    </xf>
    <xf numFmtId="0" fontId="12" fillId="9" borderId="0" xfId="179" applyFill="1"/>
    <xf numFmtId="0" fontId="79" fillId="9" borderId="0" xfId="179" applyFont="1" applyFill="1" applyAlignment="1">
      <alignment horizontal="center"/>
    </xf>
    <xf numFmtId="49" fontId="80" fillId="9" borderId="0" xfId="179" applyNumberFormat="1" applyFont="1" applyFill="1" applyAlignment="1">
      <alignment horizontal="left"/>
    </xf>
    <xf numFmtId="0" fontId="80" fillId="9" borderId="0" xfId="179" applyFont="1" applyFill="1" applyAlignment="1">
      <alignment horizontal="left"/>
    </xf>
    <xf numFmtId="0" fontId="80" fillId="9" borderId="0" xfId="179" applyFont="1" applyFill="1" applyAlignment="1">
      <alignment horizontal="center"/>
    </xf>
    <xf numFmtId="0" fontId="5" fillId="9" borderId="0" xfId="179" applyFont="1" applyFill="1" applyAlignment="1">
      <alignment horizontal="left"/>
    </xf>
    <xf numFmtId="49" fontId="81" fillId="30" borderId="67" xfId="179" applyNumberFormat="1" applyFont="1" applyFill="1" applyBorder="1" applyAlignment="1">
      <alignment horizontal="center"/>
    </xf>
    <xf numFmtId="49" fontId="81" fillId="30" borderId="68" xfId="179" applyNumberFormat="1" applyFont="1" applyFill="1" applyBorder="1" applyAlignment="1">
      <alignment horizontal="center"/>
    </xf>
    <xf numFmtId="0" fontId="81" fillId="30" borderId="68" xfId="179" applyFont="1" applyFill="1" applyBorder="1" applyAlignment="1">
      <alignment horizontal="center"/>
    </xf>
    <xf numFmtId="230" fontId="54" fillId="0" borderId="0" xfId="179" applyNumberFormat="1" applyFont="1"/>
    <xf numFmtId="49" fontId="54" fillId="0" borderId="0" xfId="179" applyNumberFormat="1" applyFont="1" applyFill="1"/>
    <xf numFmtId="0" fontId="54" fillId="0" borderId="0" xfId="179" applyFont="1" applyFill="1"/>
    <xf numFmtId="49" fontId="54" fillId="14" borderId="0" xfId="179" applyNumberFormat="1" applyFont="1" applyFill="1"/>
    <xf numFmtId="0" fontId="54" fillId="14" borderId="0" xfId="179" applyFont="1" applyFill="1"/>
    <xf numFmtId="0" fontId="77" fillId="0" borderId="0" xfId="181" applyFont="1" applyBorder="1"/>
    <xf numFmtId="49" fontId="54" fillId="31" borderId="0" xfId="179" applyNumberFormat="1" applyFont="1" applyFill="1"/>
    <xf numFmtId="0" fontId="54" fillId="31" borderId="0" xfId="179" applyFont="1" applyFill="1"/>
    <xf numFmtId="0" fontId="12" fillId="0" borderId="0" xfId="179"/>
    <xf numFmtId="176" fontId="12" fillId="0" borderId="0" xfId="179" applyNumberFormat="1"/>
    <xf numFmtId="230" fontId="54" fillId="31" borderId="0" xfId="179" applyNumberFormat="1" applyFont="1" applyFill="1"/>
    <xf numFmtId="230" fontId="54" fillId="18" borderId="0" xfId="179" applyNumberFormat="1" applyFont="1" applyFill="1"/>
    <xf numFmtId="230" fontId="12" fillId="0" borderId="0" xfId="179" applyNumberFormat="1"/>
    <xf numFmtId="0" fontId="5" fillId="0" borderId="0" xfId="179" applyFont="1"/>
    <xf numFmtId="0" fontId="5" fillId="0" borderId="0" xfId="179" applyFont="1" applyAlignment="1">
      <alignment horizontal="left"/>
    </xf>
    <xf numFmtId="230" fontId="77" fillId="0" borderId="0" xfId="181" applyNumberFormat="1" applyFont="1" applyFill="1" applyBorder="1"/>
    <xf numFmtId="177" fontId="1" fillId="11" borderId="0" xfId="178" applyNumberFormat="1" applyFill="1">
      <alignment vertical="center"/>
    </xf>
    <xf numFmtId="176" fontId="23" fillId="0" borderId="0" xfId="152" applyNumberFormat="1" applyFont="1" applyProtection="1">
      <alignment vertical="center"/>
    </xf>
    <xf numFmtId="183" fontId="23" fillId="0" borderId="0" xfId="152" applyNumberFormat="1" applyFont="1" applyProtection="1">
      <alignment vertical="center"/>
    </xf>
    <xf numFmtId="0" fontId="25" fillId="18" borderId="0" xfId="152" applyFont="1" applyFill="1" applyProtection="1">
      <alignment vertical="center"/>
    </xf>
    <xf numFmtId="177" fontId="25" fillId="18" borderId="0" xfId="152" applyNumberFormat="1" applyFont="1" applyFill="1" applyProtection="1">
      <alignment vertical="center"/>
    </xf>
    <xf numFmtId="177" fontId="12" fillId="0" borderId="0" xfId="179" applyNumberFormat="1"/>
    <xf numFmtId="177" fontId="35" fillId="21" borderId="0" xfId="0" applyNumberFormat="1" applyFont="1" applyFill="1" applyAlignment="1" applyProtection="1">
      <alignment vertical="center"/>
    </xf>
    <xf numFmtId="177" fontId="35" fillId="21" borderId="0" xfId="0" applyNumberFormat="1" applyFont="1" applyFill="1" applyAlignment="1" applyProtection="1">
      <alignment horizontal="right" vertical="center"/>
    </xf>
    <xf numFmtId="0" fontId="23" fillId="0" borderId="2" xfId="152" applyFont="1" applyBorder="1" applyAlignment="1" applyProtection="1">
      <alignment horizontal="center" vertical="center"/>
    </xf>
    <xf numFmtId="180" fontId="23" fillId="0" borderId="0" xfId="152" applyNumberFormat="1" applyFont="1" applyBorder="1" applyProtection="1">
      <alignment vertical="center"/>
    </xf>
    <xf numFmtId="180" fontId="23" fillId="0" borderId="1" xfId="152" applyNumberFormat="1" applyFont="1" applyBorder="1" applyProtection="1">
      <alignment vertical="center"/>
    </xf>
    <xf numFmtId="0" fontId="23" fillId="0" borderId="1" xfId="152" applyFont="1" applyBorder="1" applyAlignment="1" applyProtection="1">
      <alignment horizontal="center" vertical="center"/>
    </xf>
    <xf numFmtId="0" fontId="26" fillId="20" borderId="0" xfId="152" applyFont="1" applyFill="1" applyProtection="1">
      <alignment vertical="center"/>
    </xf>
    <xf numFmtId="177" fontId="26" fillId="20" borderId="0" xfId="152" applyNumberFormat="1" applyFont="1" applyFill="1" applyProtection="1">
      <alignment vertical="center"/>
    </xf>
    <xf numFmtId="0" fontId="40" fillId="24" borderId="69" xfId="0" applyFont="1" applyFill="1" applyBorder="1" applyAlignment="1">
      <alignment horizontal="center" vertical="center" wrapText="1"/>
    </xf>
    <xf numFmtId="0" fontId="40" fillId="24" borderId="70" xfId="0" applyFont="1" applyFill="1" applyBorder="1" applyAlignment="1">
      <alignment horizontal="center" vertical="center" wrapText="1"/>
    </xf>
    <xf numFmtId="3" fontId="23" fillId="0" borderId="0" xfId="152" applyNumberFormat="1" applyFont="1" applyProtection="1">
      <alignment vertical="center"/>
    </xf>
    <xf numFmtId="177" fontId="35" fillId="11" borderId="0" xfId="0" applyNumberFormat="1" applyFont="1" applyFill="1" applyAlignment="1" applyProtection="1">
      <alignment vertical="center"/>
    </xf>
    <xf numFmtId="0" fontId="25" fillId="0" borderId="0" xfId="152" applyFont="1" applyFill="1" applyAlignment="1" applyProtection="1">
      <alignment horizontal="left" vertical="center" indent="1"/>
    </xf>
    <xf numFmtId="0" fontId="35" fillId="0" borderId="0" xfId="178" applyFont="1" applyFill="1" applyBorder="1" applyProtection="1">
      <alignment vertical="center"/>
    </xf>
    <xf numFmtId="0" fontId="53" fillId="0" borderId="0" xfId="166" applyAlignment="1" applyProtection="1">
      <alignment horizontal="left" vertical="top"/>
    </xf>
    <xf numFmtId="0" fontId="7" fillId="0" borderId="0" xfId="166" applyFont="1" applyAlignment="1" applyProtection="1">
      <alignment horizontal="left"/>
    </xf>
    <xf numFmtId="0" fontId="7" fillId="0" borderId="0" xfId="166" applyFont="1" applyAlignment="1" applyProtection="1">
      <alignment horizontal="center"/>
    </xf>
    <xf numFmtId="0" fontId="5" fillId="0" borderId="0" xfId="166" applyFont="1" applyAlignment="1" applyProtection="1">
      <alignment horizontal="left"/>
    </xf>
    <xf numFmtId="0" fontId="5" fillId="0" borderId="0" xfId="166" applyFont="1" applyAlignment="1" applyProtection="1">
      <alignment horizontal="center"/>
    </xf>
    <xf numFmtId="0" fontId="82" fillId="0" borderId="0" xfId="166" applyFont="1" applyAlignment="1" applyProtection="1">
      <alignment horizontal="center"/>
    </xf>
    <xf numFmtId="37" fontId="5" fillId="0" borderId="0" xfId="166" applyNumberFormat="1" applyFont="1" applyAlignment="1" applyProtection="1">
      <alignment horizontal="right"/>
    </xf>
    <xf numFmtId="37" fontId="5" fillId="3" borderId="0" xfId="166" applyNumberFormat="1" applyFont="1" applyFill="1" applyAlignment="1" applyProtection="1">
      <alignment horizontal="right"/>
    </xf>
    <xf numFmtId="37" fontId="5" fillId="0" borderId="30" xfId="166" applyNumberFormat="1" applyFont="1" applyBorder="1" applyAlignment="1" applyProtection="1">
      <alignment horizontal="right"/>
    </xf>
    <xf numFmtId="37" fontId="5" fillId="0" borderId="31" xfId="166" applyNumberFormat="1" applyFont="1" applyBorder="1" applyAlignment="1" applyProtection="1">
      <alignment horizontal="right"/>
    </xf>
    <xf numFmtId="37" fontId="5" fillId="0" borderId="32" xfId="166" applyNumberFormat="1" applyFont="1" applyBorder="1" applyAlignment="1" applyProtection="1">
      <alignment horizontal="right"/>
    </xf>
    <xf numFmtId="37" fontId="5" fillId="0" borderId="0" xfId="166" applyNumberFormat="1" applyFont="1" applyBorder="1" applyAlignment="1" applyProtection="1">
      <alignment horizontal="right"/>
    </xf>
    <xf numFmtId="37" fontId="5" fillId="0" borderId="31" xfId="166" applyNumberFormat="1" applyFont="1" applyFill="1" applyBorder="1" applyAlignment="1" applyProtection="1">
      <alignment horizontal="right"/>
    </xf>
    <xf numFmtId="37" fontId="5" fillId="0" borderId="1" xfId="166" applyNumberFormat="1" applyFont="1" applyBorder="1" applyAlignment="1" applyProtection="1">
      <alignment horizontal="right"/>
    </xf>
    <xf numFmtId="37" fontId="53" fillId="0" borderId="0" xfId="166" applyNumberFormat="1" applyAlignment="1" applyProtection="1">
      <alignment horizontal="left" vertical="top"/>
    </xf>
    <xf numFmtId="0" fontId="7" fillId="0" borderId="25" xfId="166" applyFont="1" applyBorder="1" applyAlignment="1" applyProtection="1">
      <alignment horizontal="left"/>
    </xf>
    <xf numFmtId="37" fontId="7" fillId="0" borderId="71" xfId="166" applyNumberFormat="1" applyFont="1" applyBorder="1" applyAlignment="1" applyProtection="1">
      <alignment horizontal="right"/>
    </xf>
    <xf numFmtId="37" fontId="7" fillId="0" borderId="26" xfId="166" applyNumberFormat="1" applyFont="1" applyBorder="1" applyAlignment="1" applyProtection="1">
      <alignment horizontal="right"/>
    </xf>
    <xf numFmtId="0" fontId="5" fillId="0" borderId="11" xfId="166" applyFont="1" applyBorder="1" applyAlignment="1" applyProtection="1">
      <alignment horizontal="left"/>
    </xf>
    <xf numFmtId="37" fontId="5" fillId="0" borderId="12" xfId="166" applyNumberFormat="1" applyFont="1" applyBorder="1" applyAlignment="1" applyProtection="1">
      <alignment horizontal="right"/>
    </xf>
    <xf numFmtId="0" fontId="53" fillId="0" borderId="0" xfId="166" applyFont="1" applyBorder="1" applyAlignment="1" applyProtection="1">
      <alignment horizontal="left" vertical="top"/>
    </xf>
    <xf numFmtId="0" fontId="7" fillId="0" borderId="22" xfId="166" applyFont="1" applyBorder="1" applyAlignment="1" applyProtection="1">
      <alignment horizontal="left"/>
    </xf>
    <xf numFmtId="37" fontId="7" fillId="0" borderId="23" xfId="166" applyNumberFormat="1" applyFont="1" applyBorder="1" applyAlignment="1" applyProtection="1">
      <alignment horizontal="right"/>
    </xf>
    <xf numFmtId="37" fontId="7" fillId="0" borderId="24" xfId="166" applyNumberFormat="1" applyFont="1" applyBorder="1" applyAlignment="1" applyProtection="1">
      <alignment horizontal="right"/>
    </xf>
    <xf numFmtId="0" fontId="83" fillId="0" borderId="0" xfId="166" applyFont="1" applyBorder="1" applyAlignment="1" applyProtection="1">
      <alignment horizontal="left"/>
    </xf>
    <xf numFmtId="37" fontId="83" fillId="0" borderId="0" xfId="166" applyNumberFormat="1" applyFont="1" applyBorder="1" applyAlignment="1" applyProtection="1">
      <alignment horizontal="right"/>
    </xf>
    <xf numFmtId="0" fontId="5" fillId="0" borderId="0" xfId="166" applyFont="1" applyBorder="1" applyAlignment="1" applyProtection="1">
      <alignment horizontal="left"/>
    </xf>
    <xf numFmtId="0" fontId="7" fillId="0" borderId="0" xfId="166" applyFont="1" applyBorder="1" applyAlignment="1" applyProtection="1">
      <alignment horizontal="left"/>
    </xf>
    <xf numFmtId="37" fontId="5" fillId="0" borderId="71" xfId="166" applyNumberFormat="1" applyFont="1" applyBorder="1" applyAlignment="1" applyProtection="1">
      <alignment horizontal="right"/>
    </xf>
    <xf numFmtId="37" fontId="5" fillId="0" borderId="26" xfId="166" applyNumberFormat="1" applyFont="1" applyBorder="1" applyAlignment="1" applyProtection="1">
      <alignment horizontal="right"/>
    </xf>
    <xf numFmtId="10" fontId="5" fillId="0" borderId="0" xfId="167" applyNumberFormat="1" applyFont="1" applyBorder="1" applyAlignment="1" applyProtection="1">
      <alignment horizontal="right"/>
    </xf>
    <xf numFmtId="10" fontId="5" fillId="0" borderId="12" xfId="167" applyNumberFormat="1" applyFont="1" applyBorder="1" applyAlignment="1" applyProtection="1">
      <alignment horizontal="right"/>
    </xf>
    <xf numFmtId="0" fontId="7" fillId="0" borderId="11" xfId="166" applyFont="1" applyBorder="1" applyAlignment="1" applyProtection="1">
      <alignment horizontal="left"/>
    </xf>
    <xf numFmtId="0" fontId="5" fillId="0" borderId="22" xfId="166" applyFont="1" applyBorder="1" applyAlignment="1" applyProtection="1">
      <alignment horizontal="left"/>
    </xf>
    <xf numFmtId="10" fontId="5" fillId="0" borderId="23" xfId="167" applyNumberFormat="1" applyFont="1" applyBorder="1" applyAlignment="1" applyProtection="1">
      <alignment horizontal="right"/>
    </xf>
    <xf numFmtId="10" fontId="5" fillId="0" borderId="24" xfId="167" applyNumberFormat="1" applyFont="1" applyBorder="1" applyAlignment="1" applyProtection="1">
      <alignment horizontal="right"/>
    </xf>
    <xf numFmtId="0" fontId="53" fillId="0" borderId="0" xfId="166" applyBorder="1" applyAlignment="1" applyProtection="1">
      <alignment horizontal="left" vertical="top"/>
    </xf>
    <xf numFmtId="0" fontId="5" fillId="31" borderId="7" xfId="166" applyFont="1" applyFill="1" applyBorder="1" applyAlignment="1" applyProtection="1">
      <alignment horizontal="left"/>
    </xf>
    <xf numFmtId="37" fontId="5" fillId="31" borderId="19" xfId="166" applyNumberFormat="1" applyFont="1" applyFill="1" applyBorder="1" applyAlignment="1" applyProtection="1">
      <alignment horizontal="center" vertical="center"/>
    </xf>
    <xf numFmtId="0" fontId="5" fillId="31" borderId="72" xfId="166" applyFont="1" applyFill="1" applyBorder="1" applyAlignment="1" applyProtection="1">
      <alignment horizontal="left"/>
    </xf>
    <xf numFmtId="10" fontId="84" fillId="31" borderId="4" xfId="166" applyNumberFormat="1" applyFont="1" applyFill="1" applyBorder="1" applyAlignment="1" applyProtection="1">
      <alignment horizontal="center" vertical="center"/>
    </xf>
    <xf numFmtId="37" fontId="5" fillId="31" borderId="19" xfId="166" applyNumberFormat="1" applyFont="1" applyFill="1" applyBorder="1" applyAlignment="1" applyProtection="1">
      <alignment horizontal="right"/>
    </xf>
    <xf numFmtId="0" fontId="5" fillId="31" borderId="73" xfId="166" applyFont="1" applyFill="1" applyBorder="1" applyAlignment="1" applyProtection="1">
      <alignment horizontal="left"/>
    </xf>
    <xf numFmtId="37" fontId="5" fillId="31" borderId="74" xfId="166" applyNumberFormat="1" applyFont="1" applyFill="1" applyBorder="1" applyAlignment="1" applyProtection="1">
      <alignment horizontal="right"/>
    </xf>
    <xf numFmtId="10" fontId="53" fillId="31" borderId="4" xfId="166" applyNumberFormat="1" applyFill="1" applyBorder="1" applyAlignment="1" applyProtection="1">
      <alignment horizontal="left" vertical="top"/>
    </xf>
    <xf numFmtId="0" fontId="5" fillId="29" borderId="7" xfId="166" applyFont="1" applyFill="1" applyBorder="1" applyAlignment="1" applyProtection="1">
      <alignment horizontal="left"/>
    </xf>
    <xf numFmtId="0" fontId="53" fillId="29" borderId="19" xfId="166" applyFill="1" applyBorder="1" applyAlignment="1" applyProtection="1">
      <alignment horizontal="left" vertical="top"/>
    </xf>
    <xf numFmtId="0" fontId="5" fillId="29" borderId="73" xfId="166" applyFont="1" applyFill="1" applyBorder="1" applyAlignment="1" applyProtection="1">
      <alignment horizontal="left"/>
    </xf>
    <xf numFmtId="37" fontId="5" fillId="29" borderId="74" xfId="166" applyNumberFormat="1" applyFont="1" applyFill="1" applyBorder="1" applyAlignment="1" applyProtection="1">
      <alignment horizontal="right"/>
    </xf>
    <xf numFmtId="0" fontId="5" fillId="29" borderId="72" xfId="166" applyFont="1" applyFill="1" applyBorder="1" applyAlignment="1" applyProtection="1">
      <alignment horizontal="left"/>
    </xf>
    <xf numFmtId="37" fontId="5" fillId="29" borderId="4" xfId="166" applyNumberFormat="1" applyFont="1" applyFill="1" applyBorder="1" applyAlignment="1" applyProtection="1">
      <alignment horizontal="right"/>
    </xf>
    <xf numFmtId="37" fontId="5" fillId="14" borderId="0" xfId="166" applyNumberFormat="1" applyFont="1" applyFill="1" applyAlignment="1" applyProtection="1">
      <alignment horizontal="right"/>
    </xf>
    <xf numFmtId="37" fontId="53" fillId="0" borderId="0" xfId="166" applyNumberFormat="1" applyFont="1" applyAlignment="1" applyProtection="1">
      <alignment vertical="top"/>
    </xf>
    <xf numFmtId="177" fontId="53" fillId="0" borderId="0" xfId="166" applyNumberFormat="1" applyFont="1" applyAlignment="1" applyProtection="1">
      <alignment vertical="top"/>
    </xf>
    <xf numFmtId="177" fontId="35" fillId="0" borderId="0" xfId="0" applyNumberFormat="1" applyFont="1" applyFill="1" applyAlignment="1" applyProtection="1">
      <alignment vertical="center"/>
    </xf>
    <xf numFmtId="0" fontId="26" fillId="0" borderId="11" xfId="152" applyFont="1" applyFill="1" applyBorder="1" applyAlignment="1">
      <alignment vertical="center"/>
    </xf>
    <xf numFmtId="0" fontId="25" fillId="0" borderId="18" xfId="152" applyFont="1" applyFill="1" applyBorder="1" applyAlignment="1">
      <alignment vertical="center"/>
    </xf>
    <xf numFmtId="210" fontId="26" fillId="0" borderId="2" xfId="152" applyNumberFormat="1" applyFont="1" applyFill="1" applyBorder="1">
      <alignment vertical="center"/>
    </xf>
    <xf numFmtId="210" fontId="26" fillId="0" borderId="13" xfId="152" applyNumberFormat="1" applyFont="1" applyFill="1" applyBorder="1">
      <alignment vertical="center"/>
    </xf>
    <xf numFmtId="177" fontId="26" fillId="0" borderId="0" xfId="152" applyNumberFormat="1" applyFont="1" applyFill="1" applyBorder="1">
      <alignment vertical="center"/>
    </xf>
    <xf numFmtId="210" fontId="25" fillId="0" borderId="2" xfId="152" applyNumberFormat="1" applyFont="1" applyFill="1" applyBorder="1">
      <alignment vertical="center"/>
    </xf>
    <xf numFmtId="210" fontId="25" fillId="0" borderId="13" xfId="152" applyNumberFormat="1" applyFont="1" applyFill="1" applyBorder="1">
      <alignment vertical="center"/>
    </xf>
    <xf numFmtId="0" fontId="40" fillId="24" borderId="59" xfId="176" applyBorder="1">
      <alignment horizontal="center" vertical="center"/>
    </xf>
    <xf numFmtId="0" fontId="40" fillId="24" borderId="41" xfId="176" applyBorder="1">
      <alignment horizontal="center" vertical="center"/>
    </xf>
    <xf numFmtId="26" fontId="40" fillId="24" borderId="46" xfId="176" applyNumberFormat="1" applyBorder="1" applyAlignment="1">
      <alignment horizontal="center" vertical="center"/>
    </xf>
    <xf numFmtId="26" fontId="40" fillId="24" borderId="54" xfId="176" applyNumberFormat="1" applyBorder="1" applyAlignment="1">
      <alignment horizontal="center" vertical="center"/>
    </xf>
    <xf numFmtId="26" fontId="40" fillId="24" borderId="46" xfId="176" applyNumberFormat="1" applyFont="1" applyBorder="1">
      <alignment horizontal="center" vertical="center"/>
    </xf>
    <xf numFmtId="26" fontId="40" fillId="24" borderId="54" xfId="176" applyNumberFormat="1" applyFont="1" applyBorder="1">
      <alignment horizontal="center" vertical="center"/>
    </xf>
    <xf numFmtId="26" fontId="40" fillId="24" borderId="45" xfId="175" applyNumberFormat="1" applyFont="1" applyBorder="1" applyAlignment="1">
      <alignment horizontal="center" vertical="center"/>
    </xf>
    <xf numFmtId="26" fontId="40" fillId="24" borderId="43" xfId="175" applyNumberFormat="1" applyFont="1" applyBorder="1" applyAlignment="1">
      <alignment horizontal="center" vertical="center"/>
    </xf>
    <xf numFmtId="0" fontId="40" fillId="24" borderId="41" xfId="175" applyFont="1" applyBorder="1" applyAlignment="1">
      <alignment horizontal="center" vertical="center"/>
    </xf>
    <xf numFmtId="0" fontId="40" fillId="24" borderId="39" xfId="175" applyFont="1" applyAlignment="1">
      <alignment horizontal="center" vertical="center"/>
    </xf>
    <xf numFmtId="0" fontId="40" fillId="24" borderId="59" xfId="176" applyBorder="1" applyAlignment="1">
      <alignment horizontal="center" vertical="center"/>
    </xf>
    <xf numFmtId="0" fontId="40" fillId="24" borderId="41" xfId="176" applyBorder="1" applyAlignment="1">
      <alignment horizontal="center" vertical="center"/>
    </xf>
    <xf numFmtId="0" fontId="25" fillId="0" borderId="3" xfId="152" applyFont="1" applyFill="1" applyBorder="1" applyAlignment="1">
      <alignment horizontal="center" vertical="center"/>
    </xf>
    <xf numFmtId="0" fontId="25" fillId="0" borderId="19" xfId="152" applyFont="1" applyFill="1" applyBorder="1" applyAlignment="1">
      <alignment horizontal="center" vertical="center"/>
    </xf>
    <xf numFmtId="0" fontId="25" fillId="0" borderId="7" xfId="152" applyFont="1" applyFill="1" applyBorder="1" applyAlignment="1">
      <alignment horizontal="center" vertical="center"/>
    </xf>
    <xf numFmtId="0" fontId="25" fillId="0" borderId="15" xfId="152" applyFont="1" applyFill="1" applyBorder="1" applyAlignment="1">
      <alignment horizontal="center" vertical="center"/>
    </xf>
    <xf numFmtId="0" fontId="62" fillId="23" borderId="5" xfId="168" applyFont="1" applyFill="1" applyBorder="1" applyAlignment="1">
      <alignment horizontal="center" vertical="center" wrapText="1"/>
    </xf>
    <xf numFmtId="0" fontId="62" fillId="23" borderId="6" xfId="168" applyFont="1" applyFill="1" applyBorder="1" applyAlignment="1">
      <alignment horizontal="center" vertical="center"/>
    </xf>
    <xf numFmtId="0" fontId="62" fillId="23" borderId="35" xfId="168" applyFont="1" applyFill="1" applyBorder="1" applyAlignment="1">
      <alignment horizontal="center" vertical="center"/>
    </xf>
    <xf numFmtId="0" fontId="59" fillId="16" borderId="5" xfId="168" applyFont="1" applyFill="1" applyBorder="1" applyAlignment="1">
      <alignment horizontal="center" vertical="center"/>
    </xf>
    <xf numFmtId="0" fontId="60" fillId="22" borderId="5" xfId="168" applyFont="1" applyFill="1" applyBorder="1" applyAlignment="1">
      <alignment horizontal="center" vertical="center"/>
    </xf>
    <xf numFmtId="0" fontId="62" fillId="22" borderId="5" xfId="168" applyFont="1" applyFill="1" applyBorder="1" applyAlignment="1">
      <alignment horizontal="center" vertical="center"/>
    </xf>
    <xf numFmtId="180" fontId="39" fillId="0" borderId="38" xfId="173" applyNumberFormat="1" applyFont="1">
      <alignment vertical="center"/>
    </xf>
    <xf numFmtId="177" fontId="39" fillId="0" borderId="38" xfId="172" applyNumberFormat="1" applyBorder="1">
      <alignment vertical="center"/>
    </xf>
    <xf numFmtId="0" fontId="40" fillId="24" borderId="42" xfId="177" applyFont="1" applyBorder="1">
      <alignment horizontal="center" vertical="center"/>
    </xf>
    <xf numFmtId="0" fontId="39" fillId="0" borderId="51" xfId="173" applyFont="1" applyBorder="1" applyAlignment="1">
      <alignment horizontal="right" vertical="center"/>
    </xf>
    <xf numFmtId="180" fontId="39" fillId="0" borderId="53" xfId="173" applyNumberFormat="1" applyFont="1" applyBorder="1">
      <alignment vertical="center"/>
    </xf>
    <xf numFmtId="180" fontId="39" fillId="0" borderId="48" xfId="173" applyNumberFormat="1" applyFont="1" applyBorder="1">
      <alignment vertical="center"/>
    </xf>
    <xf numFmtId="180" fontId="39" fillId="0" borderId="75" xfId="173" applyNumberFormat="1" applyFont="1" applyFill="1" applyBorder="1" applyAlignment="1">
      <alignment vertical="center"/>
    </xf>
    <xf numFmtId="0" fontId="39" fillId="13" borderId="45" xfId="174" applyFont="1" applyBorder="1" applyAlignment="1">
      <alignment horizontal="left" vertical="center" indent="1"/>
    </xf>
    <xf numFmtId="210" fontId="39" fillId="0" borderId="53" xfId="173" applyNumberFormat="1" applyFont="1" applyBorder="1">
      <alignment vertical="center"/>
    </xf>
  </cellXfs>
  <cellStyles count="182">
    <cellStyle name="#_0_Bold_E" xfId="2"/>
    <cellStyle name="#_0_Bold_R" xfId="3"/>
    <cellStyle name="#_0_Bold_W" xfId="4"/>
    <cellStyle name="#_0_E" xfId="5"/>
    <cellStyle name="#_0_R" xfId="6"/>
    <cellStyle name="#_0_Total_E" xfId="7"/>
    <cellStyle name="#_0_Total_R" xfId="8"/>
    <cellStyle name="#_0_Total_W" xfId="9"/>
    <cellStyle name="#_0_W" xfId="10"/>
    <cellStyle name="#_1_Bold_E" xfId="11"/>
    <cellStyle name="#_1_Bold_R" xfId="12"/>
    <cellStyle name="#_1_Bold_W" xfId="13"/>
    <cellStyle name="#_1_E" xfId="14"/>
    <cellStyle name="#_1_R" xfId="15"/>
    <cellStyle name="#_1_Total_E" xfId="16"/>
    <cellStyle name="#_1_Total_R" xfId="17"/>
    <cellStyle name="#_1_Total_W" xfId="18"/>
    <cellStyle name="#_1_W" xfId="19"/>
    <cellStyle name="#_2_Bold_E" xfId="20"/>
    <cellStyle name="#_2_Bold_R" xfId="21"/>
    <cellStyle name="#_2_Bold_W" xfId="22"/>
    <cellStyle name="#_2_E" xfId="23"/>
    <cellStyle name="#_2_R" xfId="24"/>
    <cellStyle name="#_2_Total_E" xfId="25"/>
    <cellStyle name="#_2_Total_R" xfId="26"/>
    <cellStyle name="#_2_W" xfId="27"/>
    <cellStyle name="#_2_W_Total" xfId="28"/>
    <cellStyle name="#_4_Bold_R" xfId="29"/>
    <cellStyle name="#_4_E" xfId="30"/>
    <cellStyle name="#_K_R" xfId="31"/>
    <cellStyle name="#_K_R 2" xfId="32"/>
    <cellStyle name="#_K_R 2 2" xfId="33"/>
    <cellStyle name="#_K_R 3" xfId="34"/>
    <cellStyle name="#_K_R 4" xfId="35"/>
    <cellStyle name="#_K_W" xfId="36"/>
    <cellStyle name="%_0_Bold_E" xfId="37"/>
    <cellStyle name="%_0_Bold_R" xfId="38"/>
    <cellStyle name="%_0_Bold_W" xfId="39"/>
    <cellStyle name="%_0_E" xfId="40"/>
    <cellStyle name="%_0_R" xfId="41"/>
    <cellStyle name="%_0_Total_E" xfId="42"/>
    <cellStyle name="%_0_Total_R" xfId="43"/>
    <cellStyle name="%_0_Total_W" xfId="44"/>
    <cellStyle name="%_0_W" xfId="45"/>
    <cellStyle name="%_1_Bold_E" xfId="46"/>
    <cellStyle name="%_1_Bold_R" xfId="47"/>
    <cellStyle name="%_1_Bold_W" xfId="48"/>
    <cellStyle name="%_1_E" xfId="49"/>
    <cellStyle name="%_1_R" xfId="50"/>
    <cellStyle name="%_1_Total_E" xfId="51"/>
    <cellStyle name="%_1_Total_R" xfId="52"/>
    <cellStyle name="%_1_Total_W" xfId="53"/>
    <cellStyle name="%_1_W" xfId="54"/>
    <cellStyle name="%_2_Bold_E" xfId="55"/>
    <cellStyle name="%_2_Bold_R" xfId="56"/>
    <cellStyle name="%_2_Bold_W" xfId="57"/>
    <cellStyle name="%_2_E" xfId="58"/>
    <cellStyle name="%_2_R" xfId="59"/>
    <cellStyle name="%_2_Total_E" xfId="60"/>
    <cellStyle name="%_2_Total_R" xfId="61"/>
    <cellStyle name="%_2_Total_W" xfId="62"/>
    <cellStyle name="%_2_W" xfId="63"/>
    <cellStyle name="%_3_Bold_E" xfId="64"/>
    <cellStyle name="%_3_Bold_R" xfId="65"/>
    <cellStyle name="%_3_Bold_W" xfId="66"/>
    <cellStyle name="%_3_E" xfId="67"/>
    <cellStyle name="%_3_R" xfId="68"/>
    <cellStyle name="%_3_Total_E" xfId="69"/>
    <cellStyle name="%_3_Total_R" xfId="70"/>
    <cellStyle name="%_3_Total_W" xfId="71"/>
    <cellStyle name="%_3_W" xfId="72"/>
    <cellStyle name="_mir-2000-Nov-03_eod " xfId="150"/>
    <cellStyle name="Accounting_BoxEdit" xfId="73"/>
    <cellStyle name="BlackBorder" xfId="74"/>
    <cellStyle name="CF_#_0_Box_E" xfId="75"/>
    <cellStyle name="Comma 2" xfId="77"/>
    <cellStyle name="Comma 3" xfId="78"/>
    <cellStyle name="Comma 4" xfId="79"/>
    <cellStyle name="Comma 4 2" xfId="80"/>
    <cellStyle name="Comma 5" xfId="81"/>
    <cellStyle name="Comma 6" xfId="76"/>
    <cellStyle name="Currency 2" xfId="82"/>
    <cellStyle name="Date_Bold_E" xfId="83"/>
    <cellStyle name="Euro" xfId="84"/>
    <cellStyle name="EY1_BL" xfId="154"/>
    <cellStyle name="EY1_BM" xfId="172"/>
    <cellStyle name="EY1_BR" xfId="173"/>
    <cellStyle name="EY2_B" xfId="155"/>
    <cellStyle name="EY3_B" xfId="156"/>
    <cellStyle name="EY4_HL" xfId="157"/>
    <cellStyle name="EY5_B" xfId="158"/>
    <cellStyle name="EY6_B" xfId="159"/>
    <cellStyle name="General_Edit" xfId="151"/>
    <cellStyle name="Generall_Write" xfId="85"/>
    <cellStyle name="GrayToolbar" xfId="86"/>
    <cellStyle name="Hidden_Formula" xfId="87"/>
    <cellStyle name="KPMG_BL" xfId="174"/>
    <cellStyle name="KPMG_HL" xfId="175"/>
    <cellStyle name="KPMG_HM" xfId="176"/>
    <cellStyle name="KPMG_HR" xfId="177"/>
    <cellStyle name="NACC" xfId="88"/>
    <cellStyle name="Normal 2" xfId="89"/>
    <cellStyle name="Normal 2 2" xfId="181"/>
    <cellStyle name="Normal 3" xfId="90"/>
    <cellStyle name="Normal 3 2" xfId="153"/>
    <cellStyle name="Normal 4" xfId="1"/>
    <cellStyle name="Normal 5" xfId="152"/>
    <cellStyle name="Normal 6" xfId="165"/>
    <cellStyle name="OS_Currency_R" xfId="91"/>
    <cellStyle name="Percent 2" xfId="93"/>
    <cellStyle name="Percent 3" xfId="94"/>
    <cellStyle name="Percent 4" xfId="95"/>
    <cellStyle name="Percent 4 2" xfId="96"/>
    <cellStyle name="Percent 5" xfId="97"/>
    <cellStyle name="Percent 6" xfId="92"/>
    <cellStyle name="Percent 7" xfId="164"/>
    <cellStyle name="PropertyNameHeader" xfId="98"/>
    <cellStyle name="RR_LoanTermYears" xfId="99"/>
    <cellStyle name="T_Center_Bold_E" xfId="100"/>
    <cellStyle name="T_Center_Bold_R" xfId="101"/>
    <cellStyle name="T_Center_Bold_Red" xfId="102"/>
    <cellStyle name="T_Center_Bold_W" xfId="103"/>
    <cellStyle name="T_Center_E" xfId="104"/>
    <cellStyle name="T_Center_Gray" xfId="105"/>
    <cellStyle name="T_Center_Header_E" xfId="106"/>
    <cellStyle name="T_Center_Header_R" xfId="107"/>
    <cellStyle name="T_Center_Header_W" xfId="108"/>
    <cellStyle name="T_Center_R" xfId="109"/>
    <cellStyle name="T_Center_Total_E" xfId="110"/>
    <cellStyle name="T_Center_Total_R" xfId="111"/>
    <cellStyle name="T_Center_Total_W" xfId="112"/>
    <cellStyle name="T_Center_W" xfId="113"/>
    <cellStyle name="T_CenterW_Bold_R" xfId="114"/>
    <cellStyle name="T_Comment_E" xfId="115"/>
    <cellStyle name="T_Comment_W" xfId="116"/>
    <cellStyle name="T_Header_Identity" xfId="117"/>
    <cellStyle name="T_Header_Sheet" xfId="118"/>
    <cellStyle name="T_Header_Table" xfId="119"/>
    <cellStyle name="T_Hidden_R" xfId="120"/>
    <cellStyle name="T_Left_Bold_E" xfId="121"/>
    <cellStyle name="T_Left_Bold_R" xfId="122"/>
    <cellStyle name="T_Left_Bold_W" xfId="123"/>
    <cellStyle name="T_Left_E" xfId="124"/>
    <cellStyle name="T_Left_Gray" xfId="125"/>
    <cellStyle name="T_Left_Header_E" xfId="126"/>
    <cellStyle name="T_Left_Header_R" xfId="127"/>
    <cellStyle name="T_Left_Header_W" xfId="128"/>
    <cellStyle name="T_Left_R" xfId="129"/>
    <cellStyle name="T_Left_Total_E" xfId="130"/>
    <cellStyle name="T_Left_Total_R" xfId="131"/>
    <cellStyle name="T_Left_Total_W" xfId="132"/>
    <cellStyle name="T_Left_W" xfId="133"/>
    <cellStyle name="T_LeftTop_W" xfId="134"/>
    <cellStyle name="T_Right_Bold_E" xfId="135"/>
    <cellStyle name="T_Right_Bold_R" xfId="136"/>
    <cellStyle name="T_Right_Bold_R:" xfId="137"/>
    <cellStyle name="T_Right_Bold_W" xfId="138"/>
    <cellStyle name="T_Right_E" xfId="139"/>
    <cellStyle name="T_Right_Gray" xfId="140"/>
    <cellStyle name="T_Right_Header_E" xfId="141"/>
    <cellStyle name="T_Right_Header_R" xfId="142"/>
    <cellStyle name="T_Right_Header_W" xfId="143"/>
    <cellStyle name="T_Right_R" xfId="144"/>
    <cellStyle name="T_Right_Total_E" xfId="145"/>
    <cellStyle name="T_Right_Total_R" xfId="146"/>
    <cellStyle name="T_Right_Total_W" xfId="147"/>
    <cellStyle name="T_Right_W" xfId="148"/>
    <cellStyle name="ZipCode_W" xfId="149"/>
    <cellStyle name="백분율 2" xfId="163"/>
    <cellStyle name="백분율 3" xfId="167"/>
    <cellStyle name="백분율 4" xfId="170"/>
    <cellStyle name="쉼표 [0] 2" xfId="169"/>
    <cellStyle name="쉼표 [0] 3" xfId="180"/>
    <cellStyle name="통화 [0]" xfId="171" builtinId="7"/>
    <cellStyle name="통화 2" xfId="162"/>
    <cellStyle name="표준" xfId="0" builtinId="0" customBuiltin="1"/>
    <cellStyle name="표준 2" xfId="161"/>
    <cellStyle name="표준 2 2" xfId="179"/>
    <cellStyle name="표준 3" xfId="166"/>
    <cellStyle name="표준 4" xfId="168"/>
    <cellStyle name="표준 5" xfId="178"/>
    <cellStyle name="하이퍼링크" xfId="160" builtinId="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sharedStrings" Target="sharedStrings.xml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WINDOWS\TEMP\MATRIX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jects\Lend%20Lease%20Portfolio\Sheraton%20JFK%20Airport\hAVE%20projections\Sheraton%20JFK%20Base%20Mode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udget%20-%202004\225%20Budge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_Acquisitions/_New%20Deals/NYC%20-%20450%20W%2033rd%20St/February%202011/D.%20Model/EXCEL/SHARED/SP/INCOME/ACCOUNTI/INTERE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jescarzega\WINDOWS\TEMP\Norwalk%20Pen%20Gen%203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udgets\444\07BUDG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51077;&#52272;&#5050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ric/Local%20Settings/Temporary%20Internet%20Files/OLK5/NationsFord_Boo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Documents/156%20Prince/Matt%20From%20Lenovo%2002-28-08/344%20W%2014th%20Street/Hilliard%20Lyons%20Center/REFinInv/Finance/10th%20edition/Chapters/Chapter%2019%20templates/cm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_Acquisitions/_New%20Deals/NYC%20-%20450%20W%2033rd%20St/February%202011/D.%20Model/EXCEL/EW%20Files/Central%20Resources/Graphs%20and%20Analyses/Market%20Tracking%20Database%2020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Documents/156%20Prince/Matt%20From%20Lenovo%2002-28-08/344%20W%2014th%20Street/Hilliard%20Lyons%20Center/REFinInv/Finance/10th%20edition/Chapters/Chapter%2019%20templates/IO-P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Documents/156%20Prince/Matt%20From%20Lenovo%2002-28-08/344%20W%2014th%20Street/Hilliard%20Lyons%20Center/REFinInv/Ex20_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1999/SEPTM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SGEN\EXCEL\APPRSRS\MCARDLE\PROPERTY\PUCK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agendron\JOBS\NEDevWashington\IHM%20and%20Workbook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_graphs"/>
      <sheetName val="Summary"/>
      <sheetName val="IRR_Calculation"/>
      <sheetName val="dropdown fields"/>
      <sheetName val="list"/>
      <sheetName val="2015 YE Act"/>
      <sheetName val="Bank List"/>
      <sheetName val="Trans Type"/>
      <sheetName val="Lookups"/>
      <sheetName val="Rooms"/>
      <sheetName val="MSTR"/>
    </sheetNames>
    <sheetDataSet>
      <sheetData sheetId="0" refreshError="1">
        <row r="12">
          <cell r="A12" t="str">
            <v>Yr 1</v>
          </cell>
          <cell r="H12">
            <v>21312753</v>
          </cell>
          <cell r="K12">
            <v>20655114</v>
          </cell>
        </row>
        <row r="13">
          <cell r="A13" t="str">
            <v>Yr 2</v>
          </cell>
          <cell r="H13">
            <v>22703977</v>
          </cell>
          <cell r="K13">
            <v>22214927</v>
          </cell>
        </row>
        <row r="14">
          <cell r="A14" t="str">
            <v>Yr 3</v>
          </cell>
          <cell r="H14">
            <v>23289088</v>
          </cell>
          <cell r="K14">
            <v>21780529</v>
          </cell>
        </row>
        <row r="15">
          <cell r="A15" t="str">
            <v>Yr 4</v>
          </cell>
          <cell r="H15">
            <v>23894859</v>
          </cell>
          <cell r="K15">
            <v>22507380</v>
          </cell>
        </row>
        <row r="16">
          <cell r="A16" t="str">
            <v>Yr 5</v>
          </cell>
          <cell r="H16">
            <v>24719909</v>
          </cell>
          <cell r="K16">
            <v>23010856</v>
          </cell>
        </row>
        <row r="17">
          <cell r="A17" t="str">
            <v>Yr 6</v>
          </cell>
          <cell r="H17">
            <v>25975167</v>
          </cell>
          <cell r="K17">
            <v>22812833</v>
          </cell>
        </row>
        <row r="18">
          <cell r="A18" t="str">
            <v>Yr 7</v>
          </cell>
          <cell r="H18">
            <v>28691489</v>
          </cell>
          <cell r="K18">
            <v>22455706</v>
          </cell>
        </row>
        <row r="19">
          <cell r="A19" t="str">
            <v>Yr 8</v>
          </cell>
          <cell r="H19">
            <v>30659817</v>
          </cell>
          <cell r="K19">
            <v>29178784</v>
          </cell>
        </row>
        <row r="20">
          <cell r="A20" t="str">
            <v>Yr 9</v>
          </cell>
          <cell r="H20">
            <v>31193653</v>
          </cell>
          <cell r="K20">
            <v>30122886</v>
          </cell>
        </row>
        <row r="21">
          <cell r="A21" t="str">
            <v>Yr 10</v>
          </cell>
          <cell r="H21">
            <v>32157016</v>
          </cell>
          <cell r="K21">
            <v>26727473</v>
          </cell>
        </row>
        <row r="22">
          <cell r="A22" t="str">
            <v>Yr 11</v>
          </cell>
          <cell r="H22">
            <v>33663611</v>
          </cell>
          <cell r="K22">
            <v>31917730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Historic Market"/>
      <sheetName val="Market Report"/>
      <sheetName val="YTD Market Report"/>
      <sheetName val="Property Summary"/>
      <sheetName val="Projected Occupancy"/>
      <sheetName val="Projected Rate"/>
      <sheetName val="Historical Financials"/>
      <sheetName val="Comparable Financials"/>
      <sheetName val="HOST"/>
      <sheetName val="Projected CF"/>
      <sheetName val="Look, Mom, NO HANDS!"/>
      <sheetName val="Valuation"/>
      <sheetName val="System Tools"/>
      <sheetName val="DlgIncrement"/>
      <sheetName val="DlgAbout"/>
      <sheetName val="DlgProject"/>
      <sheetName val="ihmModMain"/>
      <sheetName val="IHMModPrint"/>
      <sheetName val="IHMModSys"/>
      <sheetName val="IHMModXLA"/>
      <sheetName val="Line_Item_Unhide"/>
      <sheetName val="POR_PAR_POS"/>
      <sheetName val="Line_Item_Hide"/>
      <sheetName val="Historic_Market"/>
      <sheetName val="Market_Report"/>
      <sheetName val="YTD_Market_Report"/>
      <sheetName val="Property_Summary"/>
      <sheetName val="Projected_Occupancy"/>
      <sheetName val="Projected_Rate"/>
      <sheetName val="Historical_Financials"/>
      <sheetName val="Comparable_Financials"/>
      <sheetName val="Projected_CF"/>
      <sheetName val="Look,_Mom,_NO_HANDS!"/>
      <sheetName val="System_Tools"/>
    </sheetNames>
    <sheetDataSet>
      <sheetData sheetId="0">
        <row r="6">
          <cell r="C6" t="str">
            <v>Sheraton JFK</v>
          </cell>
        </row>
        <row r="7">
          <cell r="C7" t="str">
            <v>Jamaica</v>
          </cell>
        </row>
        <row r="8">
          <cell r="C8" t="str">
            <v>NY</v>
          </cell>
        </row>
        <row r="9">
          <cell r="C9">
            <v>184</v>
          </cell>
        </row>
        <row r="10">
          <cell r="C10">
            <v>2004</v>
          </cell>
        </row>
        <row r="12">
          <cell r="C12">
            <v>2002</v>
          </cell>
        </row>
        <row r="14">
          <cell r="C14" t="str">
            <v>MSR</v>
          </cell>
        </row>
        <row r="15">
          <cell r="C15" t="str">
            <v>TAC</v>
          </cell>
        </row>
        <row r="19">
          <cell r="C19" t="str">
            <v>3.0</v>
          </cell>
        </row>
        <row r="21">
          <cell r="C21" t="str">
            <v>Sheraton JFK - Jamaica, NY</v>
          </cell>
        </row>
        <row r="22">
          <cell r="C22" t="str">
            <v>Jamaica, NY</v>
          </cell>
        </row>
      </sheetData>
      <sheetData sheetId="1">
        <row r="6">
          <cell r="BD6">
            <v>2002</v>
          </cell>
        </row>
        <row r="7">
          <cell r="BD7">
            <v>2001</v>
          </cell>
        </row>
        <row r="8">
          <cell r="BD8">
            <v>2000</v>
          </cell>
        </row>
        <row r="9">
          <cell r="BD9">
            <v>1999</v>
          </cell>
        </row>
        <row r="10">
          <cell r="BD10">
            <v>1998</v>
          </cell>
        </row>
        <row r="11">
          <cell r="BD11" t="str">
            <v>YTD 2003</v>
          </cell>
        </row>
        <row r="12">
          <cell r="BD12" t="str">
            <v>YTD 2002</v>
          </cell>
        </row>
        <row r="13">
          <cell r="BD13">
            <v>1</v>
          </cell>
        </row>
      </sheetData>
      <sheetData sheetId="2"/>
      <sheetData sheetId="3"/>
      <sheetData sheetId="4"/>
      <sheetData sheetId="5">
        <row r="5">
          <cell r="A5" t="str">
            <v>Base Year is 2002</v>
          </cell>
          <cell r="B5">
            <v>0</v>
          </cell>
          <cell r="C5">
            <v>0</v>
          </cell>
          <cell r="D5" t="str">
            <v>Roomnights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 t="str">
            <v>Overall</v>
          </cell>
        </row>
        <row r="6">
          <cell r="A6" t="str">
            <v>Property</v>
          </cell>
          <cell r="B6" t="str">
            <v>Rooms</v>
          </cell>
          <cell r="C6" t="str">
            <v>Occupancy</v>
          </cell>
          <cell r="D6" t="str">
            <v>Total</v>
          </cell>
          <cell r="E6" t="str">
            <v>Transient</v>
          </cell>
          <cell r="F6" t="str">
            <v>Group</v>
          </cell>
          <cell r="G6" t="str">
            <v>Contracted</v>
          </cell>
          <cell r="H6" t="str">
            <v>Other</v>
          </cell>
          <cell r="I6" t="str">
            <v>Not Used</v>
          </cell>
          <cell r="J6" t="str">
            <v>Penetration</v>
          </cell>
        </row>
        <row r="7">
          <cell r="A7" t="str">
            <v>Sheraton JFK</v>
          </cell>
          <cell r="B7">
            <v>184</v>
          </cell>
          <cell r="C7">
            <v>0.67900000000000005</v>
          </cell>
          <cell r="D7">
            <v>45601.64</v>
          </cell>
          <cell r="E7">
            <v>29641.065999999999</v>
          </cell>
          <cell r="F7">
            <v>10032.3608</v>
          </cell>
          <cell r="G7">
            <v>5928.2132000000001</v>
          </cell>
          <cell r="H7">
            <v>0</v>
          </cell>
          <cell r="I7">
            <v>0</v>
          </cell>
          <cell r="J7">
            <v>1.1423816368113853</v>
          </cell>
        </row>
        <row r="8">
          <cell r="A8" t="str">
            <v>Radisson JFK</v>
          </cell>
          <cell r="B8">
            <v>386</v>
          </cell>
          <cell r="C8">
            <v>0.76700000000000002</v>
          </cell>
          <cell r="D8">
            <v>108062.63</v>
          </cell>
          <cell r="E8">
            <v>54031.315000000002</v>
          </cell>
          <cell r="F8">
            <v>32418.789000000001</v>
          </cell>
          <cell r="G8">
            <v>21612.526000000002</v>
          </cell>
          <cell r="H8">
            <v>0</v>
          </cell>
          <cell r="I8">
            <v>0</v>
          </cell>
          <cell r="J8">
            <v>1.2904369888576324</v>
          </cell>
        </row>
        <row r="9">
          <cell r="A9" t="str">
            <v>Holiday Inn</v>
          </cell>
          <cell r="B9">
            <v>360</v>
          </cell>
          <cell r="C9">
            <v>0.79200000000000004</v>
          </cell>
          <cell r="D9">
            <v>109272.24</v>
          </cell>
          <cell r="E9">
            <v>41627.520000000004</v>
          </cell>
          <cell r="F9">
            <v>36424.080000000002</v>
          </cell>
          <cell r="G9">
            <v>31220.639999999999</v>
          </cell>
          <cell r="H9">
            <v>0</v>
          </cell>
          <cell r="I9">
            <v>0</v>
          </cell>
          <cell r="J9">
            <v>1.3324981684162254</v>
          </cell>
        </row>
        <row r="10">
          <cell r="A10" t="str">
            <v>Ramada Plaza</v>
          </cell>
          <cell r="B10">
            <v>311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 xml:space="preserve">Hampton Inn </v>
          </cell>
          <cell r="B11">
            <v>216</v>
          </cell>
          <cell r="C11">
            <v>0.73499999999999999</v>
          </cell>
          <cell r="D11">
            <v>57947.399999999994</v>
          </cell>
          <cell r="E11">
            <v>28973.699999999997</v>
          </cell>
          <cell r="F11">
            <v>11589.48</v>
          </cell>
          <cell r="G11">
            <v>17384.219999999998</v>
          </cell>
          <cell r="H11">
            <v>0</v>
          </cell>
          <cell r="I11">
            <v>0</v>
          </cell>
          <cell r="J11">
            <v>1.2365986790226333</v>
          </cell>
        </row>
        <row r="12">
          <cell r="A12" t="str">
            <v>Courtyard by Marriott</v>
          </cell>
          <cell r="B12">
            <v>166</v>
          </cell>
          <cell r="C12">
            <v>0.76800000000000002</v>
          </cell>
          <cell r="D12">
            <v>46533.120000000003</v>
          </cell>
          <cell r="E12">
            <v>30246.528000000002</v>
          </cell>
          <cell r="F12">
            <v>16286.592000000001</v>
          </cell>
          <cell r="G12">
            <v>0</v>
          </cell>
          <cell r="H12">
            <v>0</v>
          </cell>
          <cell r="I12">
            <v>0</v>
          </cell>
          <cell r="J12">
            <v>1.2921194360399761</v>
          </cell>
        </row>
        <row r="13">
          <cell r="A13" t="str">
            <v>Doubletree Club</v>
          </cell>
          <cell r="B13">
            <v>110</v>
          </cell>
          <cell r="C13">
            <v>0.60199999999999998</v>
          </cell>
          <cell r="D13">
            <v>24170.3</v>
          </cell>
          <cell r="E13">
            <v>10876.635</v>
          </cell>
          <cell r="F13">
            <v>7251.0899999999992</v>
          </cell>
          <cell r="G13">
            <v>6042.5749999999998</v>
          </cell>
          <cell r="H13">
            <v>0</v>
          </cell>
          <cell r="I13">
            <v>0</v>
          </cell>
          <cell r="J13">
            <v>1.0128332037709187</v>
          </cell>
        </row>
        <row r="14">
          <cell r="A14" t="str">
            <v>La Quinta</v>
          </cell>
          <cell r="B14">
            <v>72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Comp8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 t="str">
            <v>Comp9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Comp10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Comp11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Comp12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Comp13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Comp14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Comp15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Comp16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Comp17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Comp18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Comp19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Comp20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Comp21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Comp22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 t="str">
            <v>Comp23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A31" t="str">
            <v>Comp24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Comp25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T O T A L</v>
          </cell>
          <cell r="B33">
            <v>1805</v>
          </cell>
          <cell r="C33">
            <v>0.59437229916897505</v>
          </cell>
          <cell r="D33">
            <v>391587.33</v>
          </cell>
          <cell r="E33">
            <v>195396.764</v>
          </cell>
          <cell r="F33">
            <v>114002.3918</v>
          </cell>
          <cell r="G33">
            <v>82188.174199999994</v>
          </cell>
          <cell r="H33">
            <v>0</v>
          </cell>
          <cell r="I33">
            <v>0</v>
          </cell>
        </row>
        <row r="36">
          <cell r="A36" t="str">
            <v>Projected Guestroom Supply</v>
          </cell>
          <cell r="B36">
            <v>2002</v>
          </cell>
          <cell r="C36">
            <v>2004</v>
          </cell>
          <cell r="D36">
            <v>2005</v>
          </cell>
          <cell r="E36">
            <v>2006</v>
          </cell>
          <cell r="F36">
            <v>2007</v>
          </cell>
          <cell r="G36">
            <v>2008</v>
          </cell>
          <cell r="H36">
            <v>2009</v>
          </cell>
          <cell r="I36">
            <v>2010</v>
          </cell>
          <cell r="J36">
            <v>2011</v>
          </cell>
          <cell r="K36">
            <v>2012</v>
          </cell>
          <cell r="L36">
            <v>2013</v>
          </cell>
          <cell r="M36">
            <v>2014</v>
          </cell>
        </row>
        <row r="37">
          <cell r="A37" t="str">
            <v>Sheraton JFK</v>
          </cell>
          <cell r="B37">
            <v>184</v>
          </cell>
          <cell r="C37">
            <v>184</v>
          </cell>
          <cell r="D37">
            <v>184</v>
          </cell>
          <cell r="E37">
            <v>184</v>
          </cell>
          <cell r="F37">
            <v>184</v>
          </cell>
          <cell r="G37">
            <v>184</v>
          </cell>
          <cell r="H37">
            <v>184</v>
          </cell>
          <cell r="I37">
            <v>184</v>
          </cell>
          <cell r="J37">
            <v>184</v>
          </cell>
          <cell r="K37">
            <v>184</v>
          </cell>
          <cell r="L37">
            <v>184</v>
          </cell>
          <cell r="M37">
            <v>184</v>
          </cell>
        </row>
        <row r="38">
          <cell r="A38" t="str">
            <v>Radisson JFK</v>
          </cell>
          <cell r="B38">
            <v>386</v>
          </cell>
          <cell r="C38">
            <v>386</v>
          </cell>
          <cell r="D38">
            <v>386</v>
          </cell>
          <cell r="E38">
            <v>386</v>
          </cell>
          <cell r="F38">
            <v>386</v>
          </cell>
          <cell r="G38">
            <v>386</v>
          </cell>
          <cell r="H38">
            <v>386</v>
          </cell>
          <cell r="I38">
            <v>386</v>
          </cell>
          <cell r="J38">
            <v>386</v>
          </cell>
          <cell r="K38">
            <v>386</v>
          </cell>
          <cell r="L38">
            <v>386</v>
          </cell>
          <cell r="M38">
            <v>386</v>
          </cell>
        </row>
        <row r="39">
          <cell r="A39" t="str">
            <v>Holiday Inn</v>
          </cell>
          <cell r="B39">
            <v>360</v>
          </cell>
          <cell r="C39">
            <v>360</v>
          </cell>
          <cell r="D39">
            <v>360</v>
          </cell>
          <cell r="E39">
            <v>360</v>
          </cell>
          <cell r="F39">
            <v>360</v>
          </cell>
          <cell r="G39">
            <v>360</v>
          </cell>
          <cell r="H39">
            <v>360</v>
          </cell>
          <cell r="I39">
            <v>360</v>
          </cell>
          <cell r="J39">
            <v>360</v>
          </cell>
          <cell r="K39">
            <v>360</v>
          </cell>
          <cell r="L39">
            <v>360</v>
          </cell>
          <cell r="M39">
            <v>360</v>
          </cell>
        </row>
        <row r="40">
          <cell r="A40" t="str">
            <v>Ramada Plaza</v>
          </cell>
          <cell r="B40">
            <v>311</v>
          </cell>
          <cell r="C40">
            <v>311</v>
          </cell>
          <cell r="D40">
            <v>311</v>
          </cell>
          <cell r="E40">
            <v>311</v>
          </cell>
          <cell r="F40">
            <v>311</v>
          </cell>
          <cell r="G40">
            <v>311</v>
          </cell>
          <cell r="H40">
            <v>311</v>
          </cell>
          <cell r="I40">
            <v>311</v>
          </cell>
          <cell r="J40">
            <v>311</v>
          </cell>
          <cell r="K40">
            <v>311</v>
          </cell>
          <cell r="L40">
            <v>311</v>
          </cell>
          <cell r="M40">
            <v>311</v>
          </cell>
        </row>
        <row r="41">
          <cell r="A41" t="str">
            <v xml:space="preserve">Hampton Inn </v>
          </cell>
          <cell r="B41">
            <v>216</v>
          </cell>
          <cell r="C41">
            <v>216</v>
          </cell>
          <cell r="D41">
            <v>216</v>
          </cell>
          <cell r="E41">
            <v>216</v>
          </cell>
          <cell r="F41">
            <v>216</v>
          </cell>
          <cell r="G41">
            <v>216</v>
          </cell>
          <cell r="H41">
            <v>216</v>
          </cell>
          <cell r="I41">
            <v>216</v>
          </cell>
          <cell r="J41">
            <v>216</v>
          </cell>
          <cell r="K41">
            <v>216</v>
          </cell>
          <cell r="L41">
            <v>216</v>
          </cell>
          <cell r="M41">
            <v>216</v>
          </cell>
        </row>
        <row r="42">
          <cell r="A42" t="str">
            <v>Courtyard by Marriott</v>
          </cell>
          <cell r="B42">
            <v>166</v>
          </cell>
          <cell r="C42">
            <v>166</v>
          </cell>
          <cell r="D42">
            <v>166</v>
          </cell>
          <cell r="E42">
            <v>166</v>
          </cell>
          <cell r="F42">
            <v>166</v>
          </cell>
          <cell r="G42">
            <v>166</v>
          </cell>
          <cell r="H42">
            <v>166</v>
          </cell>
          <cell r="I42">
            <v>166</v>
          </cell>
          <cell r="J42">
            <v>166</v>
          </cell>
          <cell r="K42">
            <v>166</v>
          </cell>
          <cell r="L42">
            <v>166</v>
          </cell>
          <cell r="M42">
            <v>166</v>
          </cell>
        </row>
        <row r="43">
          <cell r="A43" t="str">
            <v>Doubletree Club</v>
          </cell>
          <cell r="B43">
            <v>110</v>
          </cell>
          <cell r="C43">
            <v>110</v>
          </cell>
          <cell r="D43">
            <v>110</v>
          </cell>
          <cell r="E43">
            <v>110</v>
          </cell>
          <cell r="F43">
            <v>110</v>
          </cell>
          <cell r="G43">
            <v>110</v>
          </cell>
          <cell r="H43">
            <v>110</v>
          </cell>
          <cell r="I43">
            <v>110</v>
          </cell>
          <cell r="J43">
            <v>110</v>
          </cell>
          <cell r="K43">
            <v>110</v>
          </cell>
          <cell r="L43">
            <v>110</v>
          </cell>
          <cell r="M43">
            <v>110</v>
          </cell>
        </row>
        <row r="44">
          <cell r="A44" t="str">
            <v>La Quinta</v>
          </cell>
          <cell r="B44">
            <v>72</v>
          </cell>
          <cell r="C44">
            <v>72</v>
          </cell>
          <cell r="D44">
            <v>72</v>
          </cell>
          <cell r="E44">
            <v>72</v>
          </cell>
          <cell r="F44">
            <v>72</v>
          </cell>
          <cell r="G44">
            <v>72</v>
          </cell>
          <cell r="H44">
            <v>72</v>
          </cell>
          <cell r="I44">
            <v>72</v>
          </cell>
          <cell r="J44">
            <v>72</v>
          </cell>
          <cell r="K44">
            <v>72</v>
          </cell>
          <cell r="L44">
            <v>72</v>
          </cell>
          <cell r="M44">
            <v>72</v>
          </cell>
        </row>
        <row r="45">
          <cell r="A45" t="str">
            <v>Comp8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Comp9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Comp10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 t="str">
            <v>Comp11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Comp12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Comp13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Comp14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Comp15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 t="str">
            <v>Comp16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Comp17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 t="str">
            <v>Comp18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Comp19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 t="str">
            <v>Comp20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A58" t="str">
            <v>Comp21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Comp22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Comp23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A61" t="str">
            <v>Comp24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A62" t="str">
            <v>Comp25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Addition/Deletion 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A64" t="str">
            <v>Addition/Deletion 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A65" t="str">
            <v>Addition/Deletion 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 t="str">
            <v>Addition/Deletion 4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 t="str">
            <v>Addition/Deletion 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 t="str">
            <v>Projected Guestroom Supply</v>
          </cell>
          <cell r="B68">
            <v>1805</v>
          </cell>
          <cell r="C68">
            <v>1805</v>
          </cell>
          <cell r="D68">
            <v>1805</v>
          </cell>
          <cell r="E68">
            <v>1805</v>
          </cell>
          <cell r="F68">
            <v>1805</v>
          </cell>
          <cell r="G68">
            <v>1805</v>
          </cell>
          <cell r="H68">
            <v>1805</v>
          </cell>
          <cell r="I68">
            <v>1805</v>
          </cell>
          <cell r="J68">
            <v>1805</v>
          </cell>
          <cell r="K68">
            <v>1805</v>
          </cell>
          <cell r="L68">
            <v>1805</v>
          </cell>
          <cell r="M68">
            <v>1805</v>
          </cell>
        </row>
        <row r="69">
          <cell r="A69" t="str">
            <v>Percent Change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2">
          <cell r="A72" t="str">
            <v>Demand Growth Rates</v>
          </cell>
          <cell r="B72">
            <v>2004</v>
          </cell>
          <cell r="C72">
            <v>2005</v>
          </cell>
          <cell r="D72">
            <v>2006</v>
          </cell>
          <cell r="E72">
            <v>2007</v>
          </cell>
          <cell r="F72">
            <v>2008</v>
          </cell>
          <cell r="G72">
            <v>2009</v>
          </cell>
          <cell r="H72">
            <v>2010</v>
          </cell>
          <cell r="I72">
            <v>2011</v>
          </cell>
          <cell r="J72">
            <v>2012</v>
          </cell>
          <cell r="K72">
            <v>2013</v>
          </cell>
          <cell r="L72">
            <v>2014</v>
          </cell>
        </row>
        <row r="73">
          <cell r="A73" t="str">
            <v>Transient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 t="str">
            <v>Group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 t="str">
            <v>Contracted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 t="str">
            <v>Other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 t="str">
            <v>Not Used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 t="str">
            <v>Overall</v>
          </cell>
          <cell r="B78">
            <v>-8.427238951114191E-7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81">
          <cell r="A81" t="str">
            <v>Extraordinary Demand</v>
          </cell>
          <cell r="B81">
            <v>2002</v>
          </cell>
          <cell r="C81">
            <v>2004</v>
          </cell>
          <cell r="D81">
            <v>2005</v>
          </cell>
          <cell r="E81">
            <v>2006</v>
          </cell>
          <cell r="F81">
            <v>2007</v>
          </cell>
          <cell r="G81">
            <v>2008</v>
          </cell>
          <cell r="H81">
            <v>2009</v>
          </cell>
          <cell r="I81">
            <v>2010</v>
          </cell>
          <cell r="J81">
            <v>2011</v>
          </cell>
          <cell r="K81">
            <v>2012</v>
          </cell>
          <cell r="L81">
            <v>2013</v>
          </cell>
          <cell r="M81">
            <v>2014</v>
          </cell>
        </row>
        <row r="82">
          <cell r="A82" t="str">
            <v>Transient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 t="str">
            <v>Group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Contracted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A85" t="str">
            <v>Other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A86" t="str">
            <v>Not Used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Total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90">
          <cell r="A90" t="str">
            <v>Projected Roomnight Demand</v>
          </cell>
          <cell r="B90">
            <v>2002</v>
          </cell>
          <cell r="C90">
            <v>2004</v>
          </cell>
          <cell r="D90">
            <v>2005</v>
          </cell>
          <cell r="E90">
            <v>2006</v>
          </cell>
          <cell r="F90">
            <v>2007</v>
          </cell>
          <cell r="G90">
            <v>2008</v>
          </cell>
          <cell r="H90">
            <v>2009</v>
          </cell>
          <cell r="I90">
            <v>2010</v>
          </cell>
          <cell r="J90">
            <v>2011</v>
          </cell>
          <cell r="K90">
            <v>2012</v>
          </cell>
          <cell r="L90">
            <v>2013</v>
          </cell>
          <cell r="M90">
            <v>2014</v>
          </cell>
        </row>
        <row r="91">
          <cell r="A91" t="str">
            <v>Transient</v>
          </cell>
          <cell r="B91">
            <v>195396.764</v>
          </cell>
          <cell r="C91">
            <v>195397</v>
          </cell>
          <cell r="D91">
            <v>195397</v>
          </cell>
          <cell r="E91">
            <v>195397</v>
          </cell>
          <cell r="F91">
            <v>195397</v>
          </cell>
          <cell r="G91">
            <v>195397</v>
          </cell>
          <cell r="H91">
            <v>195397</v>
          </cell>
          <cell r="I91">
            <v>195397</v>
          </cell>
          <cell r="J91">
            <v>195397</v>
          </cell>
          <cell r="K91">
            <v>195397</v>
          </cell>
          <cell r="L91">
            <v>195397</v>
          </cell>
          <cell r="M91">
            <v>195397</v>
          </cell>
        </row>
        <row r="92">
          <cell r="A92" t="str">
            <v>Group</v>
          </cell>
          <cell r="B92">
            <v>114002.3918</v>
          </cell>
          <cell r="C92">
            <v>114002</v>
          </cell>
          <cell r="D92">
            <v>114002</v>
          </cell>
          <cell r="E92">
            <v>114002</v>
          </cell>
          <cell r="F92">
            <v>114002</v>
          </cell>
          <cell r="G92">
            <v>114002</v>
          </cell>
          <cell r="H92">
            <v>114002</v>
          </cell>
          <cell r="I92">
            <v>114002</v>
          </cell>
          <cell r="J92">
            <v>114002</v>
          </cell>
          <cell r="K92">
            <v>114002</v>
          </cell>
          <cell r="L92">
            <v>114002</v>
          </cell>
          <cell r="M92">
            <v>114002</v>
          </cell>
        </row>
        <row r="93">
          <cell r="A93" t="str">
            <v>Contracted</v>
          </cell>
          <cell r="B93">
            <v>82188.174199999994</v>
          </cell>
          <cell r="C93">
            <v>82188</v>
          </cell>
          <cell r="D93">
            <v>82188</v>
          </cell>
          <cell r="E93">
            <v>82188</v>
          </cell>
          <cell r="F93">
            <v>82188</v>
          </cell>
          <cell r="G93">
            <v>82188</v>
          </cell>
          <cell r="H93">
            <v>82188</v>
          </cell>
          <cell r="I93">
            <v>82188</v>
          </cell>
          <cell r="J93">
            <v>82188</v>
          </cell>
          <cell r="K93">
            <v>82188</v>
          </cell>
          <cell r="L93">
            <v>82188</v>
          </cell>
          <cell r="M93">
            <v>82188</v>
          </cell>
        </row>
        <row r="94">
          <cell r="A94" t="str">
            <v>Other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A95" t="str">
            <v>Not Used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A96" t="str">
            <v>Total</v>
          </cell>
          <cell r="B96">
            <v>391587.33</v>
          </cell>
          <cell r="C96">
            <v>391587</v>
          </cell>
          <cell r="D96">
            <v>391587</v>
          </cell>
          <cell r="E96">
            <v>391587</v>
          </cell>
          <cell r="F96">
            <v>391587</v>
          </cell>
          <cell r="G96">
            <v>391587</v>
          </cell>
          <cell r="H96">
            <v>391587</v>
          </cell>
          <cell r="I96">
            <v>391587</v>
          </cell>
          <cell r="J96">
            <v>391587</v>
          </cell>
          <cell r="K96">
            <v>391587</v>
          </cell>
          <cell r="L96">
            <v>391587</v>
          </cell>
          <cell r="M96">
            <v>391587</v>
          </cell>
        </row>
        <row r="97">
          <cell r="A97" t="str">
            <v>Market Occupancy</v>
          </cell>
          <cell r="B97">
            <v>0.59437229916897505</v>
          </cell>
          <cell r="C97">
            <v>0.59437179827723596</v>
          </cell>
          <cell r="D97">
            <v>0.59437179827723596</v>
          </cell>
          <cell r="E97">
            <v>0.59437179827723596</v>
          </cell>
          <cell r="F97">
            <v>0.59437179827723596</v>
          </cell>
          <cell r="G97">
            <v>0.59437179827723596</v>
          </cell>
          <cell r="H97">
            <v>0.59437179827723596</v>
          </cell>
          <cell r="I97">
            <v>0.59437179827723596</v>
          </cell>
          <cell r="J97">
            <v>0.59437179827723596</v>
          </cell>
          <cell r="K97">
            <v>0.59437179827723596</v>
          </cell>
          <cell r="L97">
            <v>0.59437179827723596</v>
          </cell>
          <cell r="M97">
            <v>0.59437179827723596</v>
          </cell>
        </row>
        <row r="100">
          <cell r="A100" t="str">
            <v>Transient</v>
          </cell>
          <cell r="B100" t="str">
            <v>2002(Historical)</v>
          </cell>
          <cell r="C100">
            <v>0</v>
          </cell>
          <cell r="D100">
            <v>0</v>
          </cell>
          <cell r="E100">
            <v>0</v>
          </cell>
          <cell r="F100">
            <v>2004</v>
          </cell>
          <cell r="G100">
            <v>0</v>
          </cell>
          <cell r="H100">
            <v>0</v>
          </cell>
          <cell r="I100">
            <v>0</v>
          </cell>
          <cell r="J100">
            <v>2005</v>
          </cell>
          <cell r="K100">
            <v>0</v>
          </cell>
          <cell r="L100">
            <v>0</v>
          </cell>
          <cell r="M100">
            <v>0</v>
          </cell>
          <cell r="N100">
            <v>2006</v>
          </cell>
          <cell r="O100">
            <v>0</v>
          </cell>
          <cell r="P100">
            <v>0</v>
          </cell>
          <cell r="Q100">
            <v>0</v>
          </cell>
          <cell r="R100">
            <v>2007</v>
          </cell>
          <cell r="S100">
            <v>0</v>
          </cell>
          <cell r="T100">
            <v>0</v>
          </cell>
          <cell r="U100">
            <v>0</v>
          </cell>
          <cell r="V100">
            <v>2008</v>
          </cell>
          <cell r="W100">
            <v>0</v>
          </cell>
          <cell r="X100">
            <v>0</v>
          </cell>
          <cell r="Y100">
            <v>0</v>
          </cell>
          <cell r="Z100">
            <v>2009</v>
          </cell>
          <cell r="AA100">
            <v>0</v>
          </cell>
          <cell r="AB100">
            <v>0</v>
          </cell>
          <cell r="AC100">
            <v>0</v>
          </cell>
          <cell r="AD100">
            <v>2010</v>
          </cell>
          <cell r="AE100">
            <v>0</v>
          </cell>
          <cell r="AF100">
            <v>0</v>
          </cell>
          <cell r="AG100">
            <v>0</v>
          </cell>
          <cell r="AH100">
            <v>2011</v>
          </cell>
          <cell r="AI100">
            <v>0</v>
          </cell>
          <cell r="AJ100">
            <v>0</v>
          </cell>
          <cell r="AK100">
            <v>0</v>
          </cell>
          <cell r="AL100">
            <v>2012</v>
          </cell>
          <cell r="AM100">
            <v>0</v>
          </cell>
          <cell r="AN100">
            <v>0</v>
          </cell>
          <cell r="AO100">
            <v>0</v>
          </cell>
          <cell r="AP100">
            <v>2013</v>
          </cell>
          <cell r="AQ100">
            <v>0</v>
          </cell>
          <cell r="AR100">
            <v>0</v>
          </cell>
          <cell r="AS100">
            <v>0</v>
          </cell>
          <cell r="AT100">
            <v>2014</v>
          </cell>
        </row>
        <row r="101">
          <cell r="A101" t="str">
            <v>Property</v>
          </cell>
          <cell r="B101" t="str">
            <v>Fair Share</v>
          </cell>
          <cell r="C101" t="str">
            <v>Penetration</v>
          </cell>
          <cell r="D101" t="str">
            <v>Mkt. Share</v>
          </cell>
          <cell r="E101" t="str">
            <v>Rmnights</v>
          </cell>
          <cell r="F101" t="str">
            <v>Fair Share</v>
          </cell>
          <cell r="G101" t="str">
            <v>Penetration</v>
          </cell>
          <cell r="H101" t="str">
            <v>Mkt. Share</v>
          </cell>
          <cell r="I101" t="str">
            <v>Rmnights</v>
          </cell>
          <cell r="J101" t="str">
            <v>Fair Share</v>
          </cell>
          <cell r="K101" t="str">
            <v>Penetration</v>
          </cell>
          <cell r="L101" t="str">
            <v>Mkt. Share</v>
          </cell>
          <cell r="M101" t="str">
            <v>Rmnights</v>
          </cell>
          <cell r="N101" t="str">
            <v>Fair Share</v>
          </cell>
          <cell r="O101" t="str">
            <v>Penetration</v>
          </cell>
          <cell r="P101" t="str">
            <v>Mkt. Share</v>
          </cell>
          <cell r="Q101" t="str">
            <v>Rmnights</v>
          </cell>
          <cell r="R101" t="str">
            <v>Fair Share</v>
          </cell>
          <cell r="S101" t="str">
            <v>Penetration</v>
          </cell>
          <cell r="T101" t="str">
            <v>Mkt. Share</v>
          </cell>
          <cell r="U101" t="str">
            <v>Rmnights</v>
          </cell>
          <cell r="V101" t="str">
            <v>Fair Share</v>
          </cell>
          <cell r="W101" t="str">
            <v>Penetration</v>
          </cell>
          <cell r="X101" t="str">
            <v>Mkt. Share</v>
          </cell>
          <cell r="Y101" t="str">
            <v>Rmnights</v>
          </cell>
          <cell r="Z101" t="str">
            <v>Fair Share</v>
          </cell>
          <cell r="AA101" t="str">
            <v>Penetration</v>
          </cell>
          <cell r="AB101" t="str">
            <v>Mkt. Share</v>
          </cell>
          <cell r="AC101" t="str">
            <v>Rmnights</v>
          </cell>
          <cell r="AD101" t="str">
            <v>Fair Share</v>
          </cell>
          <cell r="AE101" t="str">
            <v>Penetration</v>
          </cell>
          <cell r="AF101" t="str">
            <v>Mkt. Share</v>
          </cell>
          <cell r="AG101" t="str">
            <v>Rmnights</v>
          </cell>
          <cell r="AH101" t="str">
            <v>Fair Share</v>
          </cell>
          <cell r="AI101" t="str">
            <v>Penetration</v>
          </cell>
          <cell r="AJ101" t="str">
            <v>Mkt. Share</v>
          </cell>
          <cell r="AK101" t="str">
            <v>Rmnights</v>
          </cell>
          <cell r="AL101" t="str">
            <v>Fair Share</v>
          </cell>
          <cell r="AM101" t="str">
            <v>Penetration</v>
          </cell>
          <cell r="AN101" t="str">
            <v>Mkt. Share</v>
          </cell>
          <cell r="AO101" t="str">
            <v>Rmnights</v>
          </cell>
          <cell r="AP101" t="str">
            <v>Fair Share</v>
          </cell>
          <cell r="AQ101" t="str">
            <v>Penetration</v>
          </cell>
          <cell r="AR101" t="str">
            <v>Mkt. Share</v>
          </cell>
          <cell r="AS101" t="str">
            <v>Rmnights</v>
          </cell>
          <cell r="AT101" t="str">
            <v>Fair Share</v>
          </cell>
          <cell r="AU101" t="str">
            <v>Penetration</v>
          </cell>
          <cell r="AV101" t="str">
            <v>Mkt. Share</v>
          </cell>
          <cell r="AW101" t="str">
            <v>Rmnights</v>
          </cell>
        </row>
        <row r="102">
          <cell r="A102" t="str">
            <v>Sheraton JFK</v>
          </cell>
          <cell r="B102">
            <v>0.10193905817174516</v>
          </cell>
          <cell r="C102">
            <v>1.488112739420802</v>
          </cell>
          <cell r="D102">
            <v>0.15169681110993219</v>
          </cell>
          <cell r="E102">
            <v>29641.065999999999</v>
          </cell>
          <cell r="F102">
            <v>0.10193905817174516</v>
          </cell>
          <cell r="G102">
            <v>1.488112739420802</v>
          </cell>
          <cell r="H102">
            <v>0.15169681110993219</v>
          </cell>
          <cell r="I102">
            <v>29641.101800447421</v>
          </cell>
          <cell r="J102">
            <v>0.10193905817174516</v>
          </cell>
          <cell r="K102">
            <v>1.488112739420802</v>
          </cell>
          <cell r="L102">
            <v>0.15169681110993219</v>
          </cell>
          <cell r="M102">
            <v>29641.101800447421</v>
          </cell>
          <cell r="N102">
            <v>0.10193905817174516</v>
          </cell>
          <cell r="O102">
            <v>1.488112739420802</v>
          </cell>
          <cell r="P102">
            <v>0.15169681110993219</v>
          </cell>
          <cell r="Q102">
            <v>29641.101800447421</v>
          </cell>
          <cell r="R102">
            <v>0.10193905817174516</v>
          </cell>
          <cell r="S102">
            <v>1.488112739420802</v>
          </cell>
          <cell r="T102">
            <v>0.15169681110993219</v>
          </cell>
          <cell r="U102">
            <v>29641.101800447421</v>
          </cell>
          <cell r="V102">
            <v>0.10193905817174516</v>
          </cell>
          <cell r="W102">
            <v>1.488112739420802</v>
          </cell>
          <cell r="X102">
            <v>0.15169681110993219</v>
          </cell>
          <cell r="Y102">
            <v>29641.101800447421</v>
          </cell>
          <cell r="Z102">
            <v>0.10193905817174516</v>
          </cell>
          <cell r="AA102">
            <v>1.488112739420802</v>
          </cell>
          <cell r="AB102">
            <v>0.15169681110993219</v>
          </cell>
          <cell r="AC102">
            <v>29641.101800447421</v>
          </cell>
          <cell r="AD102">
            <v>0.10193905817174516</v>
          </cell>
          <cell r="AE102">
            <v>1.488112739420802</v>
          </cell>
          <cell r="AF102">
            <v>0.15169681110993219</v>
          </cell>
          <cell r="AG102">
            <v>29641.101800447421</v>
          </cell>
          <cell r="AH102">
            <v>0.10193905817174516</v>
          </cell>
          <cell r="AI102">
            <v>1.488112739420802</v>
          </cell>
          <cell r="AJ102">
            <v>0.15169681110993219</v>
          </cell>
          <cell r="AK102">
            <v>29641.101800447421</v>
          </cell>
          <cell r="AL102">
            <v>0.10193905817174516</v>
          </cell>
          <cell r="AM102">
            <v>1.488112739420802</v>
          </cell>
          <cell r="AN102">
            <v>0.15169681110993219</v>
          </cell>
          <cell r="AO102">
            <v>29641.101800447421</v>
          </cell>
          <cell r="AP102">
            <v>0.10193905817174516</v>
          </cell>
          <cell r="AQ102">
            <v>1.488112739420802</v>
          </cell>
          <cell r="AR102">
            <v>0.15169681110993219</v>
          </cell>
          <cell r="AS102">
            <v>29641.101800447421</v>
          </cell>
          <cell r="AT102">
            <v>0.10193905817174516</v>
          </cell>
          <cell r="AU102">
            <v>1.488112739420802</v>
          </cell>
          <cell r="AV102">
            <v>0.15169681110993219</v>
          </cell>
          <cell r="AW102">
            <v>29641.101800447421</v>
          </cell>
        </row>
        <row r="103">
          <cell r="A103" t="str">
            <v>Radisson JFK</v>
          </cell>
          <cell r="B103">
            <v>0.21385041551246536</v>
          </cell>
          <cell r="C103">
            <v>1.293058197729416</v>
          </cell>
          <cell r="D103">
            <v>0.27652103286623519</v>
          </cell>
          <cell r="E103">
            <v>54031.315000000002</v>
          </cell>
          <cell r="F103">
            <v>0.21385041551246536</v>
          </cell>
          <cell r="G103">
            <v>1.293058197729416</v>
          </cell>
          <cell r="H103">
            <v>0.27652103286623519</v>
          </cell>
          <cell r="I103">
            <v>54031.380258963756</v>
          </cell>
          <cell r="J103">
            <v>0.21385041551246536</v>
          </cell>
          <cell r="K103">
            <v>1.293058197729416</v>
          </cell>
          <cell r="L103">
            <v>0.27652103286623519</v>
          </cell>
          <cell r="M103">
            <v>54031.380258963756</v>
          </cell>
          <cell r="N103">
            <v>0.21385041551246536</v>
          </cell>
          <cell r="O103">
            <v>1.293058197729416</v>
          </cell>
          <cell r="P103">
            <v>0.27652103286623519</v>
          </cell>
          <cell r="Q103">
            <v>54031.380258963756</v>
          </cell>
          <cell r="R103">
            <v>0.21385041551246536</v>
          </cell>
          <cell r="S103">
            <v>1.293058197729416</v>
          </cell>
          <cell r="T103">
            <v>0.27652103286623519</v>
          </cell>
          <cell r="U103">
            <v>54031.380258963756</v>
          </cell>
          <cell r="V103">
            <v>0.21385041551246536</v>
          </cell>
          <cell r="W103">
            <v>1.293058197729416</v>
          </cell>
          <cell r="X103">
            <v>0.27652103286623519</v>
          </cell>
          <cell r="Y103">
            <v>54031.380258963756</v>
          </cell>
          <cell r="Z103">
            <v>0.21385041551246536</v>
          </cell>
          <cell r="AA103">
            <v>1.293058197729416</v>
          </cell>
          <cell r="AB103">
            <v>0.27652103286623519</v>
          </cell>
          <cell r="AC103">
            <v>54031.380258963756</v>
          </cell>
          <cell r="AD103">
            <v>0.21385041551246536</v>
          </cell>
          <cell r="AE103">
            <v>1.293058197729416</v>
          </cell>
          <cell r="AF103">
            <v>0.27652103286623519</v>
          </cell>
          <cell r="AG103">
            <v>54031.380258963756</v>
          </cell>
          <cell r="AH103">
            <v>0.21385041551246536</v>
          </cell>
          <cell r="AI103">
            <v>1.293058197729416</v>
          </cell>
          <cell r="AJ103">
            <v>0.27652103286623519</v>
          </cell>
          <cell r="AK103">
            <v>54031.380258963756</v>
          </cell>
          <cell r="AL103">
            <v>0.21385041551246536</v>
          </cell>
          <cell r="AM103">
            <v>1.293058197729416</v>
          </cell>
          <cell r="AN103">
            <v>0.27652103286623519</v>
          </cell>
          <cell r="AO103">
            <v>54031.380258963756</v>
          </cell>
          <cell r="AP103">
            <v>0.21385041551246536</v>
          </cell>
          <cell r="AQ103">
            <v>1.293058197729416</v>
          </cell>
          <cell r="AR103">
            <v>0.27652103286623519</v>
          </cell>
          <cell r="AS103">
            <v>54031.380258963756</v>
          </cell>
          <cell r="AT103">
            <v>0.21385041551246536</v>
          </cell>
          <cell r="AU103">
            <v>1.293058197729416</v>
          </cell>
          <cell r="AV103">
            <v>0.27652103286623519</v>
          </cell>
          <cell r="AW103">
            <v>54031.380258963756</v>
          </cell>
        </row>
        <row r="104">
          <cell r="A104" t="str">
            <v>Holiday Inn</v>
          </cell>
          <cell r="B104">
            <v>0.1994459833795014</v>
          </cell>
          <cell r="C104">
            <v>1.0681638514750429</v>
          </cell>
          <cell r="D104">
            <v>0.21304098976787561</v>
          </cell>
          <cell r="E104">
            <v>41627.520000000004</v>
          </cell>
          <cell r="F104">
            <v>0.1994459833795014</v>
          </cell>
          <cell r="G104">
            <v>1.0681638514750429</v>
          </cell>
          <cell r="H104">
            <v>0.21304098976787561</v>
          </cell>
          <cell r="I104">
            <v>41627.570277673592</v>
          </cell>
          <cell r="J104">
            <v>0.1994459833795014</v>
          </cell>
          <cell r="K104">
            <v>1.0681638514750429</v>
          </cell>
          <cell r="L104">
            <v>0.21304098976787561</v>
          </cell>
          <cell r="M104">
            <v>41627.570277673592</v>
          </cell>
          <cell r="N104">
            <v>0.1994459833795014</v>
          </cell>
          <cell r="O104">
            <v>1.0681638514750429</v>
          </cell>
          <cell r="P104">
            <v>0.21304098976787561</v>
          </cell>
          <cell r="Q104">
            <v>41627.570277673592</v>
          </cell>
          <cell r="R104">
            <v>0.1994459833795014</v>
          </cell>
          <cell r="S104">
            <v>1.0681638514750429</v>
          </cell>
          <cell r="T104">
            <v>0.21304098976787561</v>
          </cell>
          <cell r="U104">
            <v>41627.570277673592</v>
          </cell>
          <cell r="V104">
            <v>0.1994459833795014</v>
          </cell>
          <cell r="W104">
            <v>1.0681638514750429</v>
          </cell>
          <cell r="X104">
            <v>0.21304098976787561</v>
          </cell>
          <cell r="Y104">
            <v>41627.570277673592</v>
          </cell>
          <cell r="Z104">
            <v>0.1994459833795014</v>
          </cell>
          <cell r="AA104">
            <v>1.0681638514750429</v>
          </cell>
          <cell r="AB104">
            <v>0.21304098976787561</v>
          </cell>
          <cell r="AC104">
            <v>41627.570277673592</v>
          </cell>
          <cell r="AD104">
            <v>0.1994459833795014</v>
          </cell>
          <cell r="AE104">
            <v>1.0681638514750429</v>
          </cell>
          <cell r="AF104">
            <v>0.21304098976787561</v>
          </cell>
          <cell r="AG104">
            <v>41627.570277673592</v>
          </cell>
          <cell r="AH104">
            <v>0.1994459833795014</v>
          </cell>
          <cell r="AI104">
            <v>1.0681638514750429</v>
          </cell>
          <cell r="AJ104">
            <v>0.21304098976787561</v>
          </cell>
          <cell r="AK104">
            <v>41627.570277673592</v>
          </cell>
          <cell r="AL104">
            <v>0.1994459833795014</v>
          </cell>
          <cell r="AM104">
            <v>1.0681638514750429</v>
          </cell>
          <cell r="AN104">
            <v>0.21304098976787561</v>
          </cell>
          <cell r="AO104">
            <v>41627.570277673592</v>
          </cell>
          <cell r="AP104">
            <v>0.1994459833795014</v>
          </cell>
          <cell r="AQ104">
            <v>1.0681638514750429</v>
          </cell>
          <cell r="AR104">
            <v>0.21304098976787561</v>
          </cell>
          <cell r="AS104">
            <v>41627.570277673592</v>
          </cell>
          <cell r="AT104">
            <v>0.1994459833795014</v>
          </cell>
          <cell r="AU104">
            <v>1.0681638514750429</v>
          </cell>
          <cell r="AV104">
            <v>0.21304098976787561</v>
          </cell>
          <cell r="AW104">
            <v>41627.570277673592</v>
          </cell>
        </row>
        <row r="105">
          <cell r="A105" t="str">
            <v>Ramada Plaza</v>
          </cell>
          <cell r="B105">
            <v>0.17229916897506925</v>
          </cell>
          <cell r="C105">
            <v>0</v>
          </cell>
          <cell r="D105">
            <v>0</v>
          </cell>
          <cell r="E105">
            <v>0</v>
          </cell>
          <cell r="F105">
            <v>0.17229916897506925</v>
          </cell>
          <cell r="G105">
            <v>0</v>
          </cell>
          <cell r="H105">
            <v>0</v>
          </cell>
          <cell r="I105">
            <v>0</v>
          </cell>
          <cell r="J105">
            <v>0.17229916897506925</v>
          </cell>
          <cell r="K105">
            <v>0</v>
          </cell>
          <cell r="L105">
            <v>0</v>
          </cell>
          <cell r="M105">
            <v>0</v>
          </cell>
          <cell r="N105">
            <v>0.17229916897506925</v>
          </cell>
          <cell r="O105">
            <v>0</v>
          </cell>
          <cell r="P105">
            <v>0</v>
          </cell>
          <cell r="Q105">
            <v>0</v>
          </cell>
          <cell r="R105">
            <v>0.17229916897506925</v>
          </cell>
          <cell r="S105">
            <v>0</v>
          </cell>
          <cell r="T105">
            <v>0</v>
          </cell>
          <cell r="U105">
            <v>0</v>
          </cell>
          <cell r="V105">
            <v>0.17229916897506925</v>
          </cell>
          <cell r="W105">
            <v>0</v>
          </cell>
          <cell r="X105">
            <v>0</v>
          </cell>
          <cell r="Y105">
            <v>0</v>
          </cell>
          <cell r="Z105">
            <v>0.17229916897506925</v>
          </cell>
          <cell r="AA105">
            <v>0</v>
          </cell>
          <cell r="AB105">
            <v>0</v>
          </cell>
          <cell r="AC105">
            <v>0</v>
          </cell>
          <cell r="AD105">
            <v>0.17229916897506925</v>
          </cell>
          <cell r="AE105">
            <v>0</v>
          </cell>
          <cell r="AF105">
            <v>0</v>
          </cell>
          <cell r="AG105">
            <v>0</v>
          </cell>
          <cell r="AH105">
            <v>0.17229916897506925</v>
          </cell>
          <cell r="AI105">
            <v>0</v>
          </cell>
          <cell r="AJ105">
            <v>0</v>
          </cell>
          <cell r="AK105">
            <v>0</v>
          </cell>
          <cell r="AL105">
            <v>0.17229916897506925</v>
          </cell>
          <cell r="AM105">
            <v>0</v>
          </cell>
          <cell r="AN105">
            <v>0</v>
          </cell>
          <cell r="AO105">
            <v>0</v>
          </cell>
          <cell r="AP105">
            <v>0.17229916897506925</v>
          </cell>
          <cell r="AQ105">
            <v>0</v>
          </cell>
          <cell r="AR105">
            <v>0</v>
          </cell>
          <cell r="AS105">
            <v>0</v>
          </cell>
          <cell r="AT105">
            <v>0.17229916897506925</v>
          </cell>
          <cell r="AU105">
            <v>0</v>
          </cell>
          <cell r="AV105">
            <v>0</v>
          </cell>
          <cell r="AW105">
            <v>0</v>
          </cell>
        </row>
        <row r="106">
          <cell r="A106" t="str">
            <v xml:space="preserve">Hampton Inn </v>
          </cell>
          <cell r="B106">
            <v>0.11966759002770083</v>
          </cell>
          <cell r="C106">
            <v>1.2391105284629993</v>
          </cell>
          <cell r="D106">
            <v>0.14828137071911793</v>
          </cell>
          <cell r="E106">
            <v>28973.699999999997</v>
          </cell>
          <cell r="F106">
            <v>0.11966759002770083</v>
          </cell>
          <cell r="G106">
            <v>1.2391105284629993</v>
          </cell>
          <cell r="H106">
            <v>0.14828137071911793</v>
          </cell>
          <cell r="I106">
            <v>28973.734994403487</v>
          </cell>
          <cell r="J106">
            <v>0.11966759002770083</v>
          </cell>
          <cell r="K106">
            <v>1.2391105284629993</v>
          </cell>
          <cell r="L106">
            <v>0.14828137071911793</v>
          </cell>
          <cell r="M106">
            <v>28973.734994403487</v>
          </cell>
          <cell r="N106">
            <v>0.11966759002770083</v>
          </cell>
          <cell r="O106">
            <v>1.2391105284629993</v>
          </cell>
          <cell r="P106">
            <v>0.14828137071911793</v>
          </cell>
          <cell r="Q106">
            <v>28973.734994403487</v>
          </cell>
          <cell r="R106">
            <v>0.11966759002770083</v>
          </cell>
          <cell r="S106">
            <v>1.2391105284629993</v>
          </cell>
          <cell r="T106">
            <v>0.14828137071911793</v>
          </cell>
          <cell r="U106">
            <v>28973.734994403487</v>
          </cell>
          <cell r="V106">
            <v>0.11966759002770083</v>
          </cell>
          <cell r="W106">
            <v>1.2391105284629993</v>
          </cell>
          <cell r="X106">
            <v>0.14828137071911793</v>
          </cell>
          <cell r="Y106">
            <v>28973.734994403487</v>
          </cell>
          <cell r="Z106">
            <v>0.11966759002770083</v>
          </cell>
          <cell r="AA106">
            <v>1.2391105284629993</v>
          </cell>
          <cell r="AB106">
            <v>0.14828137071911793</v>
          </cell>
          <cell r="AC106">
            <v>28973.734994403487</v>
          </cell>
          <cell r="AD106">
            <v>0.11966759002770083</v>
          </cell>
          <cell r="AE106">
            <v>1.2391105284629993</v>
          </cell>
          <cell r="AF106">
            <v>0.14828137071911793</v>
          </cell>
          <cell r="AG106">
            <v>28973.734994403487</v>
          </cell>
          <cell r="AH106">
            <v>0.11966759002770083</v>
          </cell>
          <cell r="AI106">
            <v>1.2391105284629993</v>
          </cell>
          <cell r="AJ106">
            <v>0.14828137071911793</v>
          </cell>
          <cell r="AK106">
            <v>28973.734994403487</v>
          </cell>
          <cell r="AL106">
            <v>0.11966759002770083</v>
          </cell>
          <cell r="AM106">
            <v>1.2391105284629993</v>
          </cell>
          <cell r="AN106">
            <v>0.14828137071911793</v>
          </cell>
          <cell r="AO106">
            <v>28973.734994403487</v>
          </cell>
          <cell r="AP106">
            <v>0.11966759002770083</v>
          </cell>
          <cell r="AQ106">
            <v>1.2391105284629993</v>
          </cell>
          <cell r="AR106">
            <v>0.14828137071911793</v>
          </cell>
          <cell r="AS106">
            <v>28973.734994403487</v>
          </cell>
          <cell r="AT106">
            <v>0.11966759002770083</v>
          </cell>
          <cell r="AU106">
            <v>1.2391105284629993</v>
          </cell>
          <cell r="AV106">
            <v>0.14828137071911793</v>
          </cell>
          <cell r="AW106">
            <v>28973.734994403487</v>
          </cell>
        </row>
        <row r="107">
          <cell r="A107" t="str">
            <v>Courtyard by Marriott</v>
          </cell>
          <cell r="B107">
            <v>9.1966759002770085E-2</v>
          </cell>
          <cell r="C107">
            <v>1.6831672811121887</v>
          </cell>
          <cell r="D107">
            <v>0.15479543970339243</v>
          </cell>
          <cell r="E107">
            <v>30246.528000000002</v>
          </cell>
          <cell r="F107">
            <v>9.1966759002770085E-2</v>
          </cell>
          <cell r="G107">
            <v>1.6831672811121887</v>
          </cell>
          <cell r="H107">
            <v>0.15479543970339243</v>
          </cell>
          <cell r="I107">
            <v>30246.564531723772</v>
          </cell>
          <cell r="J107">
            <v>9.1966759002770085E-2</v>
          </cell>
          <cell r="K107">
            <v>1.6831672811121887</v>
          </cell>
          <cell r="L107">
            <v>0.15479543970339243</v>
          </cell>
          <cell r="M107">
            <v>30246.564531723772</v>
          </cell>
          <cell r="N107">
            <v>9.1966759002770085E-2</v>
          </cell>
          <cell r="O107">
            <v>1.6831672811121887</v>
          </cell>
          <cell r="P107">
            <v>0.15479543970339243</v>
          </cell>
          <cell r="Q107">
            <v>30246.564531723772</v>
          </cell>
          <cell r="R107">
            <v>9.1966759002770085E-2</v>
          </cell>
          <cell r="S107">
            <v>1.6831672811121887</v>
          </cell>
          <cell r="T107">
            <v>0.15479543970339243</v>
          </cell>
          <cell r="U107">
            <v>30246.564531723772</v>
          </cell>
          <cell r="V107">
            <v>9.1966759002770085E-2</v>
          </cell>
          <cell r="W107">
            <v>1.6831672811121887</v>
          </cell>
          <cell r="X107">
            <v>0.15479543970339243</v>
          </cell>
          <cell r="Y107">
            <v>30246.564531723772</v>
          </cell>
          <cell r="Z107">
            <v>9.1966759002770085E-2</v>
          </cell>
          <cell r="AA107">
            <v>1.6831672811121887</v>
          </cell>
          <cell r="AB107">
            <v>0.15479543970339243</v>
          </cell>
          <cell r="AC107">
            <v>30246.564531723772</v>
          </cell>
          <cell r="AD107">
            <v>9.1966759002770085E-2</v>
          </cell>
          <cell r="AE107">
            <v>1.6831672811121887</v>
          </cell>
          <cell r="AF107">
            <v>0.15479543970339243</v>
          </cell>
          <cell r="AG107">
            <v>30246.564531723772</v>
          </cell>
          <cell r="AH107">
            <v>9.1966759002770085E-2</v>
          </cell>
          <cell r="AI107">
            <v>1.6831672811121887</v>
          </cell>
          <cell r="AJ107">
            <v>0.15479543970339243</v>
          </cell>
          <cell r="AK107">
            <v>30246.564531723772</v>
          </cell>
          <cell r="AL107">
            <v>9.1966759002770085E-2</v>
          </cell>
          <cell r="AM107">
            <v>1.6831672811121887</v>
          </cell>
          <cell r="AN107">
            <v>0.15479543970339243</v>
          </cell>
          <cell r="AO107">
            <v>30246.564531723772</v>
          </cell>
          <cell r="AP107">
            <v>9.1966759002770085E-2</v>
          </cell>
          <cell r="AQ107">
            <v>1.6831672811121887</v>
          </cell>
          <cell r="AR107">
            <v>0.15479543970339243</v>
          </cell>
          <cell r="AS107">
            <v>30246.564531723772</v>
          </cell>
          <cell r="AT107">
            <v>9.1966759002770085E-2</v>
          </cell>
          <cell r="AU107">
            <v>1.6831672811121887</v>
          </cell>
          <cell r="AV107">
            <v>0.15479543970339243</v>
          </cell>
          <cell r="AW107">
            <v>30246.564531723772</v>
          </cell>
        </row>
        <row r="108">
          <cell r="A108" t="str">
            <v>Doubletree Club</v>
          </cell>
          <cell r="B108">
            <v>6.0941828254847646E-2</v>
          </cell>
          <cell r="C108">
            <v>0.9134014752670111</v>
          </cell>
          <cell r="D108">
            <v>5.5664355833446658E-2</v>
          </cell>
          <cell r="E108">
            <v>10876.635</v>
          </cell>
          <cell r="F108">
            <v>6.0941828254847646E-2</v>
          </cell>
          <cell r="G108">
            <v>0.9134014752670111</v>
          </cell>
          <cell r="H108">
            <v>5.5664355833446658E-2</v>
          </cell>
          <cell r="I108">
            <v>10876.648136787977</v>
          </cell>
          <cell r="J108">
            <v>6.0941828254847646E-2</v>
          </cell>
          <cell r="K108">
            <v>0.9134014752670111</v>
          </cell>
          <cell r="L108">
            <v>5.5664355833446658E-2</v>
          </cell>
          <cell r="M108">
            <v>10876.648136787977</v>
          </cell>
          <cell r="N108">
            <v>6.0941828254847646E-2</v>
          </cell>
          <cell r="O108">
            <v>0.9134014752670111</v>
          </cell>
          <cell r="P108">
            <v>5.5664355833446658E-2</v>
          </cell>
          <cell r="Q108">
            <v>10876.648136787977</v>
          </cell>
          <cell r="R108">
            <v>6.0941828254847646E-2</v>
          </cell>
          <cell r="S108">
            <v>0.9134014752670111</v>
          </cell>
          <cell r="T108">
            <v>5.5664355833446658E-2</v>
          </cell>
          <cell r="U108">
            <v>10876.648136787977</v>
          </cell>
          <cell r="V108">
            <v>6.0941828254847646E-2</v>
          </cell>
          <cell r="W108">
            <v>0.9134014752670111</v>
          </cell>
          <cell r="X108">
            <v>5.5664355833446658E-2</v>
          </cell>
          <cell r="Y108">
            <v>10876.648136787977</v>
          </cell>
          <cell r="Z108">
            <v>6.0941828254847646E-2</v>
          </cell>
          <cell r="AA108">
            <v>0.9134014752670111</v>
          </cell>
          <cell r="AB108">
            <v>5.5664355833446658E-2</v>
          </cell>
          <cell r="AC108">
            <v>10876.648136787977</v>
          </cell>
          <cell r="AD108">
            <v>6.0941828254847646E-2</v>
          </cell>
          <cell r="AE108">
            <v>0.9134014752670111</v>
          </cell>
          <cell r="AF108">
            <v>5.5664355833446658E-2</v>
          </cell>
          <cell r="AG108">
            <v>10876.648136787977</v>
          </cell>
          <cell r="AH108">
            <v>6.0941828254847646E-2</v>
          </cell>
          <cell r="AI108">
            <v>0.9134014752670111</v>
          </cell>
          <cell r="AJ108">
            <v>5.5664355833446658E-2</v>
          </cell>
          <cell r="AK108">
            <v>10876.648136787977</v>
          </cell>
          <cell r="AL108">
            <v>6.0941828254847646E-2</v>
          </cell>
          <cell r="AM108">
            <v>0.9134014752670111</v>
          </cell>
          <cell r="AN108">
            <v>5.5664355833446658E-2</v>
          </cell>
          <cell r="AO108">
            <v>10876.648136787977</v>
          </cell>
          <cell r="AP108">
            <v>6.0941828254847646E-2</v>
          </cell>
          <cell r="AQ108">
            <v>0.9134014752670111</v>
          </cell>
          <cell r="AR108">
            <v>5.5664355833446658E-2</v>
          </cell>
          <cell r="AS108">
            <v>10876.648136787977</v>
          </cell>
          <cell r="AT108">
            <v>6.0941828254847646E-2</v>
          </cell>
          <cell r="AU108">
            <v>0.9134014752670111</v>
          </cell>
          <cell r="AV108">
            <v>5.5664355833446658E-2</v>
          </cell>
          <cell r="AW108">
            <v>10876.648136787977</v>
          </cell>
        </row>
        <row r="109">
          <cell r="A109" t="str">
            <v>La Quinta</v>
          </cell>
          <cell r="B109">
            <v>3.9889196675900275E-2</v>
          </cell>
          <cell r="C109">
            <v>0</v>
          </cell>
          <cell r="D109">
            <v>0</v>
          </cell>
          <cell r="E109">
            <v>0</v>
          </cell>
          <cell r="F109">
            <v>3.9889196675900275E-2</v>
          </cell>
          <cell r="G109">
            <v>0</v>
          </cell>
          <cell r="H109">
            <v>0</v>
          </cell>
          <cell r="I109">
            <v>0</v>
          </cell>
          <cell r="J109">
            <v>3.9889196675900275E-2</v>
          </cell>
          <cell r="K109">
            <v>0</v>
          </cell>
          <cell r="L109">
            <v>0</v>
          </cell>
          <cell r="M109">
            <v>0</v>
          </cell>
          <cell r="N109">
            <v>3.9889196675900275E-2</v>
          </cell>
          <cell r="O109">
            <v>0</v>
          </cell>
          <cell r="P109">
            <v>0</v>
          </cell>
          <cell r="Q109">
            <v>0</v>
          </cell>
          <cell r="R109">
            <v>3.9889196675900275E-2</v>
          </cell>
          <cell r="S109">
            <v>0</v>
          </cell>
          <cell r="T109">
            <v>0</v>
          </cell>
          <cell r="U109">
            <v>0</v>
          </cell>
          <cell r="V109">
            <v>3.9889196675900275E-2</v>
          </cell>
          <cell r="W109">
            <v>0</v>
          </cell>
          <cell r="X109">
            <v>0</v>
          </cell>
          <cell r="Y109">
            <v>0</v>
          </cell>
          <cell r="Z109">
            <v>3.9889196675900275E-2</v>
          </cell>
          <cell r="AA109">
            <v>0</v>
          </cell>
          <cell r="AB109">
            <v>0</v>
          </cell>
          <cell r="AC109">
            <v>0</v>
          </cell>
          <cell r="AD109">
            <v>3.9889196675900275E-2</v>
          </cell>
          <cell r="AE109">
            <v>0</v>
          </cell>
          <cell r="AF109">
            <v>0</v>
          </cell>
          <cell r="AG109">
            <v>0</v>
          </cell>
          <cell r="AH109">
            <v>3.9889196675900275E-2</v>
          </cell>
          <cell r="AI109">
            <v>0</v>
          </cell>
          <cell r="AJ109">
            <v>0</v>
          </cell>
          <cell r="AK109">
            <v>0</v>
          </cell>
          <cell r="AL109">
            <v>3.9889196675900275E-2</v>
          </cell>
          <cell r="AM109">
            <v>0</v>
          </cell>
          <cell r="AN109">
            <v>0</v>
          </cell>
          <cell r="AO109">
            <v>0</v>
          </cell>
          <cell r="AP109">
            <v>3.9889196675900275E-2</v>
          </cell>
          <cell r="AQ109">
            <v>0</v>
          </cell>
          <cell r="AR109">
            <v>0</v>
          </cell>
          <cell r="AS109">
            <v>0</v>
          </cell>
          <cell r="AT109">
            <v>3.9889196675900275E-2</v>
          </cell>
          <cell r="AU109">
            <v>0</v>
          </cell>
          <cell r="AV109">
            <v>0</v>
          </cell>
          <cell r="AW109">
            <v>0</v>
          </cell>
        </row>
        <row r="110">
          <cell r="A110" t="str">
            <v>Comp8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</row>
        <row r="111">
          <cell r="A111" t="str">
            <v>Comp9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A112" t="str">
            <v>Comp10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A113" t="str">
            <v>Comp11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</row>
        <row r="114">
          <cell r="A114" t="str">
            <v>Comp12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A115" t="str">
            <v>Comp13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</row>
        <row r="116">
          <cell r="A116" t="str">
            <v>Comp14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A117" t="str">
            <v>Comp15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A118" t="str">
            <v>Comp16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A119" t="str">
            <v>Comp17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A120" t="str">
            <v>Comp18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A121" t="str">
            <v>Comp19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A122" t="str">
            <v>Comp20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A123" t="str">
            <v>Comp21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A124" t="str">
            <v>Comp22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A125" t="str">
            <v>Comp23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A126" t="str">
            <v>Comp24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A127" t="str">
            <v>Comp25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A128" t="str">
            <v>Addition/Deletion 1</v>
          </cell>
          <cell r="B128">
            <v>0</v>
          </cell>
          <cell r="C128">
            <v>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0</v>
          </cell>
          <cell r="I128">
            <v>0</v>
          </cell>
          <cell r="J128">
            <v>0</v>
          </cell>
          <cell r="K128">
            <v>1</v>
          </cell>
          <cell r="L128">
            <v>0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>
            <v>0</v>
          </cell>
          <cell r="U128">
            <v>0</v>
          </cell>
          <cell r="V128">
            <v>0</v>
          </cell>
          <cell r="W128">
            <v>1</v>
          </cell>
          <cell r="X128">
            <v>0</v>
          </cell>
          <cell r="Y128">
            <v>0</v>
          </cell>
          <cell r="Z128">
            <v>0</v>
          </cell>
          <cell r="AA128">
            <v>1</v>
          </cell>
          <cell r="AB128">
            <v>0</v>
          </cell>
          <cell r="AC128">
            <v>0</v>
          </cell>
          <cell r="AD128">
            <v>0</v>
          </cell>
          <cell r="AE128">
            <v>1</v>
          </cell>
          <cell r="AF128">
            <v>0</v>
          </cell>
          <cell r="AG128">
            <v>0</v>
          </cell>
          <cell r="AH128">
            <v>0</v>
          </cell>
          <cell r="AI128">
            <v>1</v>
          </cell>
          <cell r="AJ128">
            <v>0</v>
          </cell>
          <cell r="AK128">
            <v>0</v>
          </cell>
          <cell r="AL128">
            <v>0</v>
          </cell>
          <cell r="AM128">
            <v>1</v>
          </cell>
          <cell r="AN128">
            <v>0</v>
          </cell>
          <cell r="AO128">
            <v>0</v>
          </cell>
          <cell r="AP128">
            <v>0</v>
          </cell>
          <cell r="AQ128">
            <v>1</v>
          </cell>
          <cell r="AR128">
            <v>0</v>
          </cell>
          <cell r="AS128">
            <v>0</v>
          </cell>
          <cell r="AT128">
            <v>0</v>
          </cell>
          <cell r="AU128">
            <v>1</v>
          </cell>
          <cell r="AV128">
            <v>0</v>
          </cell>
          <cell r="AW128">
            <v>0</v>
          </cell>
        </row>
        <row r="129">
          <cell r="A129" t="str">
            <v>Addition/Deletion 2</v>
          </cell>
          <cell r="B129">
            <v>0</v>
          </cell>
          <cell r="C129">
            <v>1</v>
          </cell>
          <cell r="D129">
            <v>0</v>
          </cell>
          <cell r="E129">
            <v>0</v>
          </cell>
          <cell r="F129">
            <v>0</v>
          </cell>
          <cell r="G129">
            <v>1</v>
          </cell>
          <cell r="H129">
            <v>0</v>
          </cell>
          <cell r="I129">
            <v>0</v>
          </cell>
          <cell r="J129">
            <v>0</v>
          </cell>
          <cell r="K129">
            <v>1</v>
          </cell>
          <cell r="L129">
            <v>0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>
            <v>0</v>
          </cell>
          <cell r="U129">
            <v>0</v>
          </cell>
          <cell r="V129">
            <v>0</v>
          </cell>
          <cell r="W129">
            <v>1</v>
          </cell>
          <cell r="X129">
            <v>0</v>
          </cell>
          <cell r="Y129">
            <v>0</v>
          </cell>
          <cell r="Z129">
            <v>0</v>
          </cell>
          <cell r="AA129">
            <v>1</v>
          </cell>
          <cell r="AB129">
            <v>0</v>
          </cell>
          <cell r="AC129">
            <v>0</v>
          </cell>
          <cell r="AD129">
            <v>0</v>
          </cell>
          <cell r="AE129">
            <v>1</v>
          </cell>
          <cell r="AF129">
            <v>0</v>
          </cell>
          <cell r="AG129">
            <v>0</v>
          </cell>
          <cell r="AH129">
            <v>0</v>
          </cell>
          <cell r="AI129">
            <v>1</v>
          </cell>
          <cell r="AJ129">
            <v>0</v>
          </cell>
          <cell r="AK129">
            <v>0</v>
          </cell>
          <cell r="AL129">
            <v>0</v>
          </cell>
          <cell r="AM129">
            <v>1</v>
          </cell>
          <cell r="AN129">
            <v>0</v>
          </cell>
          <cell r="AO129">
            <v>0</v>
          </cell>
          <cell r="AP129">
            <v>0</v>
          </cell>
          <cell r="AQ129">
            <v>1</v>
          </cell>
          <cell r="AR129">
            <v>0</v>
          </cell>
          <cell r="AS129">
            <v>0</v>
          </cell>
          <cell r="AT129">
            <v>0</v>
          </cell>
          <cell r="AU129">
            <v>1</v>
          </cell>
          <cell r="AV129">
            <v>0</v>
          </cell>
          <cell r="AW129">
            <v>0</v>
          </cell>
        </row>
        <row r="130">
          <cell r="A130" t="str">
            <v>Addition/Deletion 3</v>
          </cell>
          <cell r="B130">
            <v>0</v>
          </cell>
          <cell r="C130">
            <v>1</v>
          </cell>
          <cell r="D130">
            <v>0</v>
          </cell>
          <cell r="E130">
            <v>0</v>
          </cell>
          <cell r="F130">
            <v>0</v>
          </cell>
          <cell r="G130">
            <v>1</v>
          </cell>
          <cell r="H130">
            <v>0</v>
          </cell>
          <cell r="I130">
            <v>0</v>
          </cell>
          <cell r="J130">
            <v>0</v>
          </cell>
          <cell r="K130">
            <v>1</v>
          </cell>
          <cell r="L130">
            <v>0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S130">
            <v>1</v>
          </cell>
          <cell r="T130">
            <v>0</v>
          </cell>
          <cell r="U130">
            <v>0</v>
          </cell>
          <cell r="V130">
            <v>0</v>
          </cell>
          <cell r="W130">
            <v>1</v>
          </cell>
          <cell r="X130">
            <v>0</v>
          </cell>
          <cell r="Y130">
            <v>0</v>
          </cell>
          <cell r="Z130">
            <v>0</v>
          </cell>
          <cell r="AA130">
            <v>1</v>
          </cell>
          <cell r="AB130">
            <v>0</v>
          </cell>
          <cell r="AC130">
            <v>0</v>
          </cell>
          <cell r="AD130">
            <v>0</v>
          </cell>
          <cell r="AE130">
            <v>1</v>
          </cell>
          <cell r="AF130">
            <v>0</v>
          </cell>
          <cell r="AG130">
            <v>0</v>
          </cell>
          <cell r="AH130">
            <v>0</v>
          </cell>
          <cell r="AI130">
            <v>1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0</v>
          </cell>
          <cell r="AP130">
            <v>0</v>
          </cell>
          <cell r="AQ130">
            <v>1</v>
          </cell>
          <cell r="AR130">
            <v>0</v>
          </cell>
          <cell r="AS130">
            <v>0</v>
          </cell>
          <cell r="AT130">
            <v>0</v>
          </cell>
          <cell r="AU130">
            <v>1</v>
          </cell>
          <cell r="AV130">
            <v>0</v>
          </cell>
          <cell r="AW130">
            <v>0</v>
          </cell>
        </row>
        <row r="131">
          <cell r="A131" t="str">
            <v>Addition/Deletion 4</v>
          </cell>
          <cell r="B131">
            <v>0</v>
          </cell>
          <cell r="C131">
            <v>1</v>
          </cell>
          <cell r="D131">
            <v>0</v>
          </cell>
          <cell r="E131">
            <v>0</v>
          </cell>
          <cell r="F131">
            <v>0</v>
          </cell>
          <cell r="G131">
            <v>1</v>
          </cell>
          <cell r="H131">
            <v>0</v>
          </cell>
          <cell r="I131">
            <v>0</v>
          </cell>
          <cell r="J131">
            <v>0</v>
          </cell>
          <cell r="K131">
            <v>1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>
            <v>0</v>
          </cell>
          <cell r="U131">
            <v>0</v>
          </cell>
          <cell r="V131">
            <v>0</v>
          </cell>
          <cell r="W131">
            <v>1</v>
          </cell>
          <cell r="X131">
            <v>0</v>
          </cell>
          <cell r="Y131">
            <v>0</v>
          </cell>
          <cell r="Z131">
            <v>0</v>
          </cell>
          <cell r="AA131">
            <v>1</v>
          </cell>
          <cell r="AB131">
            <v>0</v>
          </cell>
          <cell r="AC131">
            <v>0</v>
          </cell>
          <cell r="AD131">
            <v>0</v>
          </cell>
          <cell r="AE131">
            <v>1</v>
          </cell>
          <cell r="AF131">
            <v>0</v>
          </cell>
          <cell r="AG131">
            <v>0</v>
          </cell>
          <cell r="AH131">
            <v>0</v>
          </cell>
          <cell r="AI131">
            <v>1</v>
          </cell>
          <cell r="AJ131">
            <v>0</v>
          </cell>
          <cell r="AK131">
            <v>0</v>
          </cell>
          <cell r="AL131">
            <v>0</v>
          </cell>
          <cell r="AM131">
            <v>1</v>
          </cell>
          <cell r="AN131">
            <v>0</v>
          </cell>
          <cell r="AO131">
            <v>0</v>
          </cell>
          <cell r="AP131">
            <v>0</v>
          </cell>
          <cell r="AQ131">
            <v>1</v>
          </cell>
          <cell r="AR131">
            <v>0</v>
          </cell>
          <cell r="AS131">
            <v>0</v>
          </cell>
          <cell r="AT131">
            <v>0</v>
          </cell>
          <cell r="AU131">
            <v>1</v>
          </cell>
          <cell r="AV131">
            <v>0</v>
          </cell>
          <cell r="AW131">
            <v>0</v>
          </cell>
        </row>
        <row r="132">
          <cell r="A132" t="str">
            <v>Addition/Deletion 5</v>
          </cell>
          <cell r="B132">
            <v>0</v>
          </cell>
          <cell r="C132">
            <v>1</v>
          </cell>
          <cell r="D132">
            <v>0</v>
          </cell>
          <cell r="E132">
            <v>0</v>
          </cell>
          <cell r="F132">
            <v>0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1</v>
          </cell>
          <cell r="L132">
            <v>0</v>
          </cell>
          <cell r="M132">
            <v>0</v>
          </cell>
          <cell r="N132">
            <v>0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>
            <v>0</v>
          </cell>
          <cell r="U132">
            <v>0</v>
          </cell>
          <cell r="V132">
            <v>0</v>
          </cell>
          <cell r="W132">
            <v>1</v>
          </cell>
          <cell r="X132">
            <v>0</v>
          </cell>
          <cell r="Y132">
            <v>0</v>
          </cell>
          <cell r="Z132">
            <v>0</v>
          </cell>
          <cell r="AA132">
            <v>1</v>
          </cell>
          <cell r="AB132">
            <v>0</v>
          </cell>
          <cell r="AC132">
            <v>0</v>
          </cell>
          <cell r="AD132">
            <v>0</v>
          </cell>
          <cell r="AE132">
            <v>1</v>
          </cell>
          <cell r="AF132">
            <v>0</v>
          </cell>
          <cell r="AG132">
            <v>0</v>
          </cell>
          <cell r="AH132">
            <v>0</v>
          </cell>
          <cell r="AI132">
            <v>1</v>
          </cell>
          <cell r="AJ132">
            <v>0</v>
          </cell>
          <cell r="AK132">
            <v>0</v>
          </cell>
          <cell r="AL132">
            <v>0</v>
          </cell>
          <cell r="AM132">
            <v>1</v>
          </cell>
          <cell r="AN132">
            <v>0</v>
          </cell>
          <cell r="AO132">
            <v>0</v>
          </cell>
          <cell r="AP132">
            <v>0</v>
          </cell>
          <cell r="AQ132">
            <v>1</v>
          </cell>
          <cell r="AR132">
            <v>0</v>
          </cell>
          <cell r="AS132">
            <v>0</v>
          </cell>
          <cell r="AT132">
            <v>0</v>
          </cell>
          <cell r="AU132">
            <v>1</v>
          </cell>
          <cell r="AV132">
            <v>0</v>
          </cell>
          <cell r="AW132">
            <v>0</v>
          </cell>
        </row>
        <row r="133">
          <cell r="A133" t="str">
            <v>Total</v>
          </cell>
          <cell r="B133">
            <v>1</v>
          </cell>
          <cell r="C133">
            <v>0</v>
          </cell>
          <cell r="D133">
            <v>1</v>
          </cell>
          <cell r="E133">
            <v>195396.764</v>
          </cell>
          <cell r="F133">
            <v>1</v>
          </cell>
          <cell r="G133">
            <v>0</v>
          </cell>
          <cell r="H133">
            <v>1</v>
          </cell>
          <cell r="I133">
            <v>195397.00000000003</v>
          </cell>
          <cell r="J133">
            <v>1</v>
          </cell>
          <cell r="K133">
            <v>0</v>
          </cell>
          <cell r="L133">
            <v>1</v>
          </cell>
          <cell r="M133">
            <v>195397.00000000003</v>
          </cell>
          <cell r="N133">
            <v>1</v>
          </cell>
          <cell r="O133">
            <v>0</v>
          </cell>
          <cell r="P133">
            <v>1</v>
          </cell>
          <cell r="Q133">
            <v>195397.00000000003</v>
          </cell>
          <cell r="R133">
            <v>1</v>
          </cell>
          <cell r="S133">
            <v>0</v>
          </cell>
          <cell r="T133">
            <v>1</v>
          </cell>
          <cell r="U133">
            <v>195397.00000000003</v>
          </cell>
          <cell r="V133">
            <v>1</v>
          </cell>
          <cell r="W133">
            <v>0</v>
          </cell>
          <cell r="X133">
            <v>1</v>
          </cell>
          <cell r="Y133">
            <v>195397.00000000003</v>
          </cell>
          <cell r="Z133">
            <v>1</v>
          </cell>
          <cell r="AA133">
            <v>0</v>
          </cell>
          <cell r="AB133">
            <v>1</v>
          </cell>
          <cell r="AC133">
            <v>195397.00000000003</v>
          </cell>
          <cell r="AD133">
            <v>1</v>
          </cell>
          <cell r="AE133">
            <v>0</v>
          </cell>
          <cell r="AF133">
            <v>1</v>
          </cell>
          <cell r="AG133">
            <v>195397.00000000003</v>
          </cell>
          <cell r="AH133">
            <v>1</v>
          </cell>
          <cell r="AI133">
            <v>0</v>
          </cell>
          <cell r="AJ133">
            <v>1</v>
          </cell>
          <cell r="AK133">
            <v>195397.00000000003</v>
          </cell>
          <cell r="AL133">
            <v>1</v>
          </cell>
          <cell r="AM133">
            <v>0</v>
          </cell>
          <cell r="AN133">
            <v>1</v>
          </cell>
          <cell r="AO133">
            <v>195397.00000000003</v>
          </cell>
          <cell r="AP133">
            <v>1</v>
          </cell>
          <cell r="AQ133">
            <v>0</v>
          </cell>
          <cell r="AR133">
            <v>1</v>
          </cell>
          <cell r="AS133">
            <v>195397.00000000003</v>
          </cell>
          <cell r="AT133">
            <v>1</v>
          </cell>
          <cell r="AU133">
            <v>0</v>
          </cell>
          <cell r="AV133">
            <v>1</v>
          </cell>
          <cell r="AW133">
            <v>195397.00000000003</v>
          </cell>
        </row>
        <row r="136">
          <cell r="A136" t="str">
            <v>Group</v>
          </cell>
          <cell r="B136" t="str">
            <v>2002(Historical)</v>
          </cell>
          <cell r="C136">
            <v>0</v>
          </cell>
          <cell r="D136">
            <v>0</v>
          </cell>
          <cell r="E136">
            <v>0</v>
          </cell>
          <cell r="F136">
            <v>2004</v>
          </cell>
          <cell r="G136">
            <v>0</v>
          </cell>
          <cell r="H136">
            <v>0</v>
          </cell>
          <cell r="I136">
            <v>0</v>
          </cell>
          <cell r="J136">
            <v>2005</v>
          </cell>
          <cell r="K136">
            <v>0</v>
          </cell>
          <cell r="L136">
            <v>0</v>
          </cell>
          <cell r="M136">
            <v>0</v>
          </cell>
          <cell r="N136">
            <v>2006</v>
          </cell>
          <cell r="O136">
            <v>0</v>
          </cell>
          <cell r="P136">
            <v>0</v>
          </cell>
          <cell r="Q136">
            <v>0</v>
          </cell>
          <cell r="R136">
            <v>2007</v>
          </cell>
          <cell r="S136">
            <v>0</v>
          </cell>
          <cell r="T136">
            <v>0</v>
          </cell>
          <cell r="U136">
            <v>0</v>
          </cell>
          <cell r="V136">
            <v>2008</v>
          </cell>
          <cell r="W136">
            <v>0</v>
          </cell>
          <cell r="X136">
            <v>0</v>
          </cell>
          <cell r="Y136">
            <v>0</v>
          </cell>
          <cell r="Z136">
            <v>2009</v>
          </cell>
          <cell r="AA136">
            <v>0</v>
          </cell>
          <cell r="AB136">
            <v>0</v>
          </cell>
          <cell r="AC136">
            <v>0</v>
          </cell>
          <cell r="AD136">
            <v>2010</v>
          </cell>
          <cell r="AE136">
            <v>0</v>
          </cell>
          <cell r="AF136">
            <v>0</v>
          </cell>
          <cell r="AG136">
            <v>0</v>
          </cell>
          <cell r="AH136">
            <v>2011</v>
          </cell>
          <cell r="AI136">
            <v>0</v>
          </cell>
          <cell r="AJ136">
            <v>0</v>
          </cell>
          <cell r="AK136">
            <v>0</v>
          </cell>
          <cell r="AL136">
            <v>2012</v>
          </cell>
          <cell r="AM136">
            <v>0</v>
          </cell>
          <cell r="AN136">
            <v>0</v>
          </cell>
          <cell r="AO136">
            <v>0</v>
          </cell>
          <cell r="AP136">
            <v>2013</v>
          </cell>
          <cell r="AQ136">
            <v>0</v>
          </cell>
          <cell r="AR136">
            <v>0</v>
          </cell>
          <cell r="AS136">
            <v>0</v>
          </cell>
          <cell r="AT136">
            <v>2014</v>
          </cell>
        </row>
        <row r="137">
          <cell r="A137" t="str">
            <v>Property</v>
          </cell>
          <cell r="B137" t="str">
            <v>Fair Share</v>
          </cell>
          <cell r="C137" t="str">
            <v>Penetration</v>
          </cell>
          <cell r="D137" t="str">
            <v>Mkt. Share</v>
          </cell>
          <cell r="E137" t="str">
            <v>Rmnights</v>
          </cell>
          <cell r="F137" t="str">
            <v>Fair Share</v>
          </cell>
          <cell r="G137" t="str">
            <v>Penetration</v>
          </cell>
          <cell r="H137" t="str">
            <v>Mkt. Share</v>
          </cell>
          <cell r="I137" t="str">
            <v>Rmnights</v>
          </cell>
          <cell r="J137" t="str">
            <v>Fair Share</v>
          </cell>
          <cell r="K137" t="str">
            <v>Penetration</v>
          </cell>
          <cell r="L137" t="str">
            <v>Mkt. Share</v>
          </cell>
          <cell r="M137" t="str">
            <v>Rmnights</v>
          </cell>
          <cell r="N137" t="str">
            <v>Fair Share</v>
          </cell>
          <cell r="O137" t="str">
            <v>Penetration</v>
          </cell>
          <cell r="P137" t="str">
            <v>Mkt. Share</v>
          </cell>
          <cell r="Q137" t="str">
            <v>Rmnights</v>
          </cell>
          <cell r="R137" t="str">
            <v>Fair Share</v>
          </cell>
          <cell r="S137" t="str">
            <v>Penetration</v>
          </cell>
          <cell r="T137" t="str">
            <v>Mkt. Share</v>
          </cell>
          <cell r="U137" t="str">
            <v>Rmnights</v>
          </cell>
          <cell r="V137" t="str">
            <v>Fair Share</v>
          </cell>
          <cell r="W137" t="str">
            <v>Penetration</v>
          </cell>
          <cell r="X137" t="str">
            <v>Mkt. Share</v>
          </cell>
          <cell r="Y137" t="str">
            <v>Rmnights</v>
          </cell>
          <cell r="Z137" t="str">
            <v>Fair Share</v>
          </cell>
          <cell r="AA137" t="str">
            <v>Penetration</v>
          </cell>
          <cell r="AB137" t="str">
            <v>Mkt. Share</v>
          </cell>
          <cell r="AC137" t="str">
            <v>Rmnights</v>
          </cell>
          <cell r="AD137" t="str">
            <v>Fair Share</v>
          </cell>
          <cell r="AE137" t="str">
            <v>Penetration</v>
          </cell>
          <cell r="AF137" t="str">
            <v>Mkt. Share</v>
          </cell>
          <cell r="AG137" t="str">
            <v>Rmnights</v>
          </cell>
          <cell r="AH137" t="str">
            <v>Fair Share</v>
          </cell>
          <cell r="AI137" t="str">
            <v>Penetration</v>
          </cell>
          <cell r="AJ137" t="str">
            <v>Mkt. Share</v>
          </cell>
          <cell r="AK137" t="str">
            <v>Rmnights</v>
          </cell>
          <cell r="AL137" t="str">
            <v>Fair Share</v>
          </cell>
          <cell r="AM137" t="str">
            <v>Penetration</v>
          </cell>
          <cell r="AN137" t="str">
            <v>Mkt. Share</v>
          </cell>
          <cell r="AO137" t="str">
            <v>Rmnights</v>
          </cell>
          <cell r="AP137" t="str">
            <v>Fair Share</v>
          </cell>
          <cell r="AQ137" t="str">
            <v>Penetration</v>
          </cell>
          <cell r="AR137" t="str">
            <v>Mkt. Share</v>
          </cell>
          <cell r="AS137" t="str">
            <v>Rmnights</v>
          </cell>
          <cell r="AT137" t="str">
            <v>Fair Share</v>
          </cell>
          <cell r="AU137" t="str">
            <v>Penetration</v>
          </cell>
          <cell r="AV137" t="str">
            <v>Mkt. Share</v>
          </cell>
          <cell r="AW137" t="str">
            <v>Rmnights</v>
          </cell>
        </row>
        <row r="138">
          <cell r="A138" t="str">
            <v>Sheraton JFK</v>
          </cell>
          <cell r="B138">
            <v>0.10193905817174516</v>
          </cell>
          <cell r="C138">
            <v>0.86327380457644054</v>
          </cell>
          <cell r="D138">
            <v>8.8001318582861532E-2</v>
          </cell>
          <cell r="E138">
            <v>10032.3608</v>
          </cell>
          <cell r="F138">
            <v>0.10193905817174516</v>
          </cell>
          <cell r="G138">
            <v>0.86327380457644054</v>
          </cell>
          <cell r="H138">
            <v>8.8001318582861532E-2</v>
          </cell>
          <cell r="I138">
            <v>10032.326321083381</v>
          </cell>
          <cell r="J138">
            <v>0.10193905817174516</v>
          </cell>
          <cell r="K138">
            <v>0.86327380457644054</v>
          </cell>
          <cell r="L138">
            <v>8.8001318582861532E-2</v>
          </cell>
          <cell r="M138">
            <v>10032.326321083381</v>
          </cell>
          <cell r="N138">
            <v>0.10193905817174516</v>
          </cell>
          <cell r="O138">
            <v>0.86327380457644054</v>
          </cell>
          <cell r="P138">
            <v>8.8001318582861532E-2</v>
          </cell>
          <cell r="Q138">
            <v>10032.326321083381</v>
          </cell>
          <cell r="R138">
            <v>0.10193905817174516</v>
          </cell>
          <cell r="S138">
            <v>0.86327380457644054</v>
          </cell>
          <cell r="T138">
            <v>8.8001318582861532E-2</v>
          </cell>
          <cell r="U138">
            <v>10032.326321083381</v>
          </cell>
          <cell r="V138">
            <v>0.10193905817174516</v>
          </cell>
          <cell r="W138">
            <v>0.86327380457644054</v>
          </cell>
          <cell r="X138">
            <v>8.8001318582861532E-2</v>
          </cell>
          <cell r="Y138">
            <v>10032.326321083381</v>
          </cell>
          <cell r="Z138">
            <v>0.10193905817174516</v>
          </cell>
          <cell r="AA138">
            <v>0.86327380457644054</v>
          </cell>
          <cell r="AB138">
            <v>8.8001318582861532E-2</v>
          </cell>
          <cell r="AC138">
            <v>10032.326321083381</v>
          </cell>
          <cell r="AD138">
            <v>0.10193905817174516</v>
          </cell>
          <cell r="AE138">
            <v>0.86327380457644054</v>
          </cell>
          <cell r="AF138">
            <v>8.8001318582861532E-2</v>
          </cell>
          <cell r="AG138">
            <v>10032.326321083381</v>
          </cell>
          <cell r="AH138">
            <v>0.10193905817174516</v>
          </cell>
          <cell r="AI138">
            <v>0.86327380457644054</v>
          </cell>
          <cell r="AJ138">
            <v>8.8001318582861532E-2</v>
          </cell>
          <cell r="AK138">
            <v>10032.326321083381</v>
          </cell>
          <cell r="AL138">
            <v>0.10193905817174516</v>
          </cell>
          <cell r="AM138">
            <v>0.86327380457644054</v>
          </cell>
          <cell r="AN138">
            <v>8.8001318582861532E-2</v>
          </cell>
          <cell r="AO138">
            <v>10032.326321083381</v>
          </cell>
          <cell r="AP138">
            <v>0.10193905817174516</v>
          </cell>
          <cell r="AQ138">
            <v>0.86327380457644054</v>
          </cell>
          <cell r="AR138">
            <v>8.8001318582861532E-2</v>
          </cell>
          <cell r="AS138">
            <v>10032.326321083381</v>
          </cell>
          <cell r="AT138">
            <v>0.10193905817174516</v>
          </cell>
          <cell r="AU138">
            <v>0.86327380457644054</v>
          </cell>
          <cell r="AV138">
            <v>8.8001318582861532E-2</v>
          </cell>
          <cell r="AW138">
            <v>10032.326321083381</v>
          </cell>
        </row>
        <row r="139">
          <cell r="A139" t="str">
            <v>Radisson JFK</v>
          </cell>
          <cell r="B139">
            <v>0.21385041551246536</v>
          </cell>
          <cell r="C139">
            <v>1.3297583507366377</v>
          </cell>
          <cell r="D139">
            <v>0.28436937583620064</v>
          </cell>
          <cell r="E139">
            <v>32418.788999999997</v>
          </cell>
          <cell r="F139">
            <v>0.21385041551246536</v>
          </cell>
          <cell r="G139">
            <v>1.3297583507366377</v>
          </cell>
          <cell r="H139">
            <v>0.28436937583620064</v>
          </cell>
          <cell r="I139">
            <v>32418.677584078545</v>
          </cell>
          <cell r="J139">
            <v>0.21385041551246536</v>
          </cell>
          <cell r="K139">
            <v>1.3297583507366377</v>
          </cell>
          <cell r="L139">
            <v>0.28436937583620064</v>
          </cell>
          <cell r="M139">
            <v>32418.677584078545</v>
          </cell>
          <cell r="N139">
            <v>0.21385041551246536</v>
          </cell>
          <cell r="O139">
            <v>1.3297583507366377</v>
          </cell>
          <cell r="P139">
            <v>0.28436937583620064</v>
          </cell>
          <cell r="Q139">
            <v>32418.677584078545</v>
          </cell>
          <cell r="R139">
            <v>0.21385041551246536</v>
          </cell>
          <cell r="S139">
            <v>1.3297583507366377</v>
          </cell>
          <cell r="T139">
            <v>0.28436937583620064</v>
          </cell>
          <cell r="U139">
            <v>32418.677584078545</v>
          </cell>
          <cell r="V139">
            <v>0.21385041551246536</v>
          </cell>
          <cell r="W139">
            <v>1.3297583507366377</v>
          </cell>
          <cell r="X139">
            <v>0.28436937583620064</v>
          </cell>
          <cell r="Y139">
            <v>32418.677584078545</v>
          </cell>
          <cell r="Z139">
            <v>0.21385041551246536</v>
          </cell>
          <cell r="AA139">
            <v>1.3297583507366377</v>
          </cell>
          <cell r="AB139">
            <v>0.28436937583620064</v>
          </cell>
          <cell r="AC139">
            <v>32418.677584078545</v>
          </cell>
          <cell r="AD139">
            <v>0.21385041551246536</v>
          </cell>
          <cell r="AE139">
            <v>1.3297583507366377</v>
          </cell>
          <cell r="AF139">
            <v>0.28436937583620064</v>
          </cell>
          <cell r="AG139">
            <v>32418.677584078545</v>
          </cell>
          <cell r="AH139">
            <v>0.21385041551246536</v>
          </cell>
          <cell r="AI139">
            <v>1.3297583507366377</v>
          </cell>
          <cell r="AJ139">
            <v>0.28436937583620064</v>
          </cell>
          <cell r="AK139">
            <v>32418.677584078545</v>
          </cell>
          <cell r="AL139">
            <v>0.21385041551246536</v>
          </cell>
          <cell r="AM139">
            <v>1.3297583507366377</v>
          </cell>
          <cell r="AN139">
            <v>0.28436937583620064</v>
          </cell>
          <cell r="AO139">
            <v>32418.677584078545</v>
          </cell>
          <cell r="AP139">
            <v>0.21385041551246536</v>
          </cell>
          <cell r="AQ139">
            <v>1.3297583507366377</v>
          </cell>
          <cell r="AR139">
            <v>0.28436937583620064</v>
          </cell>
          <cell r="AS139">
            <v>32418.677584078545</v>
          </cell>
          <cell r="AT139">
            <v>0.21385041551246536</v>
          </cell>
          <cell r="AU139">
            <v>1.3297583507366377</v>
          </cell>
          <cell r="AV139">
            <v>0.28436937583620064</v>
          </cell>
          <cell r="AW139">
            <v>32418.677584078545</v>
          </cell>
        </row>
        <row r="140">
          <cell r="A140" t="str">
            <v>Holiday Inn</v>
          </cell>
          <cell r="B140">
            <v>0.1994459833795014</v>
          </cell>
          <cell r="C140">
            <v>1.6019513899356628</v>
          </cell>
          <cell r="D140">
            <v>0.31950277029187735</v>
          </cell>
          <cell r="E140">
            <v>36424.080000000002</v>
          </cell>
          <cell r="F140">
            <v>0.1994459833795014</v>
          </cell>
          <cell r="G140">
            <v>1.6019513899356628</v>
          </cell>
          <cell r="H140">
            <v>0.31950277029187735</v>
          </cell>
          <cell r="I140">
            <v>36423.9548188146</v>
          </cell>
          <cell r="J140">
            <v>0.1994459833795014</v>
          </cell>
          <cell r="K140">
            <v>1.6019513899356628</v>
          </cell>
          <cell r="L140">
            <v>0.31950277029187735</v>
          </cell>
          <cell r="M140">
            <v>36423.9548188146</v>
          </cell>
          <cell r="N140">
            <v>0.1994459833795014</v>
          </cell>
          <cell r="O140">
            <v>1.6019513899356628</v>
          </cell>
          <cell r="P140">
            <v>0.31950277029187735</v>
          </cell>
          <cell r="Q140">
            <v>36423.9548188146</v>
          </cell>
          <cell r="R140">
            <v>0.1994459833795014</v>
          </cell>
          <cell r="S140">
            <v>1.6019513899356628</v>
          </cell>
          <cell r="T140">
            <v>0.31950277029187735</v>
          </cell>
          <cell r="U140">
            <v>36423.9548188146</v>
          </cell>
          <cell r="V140">
            <v>0.1994459833795014</v>
          </cell>
          <cell r="W140">
            <v>1.6019513899356628</v>
          </cell>
          <cell r="X140">
            <v>0.31950277029187735</v>
          </cell>
          <cell r="Y140">
            <v>36423.9548188146</v>
          </cell>
          <cell r="Z140">
            <v>0.1994459833795014</v>
          </cell>
          <cell r="AA140">
            <v>1.6019513899356628</v>
          </cell>
          <cell r="AB140">
            <v>0.31950277029187735</v>
          </cell>
          <cell r="AC140">
            <v>36423.9548188146</v>
          </cell>
          <cell r="AD140">
            <v>0.1994459833795014</v>
          </cell>
          <cell r="AE140">
            <v>1.6019513899356628</v>
          </cell>
          <cell r="AF140">
            <v>0.31950277029187735</v>
          </cell>
          <cell r="AG140">
            <v>36423.9548188146</v>
          </cell>
          <cell r="AH140">
            <v>0.1994459833795014</v>
          </cell>
          <cell r="AI140">
            <v>1.6019513899356628</v>
          </cell>
          <cell r="AJ140">
            <v>0.31950277029187735</v>
          </cell>
          <cell r="AK140">
            <v>36423.9548188146</v>
          </cell>
          <cell r="AL140">
            <v>0.1994459833795014</v>
          </cell>
          <cell r="AM140">
            <v>1.6019513899356628</v>
          </cell>
          <cell r="AN140">
            <v>0.31950277029187735</v>
          </cell>
          <cell r="AO140">
            <v>36423.9548188146</v>
          </cell>
          <cell r="AP140">
            <v>0.1994459833795014</v>
          </cell>
          <cell r="AQ140">
            <v>1.6019513899356628</v>
          </cell>
          <cell r="AR140">
            <v>0.31950277029187735</v>
          </cell>
          <cell r="AS140">
            <v>36423.9548188146</v>
          </cell>
          <cell r="AT140">
            <v>0.1994459833795014</v>
          </cell>
          <cell r="AU140">
            <v>1.6019513899356628</v>
          </cell>
          <cell r="AV140">
            <v>0.31950277029187735</v>
          </cell>
          <cell r="AW140">
            <v>36423.9548188146</v>
          </cell>
        </row>
        <row r="141">
          <cell r="A141" t="str">
            <v>Ramada Plaza</v>
          </cell>
          <cell r="B141">
            <v>0.17229916897506925</v>
          </cell>
          <cell r="C141">
            <v>0</v>
          </cell>
          <cell r="D141">
            <v>0</v>
          </cell>
          <cell r="E141">
            <v>0</v>
          </cell>
          <cell r="F141">
            <v>0.17229916897506925</v>
          </cell>
          <cell r="G141">
            <v>0</v>
          </cell>
          <cell r="H141">
            <v>0</v>
          </cell>
          <cell r="I141">
            <v>0</v>
          </cell>
          <cell r="J141">
            <v>0.17229916897506925</v>
          </cell>
          <cell r="K141">
            <v>0</v>
          </cell>
          <cell r="L141">
            <v>0</v>
          </cell>
          <cell r="M141">
            <v>0</v>
          </cell>
          <cell r="N141">
            <v>0.17229916897506925</v>
          </cell>
          <cell r="O141">
            <v>0</v>
          </cell>
          <cell r="P141">
            <v>0</v>
          </cell>
          <cell r="Q141">
            <v>0</v>
          </cell>
          <cell r="R141">
            <v>0.17229916897506925</v>
          </cell>
          <cell r="S141">
            <v>0</v>
          </cell>
          <cell r="T141">
            <v>0</v>
          </cell>
          <cell r="U141">
            <v>0</v>
          </cell>
          <cell r="V141">
            <v>0.17229916897506925</v>
          </cell>
          <cell r="W141">
            <v>0</v>
          </cell>
          <cell r="X141">
            <v>0</v>
          </cell>
          <cell r="Y141">
            <v>0</v>
          </cell>
          <cell r="Z141">
            <v>0.17229916897506925</v>
          </cell>
          <cell r="AA141">
            <v>0</v>
          </cell>
          <cell r="AB141">
            <v>0</v>
          </cell>
          <cell r="AC141">
            <v>0</v>
          </cell>
          <cell r="AD141">
            <v>0.17229916897506925</v>
          </cell>
          <cell r="AE141">
            <v>0</v>
          </cell>
          <cell r="AF141">
            <v>0</v>
          </cell>
          <cell r="AG141">
            <v>0</v>
          </cell>
          <cell r="AH141">
            <v>0.17229916897506925</v>
          </cell>
          <cell r="AI141">
            <v>0</v>
          </cell>
          <cell r="AJ141">
            <v>0</v>
          </cell>
          <cell r="AK141">
            <v>0</v>
          </cell>
          <cell r="AL141">
            <v>0.17229916897506925</v>
          </cell>
          <cell r="AM141">
            <v>0</v>
          </cell>
          <cell r="AN141">
            <v>0</v>
          </cell>
          <cell r="AO141">
            <v>0</v>
          </cell>
          <cell r="AP141">
            <v>0.17229916897506925</v>
          </cell>
          <cell r="AQ141">
            <v>0</v>
          </cell>
          <cell r="AR141">
            <v>0</v>
          </cell>
          <cell r="AS141">
            <v>0</v>
          </cell>
          <cell r="AT141">
            <v>0.17229916897506925</v>
          </cell>
          <cell r="AU141">
            <v>0</v>
          </cell>
          <cell r="AV141">
            <v>0</v>
          </cell>
          <cell r="AW141">
            <v>0</v>
          </cell>
        </row>
        <row r="142">
          <cell r="A142" t="str">
            <v xml:space="preserve">Hampton Inn </v>
          </cell>
          <cell r="B142">
            <v>0.11966759002770083</v>
          </cell>
          <cell r="C142">
            <v>0.84951967648103321</v>
          </cell>
          <cell r="D142">
            <v>0.10165997236559733</v>
          </cell>
          <cell r="E142">
            <v>11589.48</v>
          </cell>
          <cell r="F142">
            <v>0.11966759002770083</v>
          </cell>
          <cell r="G142">
            <v>0.84951967648103321</v>
          </cell>
          <cell r="H142">
            <v>0.10165997236559733</v>
          </cell>
          <cell r="I142">
            <v>11589.440169622827</v>
          </cell>
          <cell r="J142">
            <v>0.11966759002770083</v>
          </cell>
          <cell r="K142">
            <v>0.84951967648103321</v>
          </cell>
          <cell r="L142">
            <v>0.10165997236559733</v>
          </cell>
          <cell r="M142">
            <v>11589.440169622827</v>
          </cell>
          <cell r="N142">
            <v>0.11966759002770083</v>
          </cell>
          <cell r="O142">
            <v>0.84951967648103321</v>
          </cell>
          <cell r="P142">
            <v>0.10165997236559733</v>
          </cell>
          <cell r="Q142">
            <v>11589.440169622827</v>
          </cell>
          <cell r="R142">
            <v>0.11966759002770083</v>
          </cell>
          <cell r="S142">
            <v>0.84951967648103321</v>
          </cell>
          <cell r="T142">
            <v>0.10165997236559733</v>
          </cell>
          <cell r="U142">
            <v>11589.440169622827</v>
          </cell>
          <cell r="V142">
            <v>0.11966759002770083</v>
          </cell>
          <cell r="W142">
            <v>0.84951967648103321</v>
          </cell>
          <cell r="X142">
            <v>0.10165997236559733</v>
          </cell>
          <cell r="Y142">
            <v>11589.440169622827</v>
          </cell>
          <cell r="Z142">
            <v>0.11966759002770083</v>
          </cell>
          <cell r="AA142">
            <v>0.84951967648103321</v>
          </cell>
          <cell r="AB142">
            <v>0.10165997236559733</v>
          </cell>
          <cell r="AC142">
            <v>11589.440169622827</v>
          </cell>
          <cell r="AD142">
            <v>0.11966759002770083</v>
          </cell>
          <cell r="AE142">
            <v>0.84951967648103321</v>
          </cell>
          <cell r="AF142">
            <v>0.10165997236559733</v>
          </cell>
          <cell r="AG142">
            <v>11589.440169622827</v>
          </cell>
          <cell r="AH142">
            <v>0.11966759002770083</v>
          </cell>
          <cell r="AI142">
            <v>0.84951967648103321</v>
          </cell>
          <cell r="AJ142">
            <v>0.10165997236559733</v>
          </cell>
          <cell r="AK142">
            <v>11589.440169622827</v>
          </cell>
          <cell r="AL142">
            <v>0.11966759002770083</v>
          </cell>
          <cell r="AM142">
            <v>0.84951967648103321</v>
          </cell>
          <cell r="AN142">
            <v>0.10165997236559733</v>
          </cell>
          <cell r="AO142">
            <v>11589.440169622827</v>
          </cell>
          <cell r="AP142">
            <v>0.11966759002770083</v>
          </cell>
          <cell r="AQ142">
            <v>0.84951967648103321</v>
          </cell>
          <cell r="AR142">
            <v>0.10165997236559733</v>
          </cell>
          <cell r="AS142">
            <v>11589.440169622827</v>
          </cell>
          <cell r="AT142">
            <v>0.11966759002770083</v>
          </cell>
          <cell r="AU142">
            <v>0.84951967648103321</v>
          </cell>
          <cell r="AV142">
            <v>0.10165997236559733</v>
          </cell>
          <cell r="AW142">
            <v>11589.440169622827</v>
          </cell>
        </row>
        <row r="143">
          <cell r="A143" t="str">
            <v>Courtyard by Marriott</v>
          </cell>
          <cell r="B143">
            <v>9.1966759002770085E-2</v>
          </cell>
          <cell r="C143">
            <v>1.5534074084224609</v>
          </cell>
          <cell r="D143">
            <v>0.14286184476350611</v>
          </cell>
          <cell r="E143">
            <v>16286.592000000001</v>
          </cell>
          <cell r="F143">
            <v>9.1966759002770085E-2</v>
          </cell>
          <cell r="G143">
            <v>1.5534074084224609</v>
          </cell>
          <cell r="H143">
            <v>0.14286184476350611</v>
          </cell>
          <cell r="I143">
            <v>16286.536026729224</v>
          </cell>
          <cell r="J143">
            <v>9.1966759002770085E-2</v>
          </cell>
          <cell r="K143">
            <v>1.5534074084224609</v>
          </cell>
          <cell r="L143">
            <v>0.14286184476350611</v>
          </cell>
          <cell r="M143">
            <v>16286.536026729224</v>
          </cell>
          <cell r="N143">
            <v>9.1966759002770085E-2</v>
          </cell>
          <cell r="O143">
            <v>1.5534074084224609</v>
          </cell>
          <cell r="P143">
            <v>0.14286184476350611</v>
          </cell>
          <cell r="Q143">
            <v>16286.536026729224</v>
          </cell>
          <cell r="R143">
            <v>9.1966759002770085E-2</v>
          </cell>
          <cell r="S143">
            <v>1.5534074084224609</v>
          </cell>
          <cell r="T143">
            <v>0.14286184476350611</v>
          </cell>
          <cell r="U143">
            <v>16286.536026729224</v>
          </cell>
          <cell r="V143">
            <v>9.1966759002770085E-2</v>
          </cell>
          <cell r="W143">
            <v>1.5534074084224609</v>
          </cell>
          <cell r="X143">
            <v>0.14286184476350611</v>
          </cell>
          <cell r="Y143">
            <v>16286.536026729224</v>
          </cell>
          <cell r="Z143">
            <v>9.1966759002770085E-2</v>
          </cell>
          <cell r="AA143">
            <v>1.5534074084224609</v>
          </cell>
          <cell r="AB143">
            <v>0.14286184476350611</v>
          </cell>
          <cell r="AC143">
            <v>16286.536026729224</v>
          </cell>
          <cell r="AD143">
            <v>9.1966759002770085E-2</v>
          </cell>
          <cell r="AE143">
            <v>1.5534074084224609</v>
          </cell>
          <cell r="AF143">
            <v>0.14286184476350611</v>
          </cell>
          <cell r="AG143">
            <v>16286.536026729224</v>
          </cell>
          <cell r="AH143">
            <v>9.1966759002770085E-2</v>
          </cell>
          <cell r="AI143">
            <v>1.5534074084224609</v>
          </cell>
          <cell r="AJ143">
            <v>0.14286184476350611</v>
          </cell>
          <cell r="AK143">
            <v>16286.536026729224</v>
          </cell>
          <cell r="AL143">
            <v>9.1966759002770085E-2</v>
          </cell>
          <cell r="AM143">
            <v>1.5534074084224609</v>
          </cell>
          <cell r="AN143">
            <v>0.14286184476350611</v>
          </cell>
          <cell r="AO143">
            <v>16286.536026729224</v>
          </cell>
          <cell r="AP143">
            <v>9.1966759002770085E-2</v>
          </cell>
          <cell r="AQ143">
            <v>1.5534074084224609</v>
          </cell>
          <cell r="AR143">
            <v>0.14286184476350611</v>
          </cell>
          <cell r="AS143">
            <v>16286.536026729224</v>
          </cell>
          <cell r="AT143">
            <v>9.1966759002770085E-2</v>
          </cell>
          <cell r="AU143">
            <v>1.5534074084224609</v>
          </cell>
          <cell r="AV143">
            <v>0.14286184476350611</v>
          </cell>
          <cell r="AW143">
            <v>16286.536026729224</v>
          </cell>
        </row>
        <row r="144">
          <cell r="A144" t="str">
            <v>Doubletree Club</v>
          </cell>
          <cell r="B144">
            <v>6.0941828254847646E-2</v>
          </cell>
          <cell r="C144">
            <v>1.0436956025338406</v>
          </cell>
          <cell r="D144">
            <v>6.3604718159957052E-2</v>
          </cell>
          <cell r="E144">
            <v>7251.0899999999983</v>
          </cell>
          <cell r="F144">
            <v>6.0941828254847646E-2</v>
          </cell>
          <cell r="G144">
            <v>1.0436956025338406</v>
          </cell>
          <cell r="H144">
            <v>6.3604718159957052E-2</v>
          </cell>
          <cell r="I144">
            <v>7251.0650796714235</v>
          </cell>
          <cell r="J144">
            <v>6.0941828254847646E-2</v>
          </cell>
          <cell r="K144">
            <v>1.0436956025338406</v>
          </cell>
          <cell r="L144">
            <v>6.3604718159957052E-2</v>
          </cell>
          <cell r="M144">
            <v>7251.0650796714235</v>
          </cell>
          <cell r="N144">
            <v>6.0941828254847646E-2</v>
          </cell>
          <cell r="O144">
            <v>1.0436956025338406</v>
          </cell>
          <cell r="P144">
            <v>6.3604718159957052E-2</v>
          </cell>
          <cell r="Q144">
            <v>7251.0650796714235</v>
          </cell>
          <cell r="R144">
            <v>6.0941828254847646E-2</v>
          </cell>
          <cell r="S144">
            <v>1.0436956025338406</v>
          </cell>
          <cell r="T144">
            <v>6.3604718159957052E-2</v>
          </cell>
          <cell r="U144">
            <v>7251.0650796714235</v>
          </cell>
          <cell r="V144">
            <v>6.0941828254847646E-2</v>
          </cell>
          <cell r="W144">
            <v>1.0436956025338406</v>
          </cell>
          <cell r="X144">
            <v>6.3604718159957052E-2</v>
          </cell>
          <cell r="Y144">
            <v>7251.0650796714235</v>
          </cell>
          <cell r="Z144">
            <v>6.0941828254847646E-2</v>
          </cell>
          <cell r="AA144">
            <v>1.0436956025338406</v>
          </cell>
          <cell r="AB144">
            <v>6.3604718159957052E-2</v>
          </cell>
          <cell r="AC144">
            <v>7251.0650796714235</v>
          </cell>
          <cell r="AD144">
            <v>6.0941828254847646E-2</v>
          </cell>
          <cell r="AE144">
            <v>1.0436956025338406</v>
          </cell>
          <cell r="AF144">
            <v>6.3604718159957052E-2</v>
          </cell>
          <cell r="AG144">
            <v>7251.0650796714235</v>
          </cell>
          <cell r="AH144">
            <v>6.0941828254847646E-2</v>
          </cell>
          <cell r="AI144">
            <v>1.0436956025338406</v>
          </cell>
          <cell r="AJ144">
            <v>6.3604718159957052E-2</v>
          </cell>
          <cell r="AK144">
            <v>7251.0650796714235</v>
          </cell>
          <cell r="AL144">
            <v>6.0941828254847646E-2</v>
          </cell>
          <cell r="AM144">
            <v>1.0436956025338406</v>
          </cell>
          <cell r="AN144">
            <v>6.3604718159957052E-2</v>
          </cell>
          <cell r="AO144">
            <v>7251.0650796714235</v>
          </cell>
          <cell r="AP144">
            <v>6.0941828254847646E-2</v>
          </cell>
          <cell r="AQ144">
            <v>1.0436956025338406</v>
          </cell>
          <cell r="AR144">
            <v>6.3604718159957052E-2</v>
          </cell>
          <cell r="AS144">
            <v>7251.0650796714235</v>
          </cell>
          <cell r="AT144">
            <v>6.0941828254847646E-2</v>
          </cell>
          <cell r="AU144">
            <v>1.0436956025338406</v>
          </cell>
          <cell r="AV144">
            <v>6.3604718159957052E-2</v>
          </cell>
          <cell r="AW144">
            <v>7251.0650796714235</v>
          </cell>
        </row>
        <row r="145">
          <cell r="A145" t="str">
            <v>La Quinta</v>
          </cell>
          <cell r="B145">
            <v>3.9889196675900275E-2</v>
          </cell>
          <cell r="C145">
            <v>0</v>
          </cell>
          <cell r="D145">
            <v>0</v>
          </cell>
          <cell r="E145">
            <v>0</v>
          </cell>
          <cell r="F145">
            <v>3.9889196675900275E-2</v>
          </cell>
          <cell r="G145">
            <v>0</v>
          </cell>
          <cell r="H145">
            <v>0</v>
          </cell>
          <cell r="I145">
            <v>0</v>
          </cell>
          <cell r="J145">
            <v>3.9889196675900275E-2</v>
          </cell>
          <cell r="K145">
            <v>0</v>
          </cell>
          <cell r="L145">
            <v>0</v>
          </cell>
          <cell r="M145">
            <v>0</v>
          </cell>
          <cell r="N145">
            <v>3.9889196675900275E-2</v>
          </cell>
          <cell r="O145">
            <v>0</v>
          </cell>
          <cell r="P145">
            <v>0</v>
          </cell>
          <cell r="Q145">
            <v>0</v>
          </cell>
          <cell r="R145">
            <v>3.9889196675900275E-2</v>
          </cell>
          <cell r="S145">
            <v>0</v>
          </cell>
          <cell r="T145">
            <v>0</v>
          </cell>
          <cell r="U145">
            <v>0</v>
          </cell>
          <cell r="V145">
            <v>3.9889196675900275E-2</v>
          </cell>
          <cell r="W145">
            <v>0</v>
          </cell>
          <cell r="X145">
            <v>0</v>
          </cell>
          <cell r="Y145">
            <v>0</v>
          </cell>
          <cell r="Z145">
            <v>3.9889196675900275E-2</v>
          </cell>
          <cell r="AA145">
            <v>0</v>
          </cell>
          <cell r="AB145">
            <v>0</v>
          </cell>
          <cell r="AC145">
            <v>0</v>
          </cell>
          <cell r="AD145">
            <v>3.9889196675900275E-2</v>
          </cell>
          <cell r="AE145">
            <v>0</v>
          </cell>
          <cell r="AF145">
            <v>0</v>
          </cell>
          <cell r="AG145">
            <v>0</v>
          </cell>
          <cell r="AH145">
            <v>3.9889196675900275E-2</v>
          </cell>
          <cell r="AI145">
            <v>0</v>
          </cell>
          <cell r="AJ145">
            <v>0</v>
          </cell>
          <cell r="AK145">
            <v>0</v>
          </cell>
          <cell r="AL145">
            <v>3.9889196675900275E-2</v>
          </cell>
          <cell r="AM145">
            <v>0</v>
          </cell>
          <cell r="AN145">
            <v>0</v>
          </cell>
          <cell r="AO145">
            <v>0</v>
          </cell>
          <cell r="AP145">
            <v>3.9889196675900275E-2</v>
          </cell>
          <cell r="AQ145">
            <v>0</v>
          </cell>
          <cell r="AR145">
            <v>0</v>
          </cell>
          <cell r="AS145">
            <v>0</v>
          </cell>
          <cell r="AT145">
            <v>3.9889196675900275E-2</v>
          </cell>
          <cell r="AU145">
            <v>0</v>
          </cell>
          <cell r="AV145">
            <v>0</v>
          </cell>
          <cell r="AW145">
            <v>0</v>
          </cell>
        </row>
        <row r="146">
          <cell r="A146" t="str">
            <v>Comp8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</row>
        <row r="147">
          <cell r="A147" t="str">
            <v>Comp9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A148" t="str">
            <v>Comp10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</row>
        <row r="149">
          <cell r="A149" t="str">
            <v>Comp11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A150" t="str">
            <v>Comp12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</row>
        <row r="151">
          <cell r="A151" t="str">
            <v>Comp13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</row>
        <row r="152">
          <cell r="A152" t="str">
            <v>Comp14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A153" t="str">
            <v>Comp15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</row>
        <row r="154">
          <cell r="A154" t="str">
            <v>Comp16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A155" t="str">
            <v>Comp17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</row>
        <row r="156">
          <cell r="A156" t="str">
            <v>Comp18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</row>
        <row r="157">
          <cell r="A157" t="str">
            <v>Comp19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A158" t="str">
            <v>Comp20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</row>
        <row r="159">
          <cell r="A159" t="str">
            <v>Comp21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A160" t="str">
            <v>Comp22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A161" t="str">
            <v>Comp23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</row>
        <row r="162">
          <cell r="A162" t="str">
            <v>Comp24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</row>
        <row r="163">
          <cell r="A163" t="str">
            <v>Comp25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</row>
        <row r="164">
          <cell r="A164" t="str">
            <v>Addition/Deletion 1</v>
          </cell>
          <cell r="B164">
            <v>0</v>
          </cell>
          <cell r="C164">
            <v>1</v>
          </cell>
          <cell r="D164">
            <v>0</v>
          </cell>
          <cell r="E164">
            <v>0</v>
          </cell>
          <cell r="F164">
            <v>0</v>
          </cell>
          <cell r="G164">
            <v>1</v>
          </cell>
          <cell r="H164">
            <v>0</v>
          </cell>
          <cell r="I164">
            <v>0</v>
          </cell>
          <cell r="J164">
            <v>0</v>
          </cell>
          <cell r="K164">
            <v>1</v>
          </cell>
          <cell r="L164">
            <v>0</v>
          </cell>
          <cell r="M164">
            <v>0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>
            <v>1</v>
          </cell>
          <cell r="T164">
            <v>0</v>
          </cell>
          <cell r="U164">
            <v>0</v>
          </cell>
          <cell r="V164">
            <v>0</v>
          </cell>
          <cell r="W164">
            <v>1</v>
          </cell>
          <cell r="X164">
            <v>0</v>
          </cell>
          <cell r="Y164">
            <v>0</v>
          </cell>
          <cell r="Z164">
            <v>0</v>
          </cell>
          <cell r="AA164">
            <v>1</v>
          </cell>
          <cell r="AB164">
            <v>0</v>
          </cell>
          <cell r="AC164">
            <v>0</v>
          </cell>
          <cell r="AD164">
            <v>0</v>
          </cell>
          <cell r="AE164">
            <v>1</v>
          </cell>
          <cell r="AF164">
            <v>0</v>
          </cell>
          <cell r="AG164">
            <v>0</v>
          </cell>
          <cell r="AH164">
            <v>0</v>
          </cell>
          <cell r="AI164">
            <v>1</v>
          </cell>
          <cell r="AJ164">
            <v>0</v>
          </cell>
          <cell r="AK164">
            <v>0</v>
          </cell>
          <cell r="AL164">
            <v>0</v>
          </cell>
          <cell r="AM164">
            <v>1</v>
          </cell>
          <cell r="AN164">
            <v>0</v>
          </cell>
          <cell r="AO164">
            <v>0</v>
          </cell>
          <cell r="AP164">
            <v>0</v>
          </cell>
          <cell r="AQ164">
            <v>1</v>
          </cell>
          <cell r="AR164">
            <v>0</v>
          </cell>
          <cell r="AS164">
            <v>0</v>
          </cell>
          <cell r="AT164">
            <v>0</v>
          </cell>
          <cell r="AU164">
            <v>1</v>
          </cell>
          <cell r="AV164">
            <v>0</v>
          </cell>
          <cell r="AW164">
            <v>0</v>
          </cell>
        </row>
        <row r="165">
          <cell r="A165" t="str">
            <v>Addition/Deletion 2</v>
          </cell>
          <cell r="B165">
            <v>0</v>
          </cell>
          <cell r="C165">
            <v>1</v>
          </cell>
          <cell r="D165">
            <v>0</v>
          </cell>
          <cell r="E165">
            <v>0</v>
          </cell>
          <cell r="F165">
            <v>0</v>
          </cell>
          <cell r="G165">
            <v>1</v>
          </cell>
          <cell r="H165">
            <v>0</v>
          </cell>
          <cell r="I165">
            <v>0</v>
          </cell>
          <cell r="J165">
            <v>0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>
            <v>1</v>
          </cell>
          <cell r="T165">
            <v>0</v>
          </cell>
          <cell r="U165">
            <v>0</v>
          </cell>
          <cell r="V165">
            <v>0</v>
          </cell>
          <cell r="W165">
            <v>1</v>
          </cell>
          <cell r="X165">
            <v>0</v>
          </cell>
          <cell r="Y165">
            <v>0</v>
          </cell>
          <cell r="Z165">
            <v>0</v>
          </cell>
          <cell r="AA165">
            <v>1</v>
          </cell>
          <cell r="AB165">
            <v>0</v>
          </cell>
          <cell r="AC165">
            <v>0</v>
          </cell>
          <cell r="AD165">
            <v>0</v>
          </cell>
          <cell r="AE165">
            <v>1</v>
          </cell>
          <cell r="AF165">
            <v>0</v>
          </cell>
          <cell r="AG165">
            <v>0</v>
          </cell>
          <cell r="AH165">
            <v>0</v>
          </cell>
          <cell r="AI165">
            <v>1</v>
          </cell>
          <cell r="AJ165">
            <v>0</v>
          </cell>
          <cell r="AK165">
            <v>0</v>
          </cell>
          <cell r="AL165">
            <v>0</v>
          </cell>
          <cell r="AM165">
            <v>1</v>
          </cell>
          <cell r="AN165">
            <v>0</v>
          </cell>
          <cell r="AO165">
            <v>0</v>
          </cell>
          <cell r="AP165">
            <v>0</v>
          </cell>
          <cell r="AQ165">
            <v>1</v>
          </cell>
          <cell r="AR165">
            <v>0</v>
          </cell>
          <cell r="AS165">
            <v>0</v>
          </cell>
          <cell r="AT165">
            <v>0</v>
          </cell>
          <cell r="AU165">
            <v>1</v>
          </cell>
          <cell r="AV165">
            <v>0</v>
          </cell>
          <cell r="AW165">
            <v>0</v>
          </cell>
        </row>
        <row r="166">
          <cell r="A166" t="str">
            <v>Addition/Deletion 3</v>
          </cell>
          <cell r="B166">
            <v>0</v>
          </cell>
          <cell r="C166">
            <v>1</v>
          </cell>
          <cell r="D166">
            <v>0</v>
          </cell>
          <cell r="E166">
            <v>0</v>
          </cell>
          <cell r="F166">
            <v>0</v>
          </cell>
          <cell r="G166">
            <v>1</v>
          </cell>
          <cell r="H166">
            <v>0</v>
          </cell>
          <cell r="I166">
            <v>0</v>
          </cell>
          <cell r="J166">
            <v>0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S166">
            <v>1</v>
          </cell>
          <cell r="T166">
            <v>0</v>
          </cell>
          <cell r="U166">
            <v>0</v>
          </cell>
          <cell r="V166">
            <v>0</v>
          </cell>
          <cell r="W166">
            <v>1</v>
          </cell>
          <cell r="X166">
            <v>0</v>
          </cell>
          <cell r="Y166">
            <v>0</v>
          </cell>
          <cell r="Z166">
            <v>0</v>
          </cell>
          <cell r="AA166">
            <v>1</v>
          </cell>
          <cell r="AB166">
            <v>0</v>
          </cell>
          <cell r="AC166">
            <v>0</v>
          </cell>
          <cell r="AD166">
            <v>0</v>
          </cell>
          <cell r="AE166">
            <v>1</v>
          </cell>
          <cell r="AF166">
            <v>0</v>
          </cell>
          <cell r="AG166">
            <v>0</v>
          </cell>
          <cell r="AH166">
            <v>0</v>
          </cell>
          <cell r="AI166">
            <v>1</v>
          </cell>
          <cell r="AJ166">
            <v>0</v>
          </cell>
          <cell r="AK166">
            <v>0</v>
          </cell>
          <cell r="AL166">
            <v>0</v>
          </cell>
          <cell r="AM166">
            <v>1</v>
          </cell>
          <cell r="AN166">
            <v>0</v>
          </cell>
          <cell r="AO166">
            <v>0</v>
          </cell>
          <cell r="AP166">
            <v>0</v>
          </cell>
          <cell r="AQ166">
            <v>1</v>
          </cell>
          <cell r="AR166">
            <v>0</v>
          </cell>
          <cell r="AS166">
            <v>0</v>
          </cell>
          <cell r="AT166">
            <v>0</v>
          </cell>
          <cell r="AU166">
            <v>1</v>
          </cell>
          <cell r="AV166">
            <v>0</v>
          </cell>
          <cell r="AW166">
            <v>0</v>
          </cell>
        </row>
        <row r="167">
          <cell r="A167" t="str">
            <v>Addition/Deletion 4</v>
          </cell>
          <cell r="B167">
            <v>0</v>
          </cell>
          <cell r="C167">
            <v>1</v>
          </cell>
          <cell r="D167">
            <v>0</v>
          </cell>
          <cell r="E167">
            <v>0</v>
          </cell>
          <cell r="F167">
            <v>0</v>
          </cell>
          <cell r="G167">
            <v>1</v>
          </cell>
          <cell r="H167">
            <v>0</v>
          </cell>
          <cell r="I167">
            <v>0</v>
          </cell>
          <cell r="J167">
            <v>0</v>
          </cell>
          <cell r="K167">
            <v>1</v>
          </cell>
          <cell r="L167">
            <v>0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>
            <v>1</v>
          </cell>
          <cell r="T167">
            <v>0</v>
          </cell>
          <cell r="U167">
            <v>0</v>
          </cell>
          <cell r="V167">
            <v>0</v>
          </cell>
          <cell r="W167">
            <v>1</v>
          </cell>
          <cell r="X167">
            <v>0</v>
          </cell>
          <cell r="Y167">
            <v>0</v>
          </cell>
          <cell r="Z167">
            <v>0</v>
          </cell>
          <cell r="AA167">
            <v>1</v>
          </cell>
          <cell r="AB167">
            <v>0</v>
          </cell>
          <cell r="AC167">
            <v>0</v>
          </cell>
          <cell r="AD167">
            <v>0</v>
          </cell>
          <cell r="AE167">
            <v>1</v>
          </cell>
          <cell r="AF167">
            <v>0</v>
          </cell>
          <cell r="AG167">
            <v>0</v>
          </cell>
          <cell r="AH167">
            <v>0</v>
          </cell>
          <cell r="AI167">
            <v>1</v>
          </cell>
          <cell r="AJ167">
            <v>0</v>
          </cell>
          <cell r="AK167">
            <v>0</v>
          </cell>
          <cell r="AL167">
            <v>0</v>
          </cell>
          <cell r="AM167">
            <v>1</v>
          </cell>
          <cell r="AN167">
            <v>0</v>
          </cell>
          <cell r="AO167">
            <v>0</v>
          </cell>
          <cell r="AP167">
            <v>0</v>
          </cell>
          <cell r="AQ167">
            <v>1</v>
          </cell>
          <cell r="AR167">
            <v>0</v>
          </cell>
          <cell r="AS167">
            <v>0</v>
          </cell>
          <cell r="AT167">
            <v>0</v>
          </cell>
          <cell r="AU167">
            <v>1</v>
          </cell>
          <cell r="AV167">
            <v>0</v>
          </cell>
          <cell r="AW167">
            <v>0</v>
          </cell>
        </row>
        <row r="168">
          <cell r="A168" t="str">
            <v>Addition/Deletion 5</v>
          </cell>
          <cell r="B168">
            <v>0</v>
          </cell>
          <cell r="C168">
            <v>1</v>
          </cell>
          <cell r="D168">
            <v>0</v>
          </cell>
          <cell r="E168">
            <v>0</v>
          </cell>
          <cell r="F168">
            <v>0</v>
          </cell>
          <cell r="G168">
            <v>1</v>
          </cell>
          <cell r="H168">
            <v>0</v>
          </cell>
          <cell r="I168">
            <v>0</v>
          </cell>
          <cell r="J168">
            <v>0</v>
          </cell>
          <cell r="K168">
            <v>1</v>
          </cell>
          <cell r="L168">
            <v>0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>
            <v>1</v>
          </cell>
          <cell r="T168">
            <v>0</v>
          </cell>
          <cell r="U168">
            <v>0</v>
          </cell>
          <cell r="V168">
            <v>0</v>
          </cell>
          <cell r="W168">
            <v>1</v>
          </cell>
          <cell r="X168">
            <v>0</v>
          </cell>
          <cell r="Y168">
            <v>0</v>
          </cell>
          <cell r="Z168">
            <v>0</v>
          </cell>
          <cell r="AA168">
            <v>1</v>
          </cell>
          <cell r="AB168">
            <v>0</v>
          </cell>
          <cell r="AC168">
            <v>0</v>
          </cell>
          <cell r="AD168">
            <v>0</v>
          </cell>
          <cell r="AE168">
            <v>1</v>
          </cell>
          <cell r="AF168">
            <v>0</v>
          </cell>
          <cell r="AG168">
            <v>0</v>
          </cell>
          <cell r="AH168">
            <v>0</v>
          </cell>
          <cell r="AI168">
            <v>1</v>
          </cell>
          <cell r="AJ168">
            <v>0</v>
          </cell>
          <cell r="AK168">
            <v>0</v>
          </cell>
          <cell r="AL168">
            <v>0</v>
          </cell>
          <cell r="AM168">
            <v>1</v>
          </cell>
          <cell r="AN168">
            <v>0</v>
          </cell>
          <cell r="AO168">
            <v>0</v>
          </cell>
          <cell r="AP168">
            <v>0</v>
          </cell>
          <cell r="AQ168">
            <v>1</v>
          </cell>
          <cell r="AR168">
            <v>0</v>
          </cell>
          <cell r="AS168">
            <v>0</v>
          </cell>
          <cell r="AT168">
            <v>0</v>
          </cell>
          <cell r="AU168">
            <v>1</v>
          </cell>
          <cell r="AV168">
            <v>0</v>
          </cell>
          <cell r="AW168">
            <v>0</v>
          </cell>
        </row>
        <row r="169">
          <cell r="A169" t="str">
            <v>Total</v>
          </cell>
          <cell r="B169">
            <v>1</v>
          </cell>
          <cell r="C169">
            <v>0</v>
          </cell>
          <cell r="D169">
            <v>1</v>
          </cell>
          <cell r="E169">
            <v>114002.3918</v>
          </cell>
          <cell r="F169">
            <v>1</v>
          </cell>
          <cell r="G169">
            <v>0</v>
          </cell>
          <cell r="H169">
            <v>1</v>
          </cell>
          <cell r="I169">
            <v>114002</v>
          </cell>
          <cell r="J169">
            <v>1</v>
          </cell>
          <cell r="K169">
            <v>0</v>
          </cell>
          <cell r="L169">
            <v>1</v>
          </cell>
          <cell r="M169">
            <v>114002</v>
          </cell>
          <cell r="N169">
            <v>1</v>
          </cell>
          <cell r="O169">
            <v>0</v>
          </cell>
          <cell r="P169">
            <v>1</v>
          </cell>
          <cell r="Q169">
            <v>114002</v>
          </cell>
          <cell r="R169">
            <v>1</v>
          </cell>
          <cell r="S169">
            <v>0</v>
          </cell>
          <cell r="T169">
            <v>1</v>
          </cell>
          <cell r="U169">
            <v>114002</v>
          </cell>
          <cell r="V169">
            <v>1</v>
          </cell>
          <cell r="W169">
            <v>0</v>
          </cell>
          <cell r="X169">
            <v>1</v>
          </cell>
          <cell r="Y169">
            <v>114002</v>
          </cell>
          <cell r="Z169">
            <v>1</v>
          </cell>
          <cell r="AA169">
            <v>0</v>
          </cell>
          <cell r="AB169">
            <v>1</v>
          </cell>
          <cell r="AC169">
            <v>114002</v>
          </cell>
          <cell r="AD169">
            <v>1</v>
          </cell>
          <cell r="AE169">
            <v>0</v>
          </cell>
          <cell r="AF169">
            <v>1</v>
          </cell>
          <cell r="AG169">
            <v>114002</v>
          </cell>
          <cell r="AH169">
            <v>1</v>
          </cell>
          <cell r="AI169">
            <v>0</v>
          </cell>
          <cell r="AJ169">
            <v>1</v>
          </cell>
          <cell r="AK169">
            <v>114002</v>
          </cell>
          <cell r="AL169">
            <v>1</v>
          </cell>
          <cell r="AM169">
            <v>0</v>
          </cell>
          <cell r="AN169">
            <v>1</v>
          </cell>
          <cell r="AO169">
            <v>114002</v>
          </cell>
          <cell r="AP169">
            <v>1</v>
          </cell>
          <cell r="AQ169">
            <v>0</v>
          </cell>
          <cell r="AR169">
            <v>1</v>
          </cell>
          <cell r="AS169">
            <v>114002</v>
          </cell>
          <cell r="AT169">
            <v>1</v>
          </cell>
          <cell r="AU169">
            <v>0</v>
          </cell>
          <cell r="AV169">
            <v>1</v>
          </cell>
          <cell r="AW169">
            <v>114002</v>
          </cell>
        </row>
        <row r="172">
          <cell r="A172" t="str">
            <v>Contracted</v>
          </cell>
          <cell r="B172" t="str">
            <v>2002(Historical)</v>
          </cell>
          <cell r="C172">
            <v>0</v>
          </cell>
          <cell r="D172">
            <v>0</v>
          </cell>
          <cell r="E172">
            <v>0</v>
          </cell>
          <cell r="F172">
            <v>2004</v>
          </cell>
          <cell r="G172">
            <v>0</v>
          </cell>
          <cell r="H172">
            <v>0</v>
          </cell>
          <cell r="I172">
            <v>0</v>
          </cell>
          <cell r="J172">
            <v>2005</v>
          </cell>
          <cell r="K172">
            <v>0</v>
          </cell>
          <cell r="L172">
            <v>0</v>
          </cell>
          <cell r="M172">
            <v>0</v>
          </cell>
          <cell r="N172">
            <v>2006</v>
          </cell>
          <cell r="O172">
            <v>0</v>
          </cell>
          <cell r="P172">
            <v>0</v>
          </cell>
          <cell r="Q172">
            <v>0</v>
          </cell>
          <cell r="R172">
            <v>2007</v>
          </cell>
          <cell r="S172">
            <v>0</v>
          </cell>
          <cell r="T172">
            <v>0</v>
          </cell>
          <cell r="U172">
            <v>0</v>
          </cell>
          <cell r="V172">
            <v>2008</v>
          </cell>
          <cell r="W172">
            <v>0</v>
          </cell>
          <cell r="X172">
            <v>0</v>
          </cell>
          <cell r="Y172">
            <v>0</v>
          </cell>
          <cell r="Z172">
            <v>2009</v>
          </cell>
          <cell r="AA172">
            <v>0</v>
          </cell>
          <cell r="AB172">
            <v>0</v>
          </cell>
          <cell r="AC172">
            <v>0</v>
          </cell>
          <cell r="AD172">
            <v>2010</v>
          </cell>
          <cell r="AE172">
            <v>0</v>
          </cell>
          <cell r="AF172">
            <v>0</v>
          </cell>
          <cell r="AG172">
            <v>0</v>
          </cell>
          <cell r="AH172">
            <v>2011</v>
          </cell>
          <cell r="AI172">
            <v>0</v>
          </cell>
          <cell r="AJ172">
            <v>0</v>
          </cell>
          <cell r="AK172">
            <v>0</v>
          </cell>
          <cell r="AL172">
            <v>2012</v>
          </cell>
          <cell r="AM172">
            <v>0</v>
          </cell>
          <cell r="AN172">
            <v>0</v>
          </cell>
          <cell r="AO172">
            <v>0</v>
          </cell>
          <cell r="AP172">
            <v>2013</v>
          </cell>
          <cell r="AQ172">
            <v>0</v>
          </cell>
          <cell r="AR172">
            <v>0</v>
          </cell>
          <cell r="AS172">
            <v>0</v>
          </cell>
          <cell r="AT172">
            <v>2014</v>
          </cell>
        </row>
        <row r="173">
          <cell r="A173" t="str">
            <v>Property</v>
          </cell>
          <cell r="B173" t="str">
            <v>Fair Share</v>
          </cell>
          <cell r="C173" t="str">
            <v>Penetration</v>
          </cell>
          <cell r="D173" t="str">
            <v>Mkt. Share</v>
          </cell>
          <cell r="E173" t="str">
            <v>Rmnights</v>
          </cell>
          <cell r="F173" t="str">
            <v>Fair Share</v>
          </cell>
          <cell r="G173" t="str">
            <v>Penetration</v>
          </cell>
          <cell r="H173" t="str">
            <v>Mkt. Share</v>
          </cell>
          <cell r="I173" t="str">
            <v>Rmnights</v>
          </cell>
          <cell r="J173" t="str">
            <v>Fair Share</v>
          </cell>
          <cell r="K173" t="str">
            <v>Penetration</v>
          </cell>
          <cell r="L173" t="str">
            <v>Mkt. Share</v>
          </cell>
          <cell r="M173" t="str">
            <v>Rmnights</v>
          </cell>
          <cell r="N173" t="str">
            <v>Fair Share</v>
          </cell>
          <cell r="O173" t="str">
            <v>Penetration</v>
          </cell>
          <cell r="P173" t="str">
            <v>Mkt. Share</v>
          </cell>
          <cell r="Q173" t="str">
            <v>Rmnights</v>
          </cell>
          <cell r="R173" t="str">
            <v>Fair Share</v>
          </cell>
          <cell r="S173" t="str">
            <v>Penetration</v>
          </cell>
          <cell r="T173" t="str">
            <v>Mkt. Share</v>
          </cell>
          <cell r="U173" t="str">
            <v>Rmnights</v>
          </cell>
          <cell r="V173" t="str">
            <v>Fair Share</v>
          </cell>
          <cell r="W173" t="str">
            <v>Penetration</v>
          </cell>
          <cell r="X173" t="str">
            <v>Mkt. Share</v>
          </cell>
          <cell r="Y173" t="str">
            <v>Rmnights</v>
          </cell>
          <cell r="Z173" t="str">
            <v>Fair Share</v>
          </cell>
          <cell r="AA173" t="str">
            <v>Penetration</v>
          </cell>
          <cell r="AB173" t="str">
            <v>Mkt. Share</v>
          </cell>
          <cell r="AC173" t="str">
            <v>Rmnights</v>
          </cell>
          <cell r="AD173" t="str">
            <v>Fair Share</v>
          </cell>
          <cell r="AE173" t="str">
            <v>Penetration</v>
          </cell>
          <cell r="AF173" t="str">
            <v>Mkt. Share</v>
          </cell>
          <cell r="AG173" t="str">
            <v>Rmnights</v>
          </cell>
          <cell r="AH173" t="str">
            <v>Fair Share</v>
          </cell>
          <cell r="AI173" t="str">
            <v>Penetration</v>
          </cell>
          <cell r="AJ173" t="str">
            <v>Mkt. Share</v>
          </cell>
          <cell r="AK173" t="str">
            <v>Rmnights</v>
          </cell>
          <cell r="AL173" t="str">
            <v>Fair Share</v>
          </cell>
          <cell r="AM173" t="str">
            <v>Penetration</v>
          </cell>
          <cell r="AN173" t="str">
            <v>Mkt. Share</v>
          </cell>
          <cell r="AO173" t="str">
            <v>Rmnights</v>
          </cell>
          <cell r="AP173" t="str">
            <v>Fair Share</v>
          </cell>
          <cell r="AQ173" t="str">
            <v>Penetration</v>
          </cell>
          <cell r="AR173" t="str">
            <v>Mkt. Share</v>
          </cell>
          <cell r="AS173" t="str">
            <v>Rmnights</v>
          </cell>
          <cell r="AT173" t="str">
            <v>Fair Share</v>
          </cell>
          <cell r="AU173" t="str">
            <v>Penetration</v>
          </cell>
          <cell r="AV173" t="str">
            <v>Mkt. Share</v>
          </cell>
          <cell r="AW173" t="str">
            <v>Rmnights</v>
          </cell>
        </row>
        <row r="174">
          <cell r="A174" t="str">
            <v>Sheraton JFK</v>
          </cell>
          <cell r="B174">
            <v>0.10193905817174516</v>
          </cell>
          <cell r="C174">
            <v>0.70757725568260654</v>
          </cell>
          <cell r="D174">
            <v>7.2129759028033022E-2</v>
          </cell>
          <cell r="E174">
            <v>5928.2132000000001</v>
          </cell>
          <cell r="F174">
            <v>0.10193905817174516</v>
          </cell>
          <cell r="G174">
            <v>0.70757725568260654</v>
          </cell>
          <cell r="H174">
            <v>7.2129759028033022E-2</v>
          </cell>
          <cell r="I174">
            <v>5928.2006349959784</v>
          </cell>
          <cell r="J174">
            <v>0.10193905817174516</v>
          </cell>
          <cell r="K174">
            <v>0.70757725568260654</v>
          </cell>
          <cell r="L174">
            <v>7.2129759028033022E-2</v>
          </cell>
          <cell r="M174">
            <v>5928.2006349959784</v>
          </cell>
          <cell r="N174">
            <v>0.10193905817174516</v>
          </cell>
          <cell r="O174">
            <v>0.70757725568260654</v>
          </cell>
          <cell r="P174">
            <v>7.2129759028033022E-2</v>
          </cell>
          <cell r="Q174">
            <v>5928.2006349959784</v>
          </cell>
          <cell r="R174">
            <v>0.10193905817174516</v>
          </cell>
          <cell r="S174">
            <v>0.70757725568260654</v>
          </cell>
          <cell r="T174">
            <v>7.2129759028033022E-2</v>
          </cell>
          <cell r="U174">
            <v>5928.2006349959784</v>
          </cell>
          <cell r="V174">
            <v>0.10193905817174516</v>
          </cell>
          <cell r="W174">
            <v>0.70757725568260654</v>
          </cell>
          <cell r="X174">
            <v>7.2129759028033022E-2</v>
          </cell>
          <cell r="Y174">
            <v>5928.2006349959784</v>
          </cell>
          <cell r="Z174">
            <v>0.10193905817174516</v>
          </cell>
          <cell r="AA174">
            <v>0.70757725568260654</v>
          </cell>
          <cell r="AB174">
            <v>7.2129759028033022E-2</v>
          </cell>
          <cell r="AC174">
            <v>5928.2006349959784</v>
          </cell>
          <cell r="AD174">
            <v>0.10193905817174516</v>
          </cell>
          <cell r="AE174">
            <v>0.70757725568260654</v>
          </cell>
          <cell r="AF174">
            <v>7.2129759028033022E-2</v>
          </cell>
          <cell r="AG174">
            <v>5928.2006349959784</v>
          </cell>
          <cell r="AH174">
            <v>0.10193905817174516</v>
          </cell>
          <cell r="AI174">
            <v>0.70757725568260654</v>
          </cell>
          <cell r="AJ174">
            <v>7.2129759028033022E-2</v>
          </cell>
          <cell r="AK174">
            <v>5928.2006349959784</v>
          </cell>
          <cell r="AL174">
            <v>0.10193905817174516</v>
          </cell>
          <cell r="AM174">
            <v>0.70757725568260654</v>
          </cell>
          <cell r="AN174">
            <v>7.2129759028033022E-2</v>
          </cell>
          <cell r="AO174">
            <v>5928.2006349959784</v>
          </cell>
          <cell r="AP174">
            <v>0.10193905817174516</v>
          </cell>
          <cell r="AQ174">
            <v>0.70757725568260654</v>
          </cell>
          <cell r="AR174">
            <v>7.2129759028033022E-2</v>
          </cell>
          <cell r="AS174">
            <v>5928.2006349959784</v>
          </cell>
          <cell r="AT174">
            <v>0.10193905817174516</v>
          </cell>
          <cell r="AU174">
            <v>0.70757725568260654</v>
          </cell>
          <cell r="AV174">
            <v>7.2129759028033022E-2</v>
          </cell>
          <cell r="AW174">
            <v>5928.2006349959784</v>
          </cell>
        </row>
        <row r="175">
          <cell r="A175" t="str">
            <v>Radisson JFK</v>
          </cell>
          <cell r="B175">
            <v>0.21385041551246536</v>
          </cell>
          <cell r="C175">
            <v>1.2296629774749275</v>
          </cell>
          <cell r="D175">
            <v>0.26296393867330858</v>
          </cell>
          <cell r="E175">
            <v>21612.526000000002</v>
          </cell>
          <cell r="F175">
            <v>0.21385041551246536</v>
          </cell>
          <cell r="G175">
            <v>1.2296629774749275</v>
          </cell>
          <cell r="H175">
            <v>0.26296393867330858</v>
          </cell>
          <cell r="I175">
            <v>21612.480191681887</v>
          </cell>
          <cell r="J175">
            <v>0.21385041551246536</v>
          </cell>
          <cell r="K175">
            <v>1.2296629774749275</v>
          </cell>
          <cell r="L175">
            <v>0.26296393867330858</v>
          </cell>
          <cell r="M175">
            <v>21612.480191681887</v>
          </cell>
          <cell r="N175">
            <v>0.21385041551246536</v>
          </cell>
          <cell r="O175">
            <v>1.2296629774749275</v>
          </cell>
          <cell r="P175">
            <v>0.26296393867330858</v>
          </cell>
          <cell r="Q175">
            <v>21612.480191681887</v>
          </cell>
          <cell r="R175">
            <v>0.21385041551246536</v>
          </cell>
          <cell r="S175">
            <v>1.2296629774749275</v>
          </cell>
          <cell r="T175">
            <v>0.26296393867330858</v>
          </cell>
          <cell r="U175">
            <v>21612.480191681887</v>
          </cell>
          <cell r="V175">
            <v>0.21385041551246536</v>
          </cell>
          <cell r="W175">
            <v>1.2296629774749275</v>
          </cell>
          <cell r="X175">
            <v>0.26296393867330858</v>
          </cell>
          <cell r="Y175">
            <v>21612.480191681887</v>
          </cell>
          <cell r="Z175">
            <v>0.21385041551246536</v>
          </cell>
          <cell r="AA175">
            <v>1.2296629774749275</v>
          </cell>
          <cell r="AB175">
            <v>0.26296393867330858</v>
          </cell>
          <cell r="AC175">
            <v>21612.480191681887</v>
          </cell>
          <cell r="AD175">
            <v>0.21385041551246536</v>
          </cell>
          <cell r="AE175">
            <v>1.2296629774749275</v>
          </cell>
          <cell r="AF175">
            <v>0.26296393867330858</v>
          </cell>
          <cell r="AG175">
            <v>21612.480191681887</v>
          </cell>
          <cell r="AH175">
            <v>0.21385041551246536</v>
          </cell>
          <cell r="AI175">
            <v>1.2296629774749275</v>
          </cell>
          <cell r="AJ175">
            <v>0.26296393867330858</v>
          </cell>
          <cell r="AK175">
            <v>21612.480191681887</v>
          </cell>
          <cell r="AL175">
            <v>0.21385041551246536</v>
          </cell>
          <cell r="AM175">
            <v>1.2296629774749275</v>
          </cell>
          <cell r="AN175">
            <v>0.26296393867330858</v>
          </cell>
          <cell r="AO175">
            <v>21612.480191681887</v>
          </cell>
          <cell r="AP175">
            <v>0.21385041551246536</v>
          </cell>
          <cell r="AQ175">
            <v>1.2296629774749275</v>
          </cell>
          <cell r="AR175">
            <v>0.26296393867330858</v>
          </cell>
          <cell r="AS175">
            <v>21612.480191681887</v>
          </cell>
          <cell r="AT175">
            <v>0.21385041551246536</v>
          </cell>
          <cell r="AU175">
            <v>1.2296629774749275</v>
          </cell>
          <cell r="AV175">
            <v>0.26296393867330858</v>
          </cell>
          <cell r="AW175">
            <v>21612.480191681887</v>
          </cell>
        </row>
        <row r="176">
          <cell r="A176" t="str">
            <v>Holiday Inn</v>
          </cell>
          <cell r="B176">
            <v>0.1994459833795014</v>
          </cell>
          <cell r="C176">
            <v>1.904614885580461</v>
          </cell>
          <cell r="D176">
            <v>0.3798677888138316</v>
          </cell>
          <cell r="E176">
            <v>31220.639999999999</v>
          </cell>
          <cell r="F176">
            <v>0.1994459833795014</v>
          </cell>
          <cell r="G176">
            <v>1.904614885580461</v>
          </cell>
          <cell r="H176">
            <v>0.3798677888138316</v>
          </cell>
          <cell r="I176">
            <v>31220.573827031192</v>
          </cell>
          <cell r="J176">
            <v>0.1994459833795014</v>
          </cell>
          <cell r="K176">
            <v>1.904614885580461</v>
          </cell>
          <cell r="L176">
            <v>0.3798677888138316</v>
          </cell>
          <cell r="M176">
            <v>31220.573827031192</v>
          </cell>
          <cell r="N176">
            <v>0.1994459833795014</v>
          </cell>
          <cell r="O176">
            <v>1.904614885580461</v>
          </cell>
          <cell r="P176">
            <v>0.3798677888138316</v>
          </cell>
          <cell r="Q176">
            <v>31220.573827031192</v>
          </cell>
          <cell r="R176">
            <v>0.1994459833795014</v>
          </cell>
          <cell r="S176">
            <v>1.904614885580461</v>
          </cell>
          <cell r="T176">
            <v>0.3798677888138316</v>
          </cell>
          <cell r="U176">
            <v>31220.573827031192</v>
          </cell>
          <cell r="V176">
            <v>0.1994459833795014</v>
          </cell>
          <cell r="W176">
            <v>1.904614885580461</v>
          </cell>
          <cell r="X176">
            <v>0.3798677888138316</v>
          </cell>
          <cell r="Y176">
            <v>31220.573827031192</v>
          </cell>
          <cell r="Z176">
            <v>0.1994459833795014</v>
          </cell>
          <cell r="AA176">
            <v>1.904614885580461</v>
          </cell>
          <cell r="AB176">
            <v>0.3798677888138316</v>
          </cell>
          <cell r="AC176">
            <v>31220.573827031192</v>
          </cell>
          <cell r="AD176">
            <v>0.1994459833795014</v>
          </cell>
          <cell r="AE176">
            <v>1.904614885580461</v>
          </cell>
          <cell r="AF176">
            <v>0.3798677888138316</v>
          </cell>
          <cell r="AG176">
            <v>31220.573827031192</v>
          </cell>
          <cell r="AH176">
            <v>0.1994459833795014</v>
          </cell>
          <cell r="AI176">
            <v>1.904614885580461</v>
          </cell>
          <cell r="AJ176">
            <v>0.3798677888138316</v>
          </cell>
          <cell r="AK176">
            <v>31220.573827031192</v>
          </cell>
          <cell r="AL176">
            <v>0.1994459833795014</v>
          </cell>
          <cell r="AM176">
            <v>1.904614885580461</v>
          </cell>
          <cell r="AN176">
            <v>0.3798677888138316</v>
          </cell>
          <cell r="AO176">
            <v>31220.573827031192</v>
          </cell>
          <cell r="AP176">
            <v>0.1994459833795014</v>
          </cell>
          <cell r="AQ176">
            <v>1.904614885580461</v>
          </cell>
          <cell r="AR176">
            <v>0.3798677888138316</v>
          </cell>
          <cell r="AS176">
            <v>31220.573827031192</v>
          </cell>
          <cell r="AT176">
            <v>0.1994459833795014</v>
          </cell>
          <cell r="AU176">
            <v>1.904614885580461</v>
          </cell>
          <cell r="AV176">
            <v>0.3798677888138316</v>
          </cell>
          <cell r="AW176">
            <v>31220.573827031192</v>
          </cell>
        </row>
        <row r="177">
          <cell r="A177" t="str">
            <v>Ramada Plaza</v>
          </cell>
          <cell r="B177">
            <v>0.17229916897506925</v>
          </cell>
          <cell r="C177">
            <v>0</v>
          </cell>
          <cell r="D177">
            <v>0</v>
          </cell>
          <cell r="E177">
            <v>0</v>
          </cell>
          <cell r="F177">
            <v>0.17229916897506925</v>
          </cell>
          <cell r="G177">
            <v>0</v>
          </cell>
          <cell r="H177">
            <v>0</v>
          </cell>
          <cell r="I177">
            <v>0</v>
          </cell>
          <cell r="J177">
            <v>0.17229916897506925</v>
          </cell>
          <cell r="K177">
            <v>0</v>
          </cell>
          <cell r="L177">
            <v>0</v>
          </cell>
          <cell r="M177">
            <v>0</v>
          </cell>
          <cell r="N177">
            <v>0.17229916897506925</v>
          </cell>
          <cell r="O177">
            <v>0</v>
          </cell>
          <cell r="P177">
            <v>0</v>
          </cell>
          <cell r="Q177">
            <v>0</v>
          </cell>
          <cell r="R177">
            <v>0.17229916897506925</v>
          </cell>
          <cell r="S177">
            <v>0</v>
          </cell>
          <cell r="T177">
            <v>0</v>
          </cell>
          <cell r="U177">
            <v>0</v>
          </cell>
          <cell r="V177">
            <v>0.17229916897506925</v>
          </cell>
          <cell r="W177">
            <v>0</v>
          </cell>
          <cell r="X177">
            <v>0</v>
          </cell>
          <cell r="Y177">
            <v>0</v>
          </cell>
          <cell r="Z177">
            <v>0.17229916897506925</v>
          </cell>
          <cell r="AA177">
            <v>0</v>
          </cell>
          <cell r="AB177">
            <v>0</v>
          </cell>
          <cell r="AC177">
            <v>0</v>
          </cell>
          <cell r="AD177">
            <v>0.17229916897506925</v>
          </cell>
          <cell r="AE177">
            <v>0</v>
          </cell>
          <cell r="AF177">
            <v>0</v>
          </cell>
          <cell r="AG177">
            <v>0</v>
          </cell>
          <cell r="AH177">
            <v>0.17229916897506925</v>
          </cell>
          <cell r="AI177">
            <v>0</v>
          </cell>
          <cell r="AJ177">
            <v>0</v>
          </cell>
          <cell r="AK177">
            <v>0</v>
          </cell>
          <cell r="AL177">
            <v>0.17229916897506925</v>
          </cell>
          <cell r="AM177">
            <v>0</v>
          </cell>
          <cell r="AN177">
            <v>0</v>
          </cell>
          <cell r="AO177">
            <v>0</v>
          </cell>
          <cell r="AP177">
            <v>0.17229916897506925</v>
          </cell>
          <cell r="AQ177">
            <v>0</v>
          </cell>
          <cell r="AR177">
            <v>0</v>
          </cell>
          <cell r="AS177">
            <v>0</v>
          </cell>
          <cell r="AT177">
            <v>0.17229916897506925</v>
          </cell>
          <cell r="AU177">
            <v>0</v>
          </cell>
          <cell r="AV177">
            <v>0</v>
          </cell>
          <cell r="AW177">
            <v>0</v>
          </cell>
        </row>
        <row r="178">
          <cell r="A178" t="str">
            <v xml:space="preserve">Hampton Inn </v>
          </cell>
          <cell r="B178">
            <v>0.11966759002770083</v>
          </cell>
          <cell r="C178">
            <v>1.767540329421261</v>
          </cell>
          <cell r="D178">
            <v>0.21151729149861073</v>
          </cell>
          <cell r="E178">
            <v>17384.219999999998</v>
          </cell>
          <cell r="F178">
            <v>0.11966759002770083</v>
          </cell>
          <cell r="G178">
            <v>1.767540329421261</v>
          </cell>
          <cell r="H178">
            <v>0.21151729149861073</v>
          </cell>
          <cell r="I178">
            <v>17384.18315368782</v>
          </cell>
          <cell r="J178">
            <v>0.11966759002770083</v>
          </cell>
          <cell r="K178">
            <v>1.767540329421261</v>
          </cell>
          <cell r="L178">
            <v>0.21151729149861073</v>
          </cell>
          <cell r="M178">
            <v>17384.18315368782</v>
          </cell>
          <cell r="N178">
            <v>0.11966759002770083</v>
          </cell>
          <cell r="O178">
            <v>1.767540329421261</v>
          </cell>
          <cell r="P178">
            <v>0.21151729149861073</v>
          </cell>
          <cell r="Q178">
            <v>17384.18315368782</v>
          </cell>
          <cell r="R178">
            <v>0.11966759002770083</v>
          </cell>
          <cell r="S178">
            <v>1.767540329421261</v>
          </cell>
          <cell r="T178">
            <v>0.21151729149861073</v>
          </cell>
          <cell r="U178">
            <v>17384.18315368782</v>
          </cell>
          <cell r="V178">
            <v>0.11966759002770083</v>
          </cell>
          <cell r="W178">
            <v>1.767540329421261</v>
          </cell>
          <cell r="X178">
            <v>0.21151729149861073</v>
          </cell>
          <cell r="Y178">
            <v>17384.18315368782</v>
          </cell>
          <cell r="Z178">
            <v>0.11966759002770083</v>
          </cell>
          <cell r="AA178">
            <v>1.767540329421261</v>
          </cell>
          <cell r="AB178">
            <v>0.21151729149861073</v>
          </cell>
          <cell r="AC178">
            <v>17384.18315368782</v>
          </cell>
          <cell r="AD178">
            <v>0.11966759002770083</v>
          </cell>
          <cell r="AE178">
            <v>1.767540329421261</v>
          </cell>
          <cell r="AF178">
            <v>0.21151729149861073</v>
          </cell>
          <cell r="AG178">
            <v>17384.18315368782</v>
          </cell>
          <cell r="AH178">
            <v>0.11966759002770083</v>
          </cell>
          <cell r="AI178">
            <v>1.767540329421261</v>
          </cell>
          <cell r="AJ178">
            <v>0.21151729149861073</v>
          </cell>
          <cell r="AK178">
            <v>17384.18315368782</v>
          </cell>
          <cell r="AL178">
            <v>0.11966759002770083</v>
          </cell>
          <cell r="AM178">
            <v>1.767540329421261</v>
          </cell>
          <cell r="AN178">
            <v>0.21151729149861073</v>
          </cell>
          <cell r="AO178">
            <v>17384.18315368782</v>
          </cell>
          <cell r="AP178">
            <v>0.11966759002770083</v>
          </cell>
          <cell r="AQ178">
            <v>1.767540329421261</v>
          </cell>
          <cell r="AR178">
            <v>0.21151729149861073</v>
          </cell>
          <cell r="AS178">
            <v>17384.18315368782</v>
          </cell>
          <cell r="AT178">
            <v>0.11966759002770083</v>
          </cell>
          <cell r="AU178">
            <v>1.767540329421261</v>
          </cell>
          <cell r="AV178">
            <v>0.21151729149861073</v>
          </cell>
          <cell r="AW178">
            <v>17384.18315368782</v>
          </cell>
        </row>
        <row r="179">
          <cell r="A179" t="str">
            <v>Courtyard by Marriott</v>
          </cell>
          <cell r="B179">
            <v>9.1966759002770085E-2</v>
          </cell>
          <cell r="C179">
            <v>0</v>
          </cell>
          <cell r="D179">
            <v>0</v>
          </cell>
          <cell r="E179">
            <v>0</v>
          </cell>
          <cell r="F179">
            <v>9.1966759002770085E-2</v>
          </cell>
          <cell r="G179">
            <v>0</v>
          </cell>
          <cell r="H179">
            <v>0</v>
          </cell>
          <cell r="I179">
            <v>0</v>
          </cell>
          <cell r="J179">
            <v>9.1966759002770085E-2</v>
          </cell>
          <cell r="K179">
            <v>0</v>
          </cell>
          <cell r="L179">
            <v>0</v>
          </cell>
          <cell r="M179">
            <v>0</v>
          </cell>
          <cell r="N179">
            <v>9.1966759002770085E-2</v>
          </cell>
          <cell r="O179">
            <v>0</v>
          </cell>
          <cell r="P179">
            <v>0</v>
          </cell>
          <cell r="Q179">
            <v>0</v>
          </cell>
          <cell r="R179">
            <v>9.1966759002770085E-2</v>
          </cell>
          <cell r="S179">
            <v>0</v>
          </cell>
          <cell r="T179">
            <v>0</v>
          </cell>
          <cell r="U179">
            <v>0</v>
          </cell>
          <cell r="V179">
            <v>9.1966759002770085E-2</v>
          </cell>
          <cell r="W179">
            <v>0</v>
          </cell>
          <cell r="X179">
            <v>0</v>
          </cell>
          <cell r="Y179">
            <v>0</v>
          </cell>
          <cell r="Z179">
            <v>9.1966759002770085E-2</v>
          </cell>
          <cell r="AA179">
            <v>0</v>
          </cell>
          <cell r="AB179">
            <v>0</v>
          </cell>
          <cell r="AC179">
            <v>0</v>
          </cell>
          <cell r="AD179">
            <v>9.1966759002770085E-2</v>
          </cell>
          <cell r="AE179">
            <v>0</v>
          </cell>
          <cell r="AF179">
            <v>0</v>
          </cell>
          <cell r="AG179">
            <v>0</v>
          </cell>
          <cell r="AH179">
            <v>9.1966759002770085E-2</v>
          </cell>
          <cell r="AI179">
            <v>0</v>
          </cell>
          <cell r="AJ179">
            <v>0</v>
          </cell>
          <cell r="AK179">
            <v>0</v>
          </cell>
          <cell r="AL179">
            <v>9.1966759002770085E-2</v>
          </cell>
          <cell r="AM179">
            <v>0</v>
          </cell>
          <cell r="AN179">
            <v>0</v>
          </cell>
          <cell r="AO179">
            <v>0</v>
          </cell>
          <cell r="AP179">
            <v>9.1966759002770085E-2</v>
          </cell>
          <cell r="AQ179">
            <v>0</v>
          </cell>
          <cell r="AR179">
            <v>0</v>
          </cell>
          <cell r="AS179">
            <v>0</v>
          </cell>
          <cell r="AT179">
            <v>9.1966759002770085E-2</v>
          </cell>
          <cell r="AU179">
            <v>0</v>
          </cell>
          <cell r="AV179">
            <v>0</v>
          </cell>
          <cell r="AW179">
            <v>0</v>
          </cell>
        </row>
        <row r="180">
          <cell r="A180" t="str">
            <v>Doubletree Club</v>
          </cell>
          <cell r="B180">
            <v>6.0941828254847646E-2</v>
          </cell>
          <cell r="C180">
            <v>1.2064164153192736</v>
          </cell>
          <cell r="D180">
            <v>7.352122198621612E-2</v>
          </cell>
          <cell r="E180">
            <v>6042.5749999999998</v>
          </cell>
          <cell r="F180">
            <v>6.0941828254847646E-2</v>
          </cell>
          <cell r="G180">
            <v>1.2064164153192736</v>
          </cell>
          <cell r="H180">
            <v>7.352122198621612E-2</v>
          </cell>
          <cell r="I180">
            <v>6042.5621926031308</v>
          </cell>
          <cell r="J180">
            <v>6.0941828254847646E-2</v>
          </cell>
          <cell r="K180">
            <v>1.2064164153192736</v>
          </cell>
          <cell r="L180">
            <v>7.352122198621612E-2</v>
          </cell>
          <cell r="M180">
            <v>6042.5621926031308</v>
          </cell>
          <cell r="N180">
            <v>6.0941828254847646E-2</v>
          </cell>
          <cell r="O180">
            <v>1.2064164153192736</v>
          </cell>
          <cell r="P180">
            <v>7.352122198621612E-2</v>
          </cell>
          <cell r="Q180">
            <v>6042.5621926031308</v>
          </cell>
          <cell r="R180">
            <v>6.0941828254847646E-2</v>
          </cell>
          <cell r="S180">
            <v>1.2064164153192736</v>
          </cell>
          <cell r="T180">
            <v>7.352122198621612E-2</v>
          </cell>
          <cell r="U180">
            <v>6042.5621926031308</v>
          </cell>
          <cell r="V180">
            <v>6.0941828254847646E-2</v>
          </cell>
          <cell r="W180">
            <v>1.2064164153192736</v>
          </cell>
          <cell r="X180">
            <v>7.352122198621612E-2</v>
          </cell>
          <cell r="Y180">
            <v>6042.5621926031308</v>
          </cell>
          <cell r="Z180">
            <v>6.0941828254847646E-2</v>
          </cell>
          <cell r="AA180">
            <v>1.2064164153192736</v>
          </cell>
          <cell r="AB180">
            <v>7.352122198621612E-2</v>
          </cell>
          <cell r="AC180">
            <v>6042.5621926031308</v>
          </cell>
          <cell r="AD180">
            <v>6.0941828254847646E-2</v>
          </cell>
          <cell r="AE180">
            <v>1.2064164153192736</v>
          </cell>
          <cell r="AF180">
            <v>7.352122198621612E-2</v>
          </cell>
          <cell r="AG180">
            <v>6042.5621926031308</v>
          </cell>
          <cell r="AH180">
            <v>6.0941828254847646E-2</v>
          </cell>
          <cell r="AI180">
            <v>1.2064164153192736</v>
          </cell>
          <cell r="AJ180">
            <v>7.352122198621612E-2</v>
          </cell>
          <cell r="AK180">
            <v>6042.5621926031308</v>
          </cell>
          <cell r="AL180">
            <v>6.0941828254847646E-2</v>
          </cell>
          <cell r="AM180">
            <v>1.2064164153192736</v>
          </cell>
          <cell r="AN180">
            <v>7.352122198621612E-2</v>
          </cell>
          <cell r="AO180">
            <v>6042.5621926031308</v>
          </cell>
          <cell r="AP180">
            <v>6.0941828254847646E-2</v>
          </cell>
          <cell r="AQ180">
            <v>1.2064164153192736</v>
          </cell>
          <cell r="AR180">
            <v>7.352122198621612E-2</v>
          </cell>
          <cell r="AS180">
            <v>6042.5621926031308</v>
          </cell>
          <cell r="AT180">
            <v>6.0941828254847646E-2</v>
          </cell>
          <cell r="AU180">
            <v>1.2064164153192736</v>
          </cell>
          <cell r="AV180">
            <v>7.352122198621612E-2</v>
          </cell>
          <cell r="AW180">
            <v>6042.5621926031308</v>
          </cell>
        </row>
        <row r="181">
          <cell r="A181" t="str">
            <v>La Quinta</v>
          </cell>
          <cell r="B181">
            <v>3.9889196675900275E-2</v>
          </cell>
          <cell r="C181">
            <v>0</v>
          </cell>
          <cell r="D181">
            <v>0</v>
          </cell>
          <cell r="E181">
            <v>0</v>
          </cell>
          <cell r="F181">
            <v>3.9889196675900275E-2</v>
          </cell>
          <cell r="G181">
            <v>0</v>
          </cell>
          <cell r="H181">
            <v>0</v>
          </cell>
          <cell r="I181">
            <v>0</v>
          </cell>
          <cell r="J181">
            <v>3.9889196675900275E-2</v>
          </cell>
          <cell r="K181">
            <v>0</v>
          </cell>
          <cell r="L181">
            <v>0</v>
          </cell>
          <cell r="M181">
            <v>0</v>
          </cell>
          <cell r="N181">
            <v>3.9889196675900275E-2</v>
          </cell>
          <cell r="O181">
            <v>0</v>
          </cell>
          <cell r="P181">
            <v>0</v>
          </cell>
          <cell r="Q181">
            <v>0</v>
          </cell>
          <cell r="R181">
            <v>3.9889196675900275E-2</v>
          </cell>
          <cell r="S181">
            <v>0</v>
          </cell>
          <cell r="T181">
            <v>0</v>
          </cell>
          <cell r="U181">
            <v>0</v>
          </cell>
          <cell r="V181">
            <v>3.9889196675900275E-2</v>
          </cell>
          <cell r="W181">
            <v>0</v>
          </cell>
          <cell r="X181">
            <v>0</v>
          </cell>
          <cell r="Y181">
            <v>0</v>
          </cell>
          <cell r="Z181">
            <v>3.9889196675900275E-2</v>
          </cell>
          <cell r="AA181">
            <v>0</v>
          </cell>
          <cell r="AB181">
            <v>0</v>
          </cell>
          <cell r="AC181">
            <v>0</v>
          </cell>
          <cell r="AD181">
            <v>3.9889196675900275E-2</v>
          </cell>
          <cell r="AE181">
            <v>0</v>
          </cell>
          <cell r="AF181">
            <v>0</v>
          </cell>
          <cell r="AG181">
            <v>0</v>
          </cell>
          <cell r="AH181">
            <v>3.9889196675900275E-2</v>
          </cell>
          <cell r="AI181">
            <v>0</v>
          </cell>
          <cell r="AJ181">
            <v>0</v>
          </cell>
          <cell r="AK181">
            <v>0</v>
          </cell>
          <cell r="AL181">
            <v>3.9889196675900275E-2</v>
          </cell>
          <cell r="AM181">
            <v>0</v>
          </cell>
          <cell r="AN181">
            <v>0</v>
          </cell>
          <cell r="AO181">
            <v>0</v>
          </cell>
          <cell r="AP181">
            <v>3.9889196675900275E-2</v>
          </cell>
          <cell r="AQ181">
            <v>0</v>
          </cell>
          <cell r="AR181">
            <v>0</v>
          </cell>
          <cell r="AS181">
            <v>0</v>
          </cell>
          <cell r="AT181">
            <v>3.9889196675900275E-2</v>
          </cell>
          <cell r="AU181">
            <v>0</v>
          </cell>
          <cell r="AV181">
            <v>0</v>
          </cell>
          <cell r="AW181">
            <v>0</v>
          </cell>
        </row>
        <row r="182">
          <cell r="A182" t="str">
            <v>Comp8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</row>
        <row r="183">
          <cell r="A183" t="str">
            <v>Comp9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A184" t="str">
            <v>Comp10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</row>
        <row r="185">
          <cell r="A185" t="str">
            <v>Comp11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A186" t="str">
            <v>Comp12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</row>
        <row r="187">
          <cell r="A187" t="str">
            <v>Comp13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A188" t="str">
            <v>Comp14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A189" t="str">
            <v>Comp15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</row>
        <row r="190">
          <cell r="A190" t="str">
            <v>Comp16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</row>
        <row r="191">
          <cell r="A191" t="str">
            <v>Comp17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</row>
        <row r="192">
          <cell r="A192" t="str">
            <v>Comp18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A193" t="str">
            <v>Comp19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</row>
        <row r="194">
          <cell r="A194" t="str">
            <v>Comp20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</row>
        <row r="195">
          <cell r="A195" t="str">
            <v>Comp21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A196" t="str">
            <v>Comp22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</row>
        <row r="197">
          <cell r="A197" t="str">
            <v>Comp23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A198" t="str">
            <v>Comp24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A199" t="str">
            <v>Comp25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A200" t="str">
            <v>Addition/Deletion 1</v>
          </cell>
          <cell r="B200">
            <v>0</v>
          </cell>
          <cell r="C200">
            <v>1</v>
          </cell>
          <cell r="D200">
            <v>0</v>
          </cell>
          <cell r="E200">
            <v>0</v>
          </cell>
          <cell r="F200">
            <v>0</v>
          </cell>
          <cell r="G200">
            <v>1</v>
          </cell>
          <cell r="H200">
            <v>0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0</v>
          </cell>
          <cell r="N200">
            <v>0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S200">
            <v>1</v>
          </cell>
          <cell r="T200">
            <v>0</v>
          </cell>
          <cell r="U200">
            <v>0</v>
          </cell>
          <cell r="V200">
            <v>0</v>
          </cell>
          <cell r="W200">
            <v>1</v>
          </cell>
          <cell r="X200">
            <v>0</v>
          </cell>
          <cell r="Y200">
            <v>0</v>
          </cell>
          <cell r="Z200">
            <v>0</v>
          </cell>
          <cell r="AA200">
            <v>1</v>
          </cell>
          <cell r="AB200">
            <v>0</v>
          </cell>
          <cell r="AC200">
            <v>0</v>
          </cell>
          <cell r="AD200">
            <v>0</v>
          </cell>
          <cell r="AE200">
            <v>1</v>
          </cell>
          <cell r="AF200">
            <v>0</v>
          </cell>
          <cell r="AG200">
            <v>0</v>
          </cell>
          <cell r="AH200">
            <v>0</v>
          </cell>
          <cell r="AI200">
            <v>1</v>
          </cell>
          <cell r="AJ200">
            <v>0</v>
          </cell>
          <cell r="AK200">
            <v>0</v>
          </cell>
          <cell r="AL200">
            <v>0</v>
          </cell>
          <cell r="AM200">
            <v>1</v>
          </cell>
          <cell r="AN200">
            <v>0</v>
          </cell>
          <cell r="AO200">
            <v>0</v>
          </cell>
          <cell r="AP200">
            <v>0</v>
          </cell>
          <cell r="AQ200">
            <v>1</v>
          </cell>
          <cell r="AR200">
            <v>0</v>
          </cell>
          <cell r="AS200">
            <v>0</v>
          </cell>
          <cell r="AT200">
            <v>0</v>
          </cell>
          <cell r="AU200">
            <v>1</v>
          </cell>
          <cell r="AV200">
            <v>0</v>
          </cell>
          <cell r="AW200">
            <v>0</v>
          </cell>
        </row>
        <row r="201">
          <cell r="A201" t="str">
            <v>Addition/Deletion 2</v>
          </cell>
          <cell r="B201">
            <v>0</v>
          </cell>
          <cell r="C201">
            <v>1</v>
          </cell>
          <cell r="D201">
            <v>0</v>
          </cell>
          <cell r="E201">
            <v>0</v>
          </cell>
          <cell r="F201">
            <v>0</v>
          </cell>
          <cell r="G201">
            <v>1</v>
          </cell>
          <cell r="H201">
            <v>0</v>
          </cell>
          <cell r="I201">
            <v>0</v>
          </cell>
          <cell r="J201">
            <v>0</v>
          </cell>
          <cell r="K201">
            <v>1</v>
          </cell>
          <cell r="L201">
            <v>0</v>
          </cell>
          <cell r="M201">
            <v>0</v>
          </cell>
          <cell r="N201">
            <v>0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S201">
            <v>1</v>
          </cell>
          <cell r="T201">
            <v>0</v>
          </cell>
          <cell r="U201">
            <v>0</v>
          </cell>
          <cell r="V201">
            <v>0</v>
          </cell>
          <cell r="W201">
            <v>1</v>
          </cell>
          <cell r="X201">
            <v>0</v>
          </cell>
          <cell r="Y201">
            <v>0</v>
          </cell>
          <cell r="Z201">
            <v>0</v>
          </cell>
          <cell r="AA201">
            <v>1</v>
          </cell>
          <cell r="AB201">
            <v>0</v>
          </cell>
          <cell r="AC201">
            <v>0</v>
          </cell>
          <cell r="AD201">
            <v>0</v>
          </cell>
          <cell r="AE201">
            <v>1</v>
          </cell>
          <cell r="AF201">
            <v>0</v>
          </cell>
          <cell r="AG201">
            <v>0</v>
          </cell>
          <cell r="AH201">
            <v>0</v>
          </cell>
          <cell r="AI201">
            <v>1</v>
          </cell>
          <cell r="AJ201">
            <v>0</v>
          </cell>
          <cell r="AK201">
            <v>0</v>
          </cell>
          <cell r="AL201">
            <v>0</v>
          </cell>
          <cell r="AM201">
            <v>1</v>
          </cell>
          <cell r="AN201">
            <v>0</v>
          </cell>
          <cell r="AO201">
            <v>0</v>
          </cell>
          <cell r="AP201">
            <v>0</v>
          </cell>
          <cell r="AQ201">
            <v>1</v>
          </cell>
          <cell r="AR201">
            <v>0</v>
          </cell>
          <cell r="AS201">
            <v>0</v>
          </cell>
          <cell r="AT201">
            <v>0</v>
          </cell>
          <cell r="AU201">
            <v>1</v>
          </cell>
          <cell r="AV201">
            <v>0</v>
          </cell>
          <cell r="AW201">
            <v>0</v>
          </cell>
        </row>
        <row r="202">
          <cell r="A202" t="str">
            <v>Addition/Deletion 3</v>
          </cell>
          <cell r="B202">
            <v>0</v>
          </cell>
          <cell r="C202">
            <v>1</v>
          </cell>
          <cell r="D202">
            <v>0</v>
          </cell>
          <cell r="E202">
            <v>0</v>
          </cell>
          <cell r="F202">
            <v>0</v>
          </cell>
          <cell r="G202">
            <v>1</v>
          </cell>
          <cell r="H202">
            <v>0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0</v>
          </cell>
          <cell r="N202">
            <v>0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S202">
            <v>1</v>
          </cell>
          <cell r="T202">
            <v>0</v>
          </cell>
          <cell r="U202">
            <v>0</v>
          </cell>
          <cell r="V202">
            <v>0</v>
          </cell>
          <cell r="W202">
            <v>1</v>
          </cell>
          <cell r="X202">
            <v>0</v>
          </cell>
          <cell r="Y202">
            <v>0</v>
          </cell>
          <cell r="Z202">
            <v>0</v>
          </cell>
          <cell r="AA202">
            <v>1</v>
          </cell>
          <cell r="AB202">
            <v>0</v>
          </cell>
          <cell r="AC202">
            <v>0</v>
          </cell>
          <cell r="AD202">
            <v>0</v>
          </cell>
          <cell r="AE202">
            <v>1</v>
          </cell>
          <cell r="AF202">
            <v>0</v>
          </cell>
          <cell r="AG202">
            <v>0</v>
          </cell>
          <cell r="AH202">
            <v>0</v>
          </cell>
          <cell r="AI202">
            <v>1</v>
          </cell>
          <cell r="AJ202">
            <v>0</v>
          </cell>
          <cell r="AK202">
            <v>0</v>
          </cell>
          <cell r="AL202">
            <v>0</v>
          </cell>
          <cell r="AM202">
            <v>1</v>
          </cell>
          <cell r="AN202">
            <v>0</v>
          </cell>
          <cell r="AO202">
            <v>0</v>
          </cell>
          <cell r="AP202">
            <v>0</v>
          </cell>
          <cell r="AQ202">
            <v>1</v>
          </cell>
          <cell r="AR202">
            <v>0</v>
          </cell>
          <cell r="AS202">
            <v>0</v>
          </cell>
          <cell r="AT202">
            <v>0</v>
          </cell>
          <cell r="AU202">
            <v>1</v>
          </cell>
          <cell r="AV202">
            <v>0</v>
          </cell>
          <cell r="AW202">
            <v>0</v>
          </cell>
        </row>
        <row r="203">
          <cell r="A203" t="str">
            <v>Addition/Deletion 4</v>
          </cell>
          <cell r="B203">
            <v>0</v>
          </cell>
          <cell r="C203">
            <v>1</v>
          </cell>
          <cell r="D203">
            <v>0</v>
          </cell>
          <cell r="E203">
            <v>0</v>
          </cell>
          <cell r="F203">
            <v>0</v>
          </cell>
          <cell r="G203">
            <v>1</v>
          </cell>
          <cell r="H203">
            <v>0</v>
          </cell>
          <cell r="I203">
            <v>0</v>
          </cell>
          <cell r="J203">
            <v>0</v>
          </cell>
          <cell r="K203">
            <v>1</v>
          </cell>
          <cell r="L203">
            <v>0</v>
          </cell>
          <cell r="M203">
            <v>0</v>
          </cell>
          <cell r="N203">
            <v>0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S203">
            <v>1</v>
          </cell>
          <cell r="T203">
            <v>0</v>
          </cell>
          <cell r="U203">
            <v>0</v>
          </cell>
          <cell r="V203">
            <v>0</v>
          </cell>
          <cell r="W203">
            <v>1</v>
          </cell>
          <cell r="X203">
            <v>0</v>
          </cell>
          <cell r="Y203">
            <v>0</v>
          </cell>
          <cell r="Z203">
            <v>0</v>
          </cell>
          <cell r="AA203">
            <v>1</v>
          </cell>
          <cell r="AB203">
            <v>0</v>
          </cell>
          <cell r="AC203">
            <v>0</v>
          </cell>
          <cell r="AD203">
            <v>0</v>
          </cell>
          <cell r="AE203">
            <v>1</v>
          </cell>
          <cell r="AF203">
            <v>0</v>
          </cell>
          <cell r="AG203">
            <v>0</v>
          </cell>
          <cell r="AH203">
            <v>0</v>
          </cell>
          <cell r="AI203">
            <v>1</v>
          </cell>
          <cell r="AJ203">
            <v>0</v>
          </cell>
          <cell r="AK203">
            <v>0</v>
          </cell>
          <cell r="AL203">
            <v>0</v>
          </cell>
          <cell r="AM203">
            <v>1</v>
          </cell>
          <cell r="AN203">
            <v>0</v>
          </cell>
          <cell r="AO203">
            <v>0</v>
          </cell>
          <cell r="AP203">
            <v>0</v>
          </cell>
          <cell r="AQ203">
            <v>1</v>
          </cell>
          <cell r="AR203">
            <v>0</v>
          </cell>
          <cell r="AS203">
            <v>0</v>
          </cell>
          <cell r="AT203">
            <v>0</v>
          </cell>
          <cell r="AU203">
            <v>1</v>
          </cell>
          <cell r="AV203">
            <v>0</v>
          </cell>
          <cell r="AW203">
            <v>0</v>
          </cell>
        </row>
        <row r="204">
          <cell r="A204" t="str">
            <v>Addition/Deletion 5</v>
          </cell>
          <cell r="B204">
            <v>0</v>
          </cell>
          <cell r="C204">
            <v>1</v>
          </cell>
          <cell r="D204">
            <v>0</v>
          </cell>
          <cell r="E204">
            <v>0</v>
          </cell>
          <cell r="F204">
            <v>0</v>
          </cell>
          <cell r="G204">
            <v>1</v>
          </cell>
          <cell r="H204">
            <v>0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S204">
            <v>1</v>
          </cell>
          <cell r="T204">
            <v>0</v>
          </cell>
          <cell r="U204">
            <v>0</v>
          </cell>
          <cell r="V204">
            <v>0</v>
          </cell>
          <cell r="W204">
            <v>1</v>
          </cell>
          <cell r="X204">
            <v>0</v>
          </cell>
          <cell r="Y204">
            <v>0</v>
          </cell>
          <cell r="Z204">
            <v>0</v>
          </cell>
          <cell r="AA204">
            <v>1</v>
          </cell>
          <cell r="AB204">
            <v>0</v>
          </cell>
          <cell r="AC204">
            <v>0</v>
          </cell>
          <cell r="AD204">
            <v>0</v>
          </cell>
          <cell r="AE204">
            <v>1</v>
          </cell>
          <cell r="AF204">
            <v>0</v>
          </cell>
          <cell r="AG204">
            <v>0</v>
          </cell>
          <cell r="AH204">
            <v>0</v>
          </cell>
          <cell r="AI204">
            <v>1</v>
          </cell>
          <cell r="AJ204">
            <v>0</v>
          </cell>
          <cell r="AK204">
            <v>0</v>
          </cell>
          <cell r="AL204">
            <v>0</v>
          </cell>
          <cell r="AM204">
            <v>1</v>
          </cell>
          <cell r="AN204">
            <v>0</v>
          </cell>
          <cell r="AO204">
            <v>0</v>
          </cell>
          <cell r="AP204">
            <v>0</v>
          </cell>
          <cell r="AQ204">
            <v>1</v>
          </cell>
          <cell r="AR204">
            <v>0</v>
          </cell>
          <cell r="AS204">
            <v>0</v>
          </cell>
          <cell r="AT204">
            <v>0</v>
          </cell>
          <cell r="AU204">
            <v>1</v>
          </cell>
          <cell r="AV204">
            <v>0</v>
          </cell>
          <cell r="AW204">
            <v>0</v>
          </cell>
        </row>
        <row r="205">
          <cell r="A205" t="str">
            <v>Total</v>
          </cell>
          <cell r="B205">
            <v>1</v>
          </cell>
          <cell r="C205">
            <v>0</v>
          </cell>
          <cell r="D205">
            <v>1</v>
          </cell>
          <cell r="E205">
            <v>82188.174199999994</v>
          </cell>
          <cell r="F205">
            <v>1</v>
          </cell>
          <cell r="G205">
            <v>0</v>
          </cell>
          <cell r="H205">
            <v>1</v>
          </cell>
          <cell r="I205">
            <v>82188</v>
          </cell>
          <cell r="J205">
            <v>1</v>
          </cell>
          <cell r="K205">
            <v>0</v>
          </cell>
          <cell r="L205">
            <v>1</v>
          </cell>
          <cell r="M205">
            <v>82188</v>
          </cell>
          <cell r="N205">
            <v>1</v>
          </cell>
          <cell r="O205">
            <v>0</v>
          </cell>
          <cell r="P205">
            <v>1</v>
          </cell>
          <cell r="Q205">
            <v>82188</v>
          </cell>
          <cell r="R205">
            <v>1</v>
          </cell>
          <cell r="S205">
            <v>0</v>
          </cell>
          <cell r="T205">
            <v>1</v>
          </cell>
          <cell r="U205">
            <v>82188</v>
          </cell>
          <cell r="V205">
            <v>1</v>
          </cell>
          <cell r="W205">
            <v>0</v>
          </cell>
          <cell r="X205">
            <v>1</v>
          </cell>
          <cell r="Y205">
            <v>82188</v>
          </cell>
          <cell r="Z205">
            <v>1</v>
          </cell>
          <cell r="AA205">
            <v>0</v>
          </cell>
          <cell r="AB205">
            <v>1</v>
          </cell>
          <cell r="AC205">
            <v>82188</v>
          </cell>
          <cell r="AD205">
            <v>1</v>
          </cell>
          <cell r="AE205">
            <v>0</v>
          </cell>
          <cell r="AF205">
            <v>1</v>
          </cell>
          <cell r="AG205">
            <v>82188</v>
          </cell>
          <cell r="AH205">
            <v>1</v>
          </cell>
          <cell r="AI205">
            <v>0</v>
          </cell>
          <cell r="AJ205">
            <v>1</v>
          </cell>
          <cell r="AK205">
            <v>82188</v>
          </cell>
          <cell r="AL205">
            <v>1</v>
          </cell>
          <cell r="AM205">
            <v>0</v>
          </cell>
          <cell r="AN205">
            <v>1</v>
          </cell>
          <cell r="AO205">
            <v>82188</v>
          </cell>
          <cell r="AP205">
            <v>1</v>
          </cell>
          <cell r="AQ205">
            <v>0</v>
          </cell>
          <cell r="AR205">
            <v>1</v>
          </cell>
          <cell r="AS205">
            <v>82188</v>
          </cell>
          <cell r="AT205">
            <v>1</v>
          </cell>
          <cell r="AU205">
            <v>0</v>
          </cell>
          <cell r="AV205">
            <v>1</v>
          </cell>
          <cell r="AW205">
            <v>82188</v>
          </cell>
        </row>
        <row r="208">
          <cell r="A208" t="str">
            <v>Other</v>
          </cell>
          <cell r="B208" t="str">
            <v>2002(Historical)</v>
          </cell>
          <cell r="C208">
            <v>0</v>
          </cell>
          <cell r="D208">
            <v>0</v>
          </cell>
          <cell r="E208">
            <v>0</v>
          </cell>
          <cell r="F208">
            <v>2004</v>
          </cell>
          <cell r="G208">
            <v>0</v>
          </cell>
          <cell r="H208">
            <v>0</v>
          </cell>
          <cell r="I208">
            <v>0</v>
          </cell>
          <cell r="J208">
            <v>2005</v>
          </cell>
          <cell r="K208">
            <v>0</v>
          </cell>
          <cell r="L208">
            <v>0</v>
          </cell>
          <cell r="M208">
            <v>0</v>
          </cell>
          <cell r="N208">
            <v>2006</v>
          </cell>
          <cell r="O208">
            <v>0</v>
          </cell>
          <cell r="P208">
            <v>0</v>
          </cell>
          <cell r="Q208">
            <v>0</v>
          </cell>
          <cell r="R208">
            <v>2007</v>
          </cell>
          <cell r="S208">
            <v>0</v>
          </cell>
          <cell r="T208">
            <v>0</v>
          </cell>
          <cell r="U208">
            <v>0</v>
          </cell>
          <cell r="V208">
            <v>2008</v>
          </cell>
          <cell r="W208">
            <v>0</v>
          </cell>
          <cell r="X208">
            <v>0</v>
          </cell>
          <cell r="Y208">
            <v>0</v>
          </cell>
          <cell r="Z208">
            <v>2009</v>
          </cell>
          <cell r="AA208">
            <v>0</v>
          </cell>
          <cell r="AB208">
            <v>0</v>
          </cell>
          <cell r="AC208">
            <v>0</v>
          </cell>
          <cell r="AD208">
            <v>2010</v>
          </cell>
          <cell r="AE208">
            <v>0</v>
          </cell>
          <cell r="AF208">
            <v>0</v>
          </cell>
          <cell r="AG208">
            <v>0</v>
          </cell>
          <cell r="AH208">
            <v>2011</v>
          </cell>
          <cell r="AI208">
            <v>0</v>
          </cell>
          <cell r="AJ208">
            <v>0</v>
          </cell>
          <cell r="AK208">
            <v>0</v>
          </cell>
          <cell r="AL208">
            <v>2012</v>
          </cell>
          <cell r="AM208">
            <v>0</v>
          </cell>
          <cell r="AN208">
            <v>0</v>
          </cell>
          <cell r="AO208">
            <v>0</v>
          </cell>
          <cell r="AP208">
            <v>2013</v>
          </cell>
          <cell r="AQ208">
            <v>0</v>
          </cell>
          <cell r="AR208">
            <v>0</v>
          </cell>
          <cell r="AS208">
            <v>0</v>
          </cell>
          <cell r="AT208">
            <v>2014</v>
          </cell>
        </row>
        <row r="209">
          <cell r="A209" t="str">
            <v>Property</v>
          </cell>
          <cell r="B209" t="str">
            <v>Fair Share</v>
          </cell>
          <cell r="C209" t="str">
            <v>Penetration</v>
          </cell>
          <cell r="D209" t="str">
            <v>Mkt. Share</v>
          </cell>
          <cell r="E209" t="str">
            <v>Rmnights</v>
          </cell>
          <cell r="F209" t="str">
            <v>Fair Share</v>
          </cell>
          <cell r="G209" t="str">
            <v>Penetration</v>
          </cell>
          <cell r="H209" t="str">
            <v>Mkt. Share</v>
          </cell>
          <cell r="I209" t="str">
            <v>Rmnights</v>
          </cell>
          <cell r="J209" t="str">
            <v>Fair Share</v>
          </cell>
          <cell r="K209" t="str">
            <v>Penetration</v>
          </cell>
          <cell r="L209" t="str">
            <v>Mkt. Share</v>
          </cell>
          <cell r="M209" t="str">
            <v>Rmnights</v>
          </cell>
          <cell r="N209" t="str">
            <v>Fair Share</v>
          </cell>
          <cell r="O209" t="str">
            <v>Penetration</v>
          </cell>
          <cell r="P209" t="str">
            <v>Mkt. Share</v>
          </cell>
          <cell r="Q209" t="str">
            <v>Rmnights</v>
          </cell>
          <cell r="R209" t="str">
            <v>Fair Share</v>
          </cell>
          <cell r="S209" t="str">
            <v>Penetration</v>
          </cell>
          <cell r="T209" t="str">
            <v>Mkt. Share</v>
          </cell>
          <cell r="U209" t="str">
            <v>Rmnights</v>
          </cell>
          <cell r="V209" t="str">
            <v>Fair Share</v>
          </cell>
          <cell r="W209" t="str">
            <v>Penetration</v>
          </cell>
          <cell r="X209" t="str">
            <v>Mkt. Share</v>
          </cell>
          <cell r="Y209" t="str">
            <v>Rmnights</v>
          </cell>
          <cell r="Z209" t="str">
            <v>Fair Share</v>
          </cell>
          <cell r="AA209" t="str">
            <v>Penetration</v>
          </cell>
          <cell r="AB209" t="str">
            <v>Mkt. Share</v>
          </cell>
          <cell r="AC209" t="str">
            <v>Rmnights</v>
          </cell>
          <cell r="AD209" t="str">
            <v>Fair Share</v>
          </cell>
          <cell r="AE209" t="str">
            <v>Penetration</v>
          </cell>
          <cell r="AF209" t="str">
            <v>Mkt. Share</v>
          </cell>
          <cell r="AG209" t="str">
            <v>Rmnights</v>
          </cell>
          <cell r="AH209" t="str">
            <v>Fair Share</v>
          </cell>
          <cell r="AI209" t="str">
            <v>Penetration</v>
          </cell>
          <cell r="AJ209" t="str">
            <v>Mkt. Share</v>
          </cell>
          <cell r="AK209" t="str">
            <v>Rmnights</v>
          </cell>
          <cell r="AL209" t="str">
            <v>Fair Share</v>
          </cell>
          <cell r="AM209" t="str">
            <v>Penetration</v>
          </cell>
          <cell r="AN209" t="str">
            <v>Mkt. Share</v>
          </cell>
          <cell r="AO209" t="str">
            <v>Rmnights</v>
          </cell>
          <cell r="AP209" t="str">
            <v>Fair Share</v>
          </cell>
          <cell r="AQ209" t="str">
            <v>Penetration</v>
          </cell>
          <cell r="AR209" t="str">
            <v>Mkt. Share</v>
          </cell>
          <cell r="AS209" t="str">
            <v>Rmnights</v>
          </cell>
          <cell r="AT209" t="str">
            <v>Fair Share</v>
          </cell>
          <cell r="AU209" t="str">
            <v>Penetration</v>
          </cell>
          <cell r="AV209" t="str">
            <v>Mkt. Share</v>
          </cell>
          <cell r="AW209" t="str">
            <v>Rmnights</v>
          </cell>
        </row>
        <row r="210">
          <cell r="A210" t="str">
            <v>Sheraton JFK</v>
          </cell>
          <cell r="B210">
            <v>0.10193905817174516</v>
          </cell>
          <cell r="C210">
            <v>0</v>
          </cell>
          <cell r="D210">
            <v>0</v>
          </cell>
          <cell r="E210">
            <v>0</v>
          </cell>
          <cell r="F210">
            <v>0.10193905817174516</v>
          </cell>
          <cell r="G210">
            <v>0</v>
          </cell>
          <cell r="H210">
            <v>0</v>
          </cell>
          <cell r="I210">
            <v>0</v>
          </cell>
          <cell r="J210">
            <v>0.10193905817174516</v>
          </cell>
          <cell r="K210">
            <v>0</v>
          </cell>
          <cell r="L210">
            <v>0</v>
          </cell>
          <cell r="M210">
            <v>0</v>
          </cell>
          <cell r="N210">
            <v>0.10193905817174516</v>
          </cell>
          <cell r="O210">
            <v>0</v>
          </cell>
          <cell r="P210">
            <v>0</v>
          </cell>
          <cell r="Q210">
            <v>0</v>
          </cell>
          <cell r="R210">
            <v>0.10193905817174516</v>
          </cell>
          <cell r="S210">
            <v>0</v>
          </cell>
          <cell r="T210">
            <v>0</v>
          </cell>
          <cell r="U210">
            <v>0</v>
          </cell>
          <cell r="V210">
            <v>0.10193905817174516</v>
          </cell>
          <cell r="W210">
            <v>0</v>
          </cell>
          <cell r="X210">
            <v>0</v>
          </cell>
          <cell r="Y210">
            <v>0</v>
          </cell>
          <cell r="Z210">
            <v>0.10193905817174516</v>
          </cell>
          <cell r="AA210">
            <v>0</v>
          </cell>
          <cell r="AB210">
            <v>0</v>
          </cell>
          <cell r="AC210">
            <v>0</v>
          </cell>
          <cell r="AD210">
            <v>0.10193905817174516</v>
          </cell>
          <cell r="AE210">
            <v>0</v>
          </cell>
          <cell r="AF210">
            <v>0</v>
          </cell>
          <cell r="AG210">
            <v>0</v>
          </cell>
          <cell r="AH210">
            <v>0.10193905817174516</v>
          </cell>
          <cell r="AI210">
            <v>0</v>
          </cell>
          <cell r="AJ210">
            <v>0</v>
          </cell>
          <cell r="AK210">
            <v>0</v>
          </cell>
          <cell r="AL210">
            <v>0.10193905817174516</v>
          </cell>
          <cell r="AM210">
            <v>0</v>
          </cell>
          <cell r="AN210">
            <v>0</v>
          </cell>
          <cell r="AO210">
            <v>0</v>
          </cell>
          <cell r="AP210">
            <v>0.10193905817174516</v>
          </cell>
          <cell r="AQ210">
            <v>0</v>
          </cell>
          <cell r="AR210">
            <v>0</v>
          </cell>
          <cell r="AS210">
            <v>0</v>
          </cell>
          <cell r="AT210">
            <v>0.10193905817174516</v>
          </cell>
          <cell r="AU210">
            <v>0</v>
          </cell>
          <cell r="AV210">
            <v>0</v>
          </cell>
          <cell r="AW210">
            <v>0</v>
          </cell>
        </row>
        <row r="211">
          <cell r="A211" t="str">
            <v>Radisson JFK</v>
          </cell>
          <cell r="B211">
            <v>0.21385041551246536</v>
          </cell>
          <cell r="C211">
            <v>0</v>
          </cell>
          <cell r="D211">
            <v>0</v>
          </cell>
          <cell r="E211">
            <v>0</v>
          </cell>
          <cell r="F211">
            <v>0.21385041551246536</v>
          </cell>
          <cell r="G211">
            <v>0</v>
          </cell>
          <cell r="H211">
            <v>0</v>
          </cell>
          <cell r="I211">
            <v>0</v>
          </cell>
          <cell r="J211">
            <v>0.21385041551246536</v>
          </cell>
          <cell r="K211">
            <v>0</v>
          </cell>
          <cell r="L211">
            <v>0</v>
          </cell>
          <cell r="M211">
            <v>0</v>
          </cell>
          <cell r="N211">
            <v>0.21385041551246536</v>
          </cell>
          <cell r="O211">
            <v>0</v>
          </cell>
          <cell r="P211">
            <v>0</v>
          </cell>
          <cell r="Q211">
            <v>0</v>
          </cell>
          <cell r="R211">
            <v>0.21385041551246536</v>
          </cell>
          <cell r="S211">
            <v>0</v>
          </cell>
          <cell r="T211">
            <v>0</v>
          </cell>
          <cell r="U211">
            <v>0</v>
          </cell>
          <cell r="V211">
            <v>0.21385041551246536</v>
          </cell>
          <cell r="W211">
            <v>0</v>
          </cell>
          <cell r="X211">
            <v>0</v>
          </cell>
          <cell r="Y211">
            <v>0</v>
          </cell>
          <cell r="Z211">
            <v>0.21385041551246536</v>
          </cell>
          <cell r="AA211">
            <v>0</v>
          </cell>
          <cell r="AB211">
            <v>0</v>
          </cell>
          <cell r="AC211">
            <v>0</v>
          </cell>
          <cell r="AD211">
            <v>0.21385041551246536</v>
          </cell>
          <cell r="AE211">
            <v>0</v>
          </cell>
          <cell r="AF211">
            <v>0</v>
          </cell>
          <cell r="AG211">
            <v>0</v>
          </cell>
          <cell r="AH211">
            <v>0.21385041551246536</v>
          </cell>
          <cell r="AI211">
            <v>0</v>
          </cell>
          <cell r="AJ211">
            <v>0</v>
          </cell>
          <cell r="AK211">
            <v>0</v>
          </cell>
          <cell r="AL211">
            <v>0.21385041551246536</v>
          </cell>
          <cell r="AM211">
            <v>0</v>
          </cell>
          <cell r="AN211">
            <v>0</v>
          </cell>
          <cell r="AO211">
            <v>0</v>
          </cell>
          <cell r="AP211">
            <v>0.21385041551246536</v>
          </cell>
          <cell r="AQ211">
            <v>0</v>
          </cell>
          <cell r="AR211">
            <v>0</v>
          </cell>
          <cell r="AS211">
            <v>0</v>
          </cell>
          <cell r="AT211">
            <v>0.21385041551246536</v>
          </cell>
          <cell r="AU211">
            <v>0</v>
          </cell>
          <cell r="AV211">
            <v>0</v>
          </cell>
          <cell r="AW211">
            <v>0</v>
          </cell>
        </row>
        <row r="212">
          <cell r="A212" t="str">
            <v>Holiday Inn</v>
          </cell>
          <cell r="B212">
            <v>0.1994459833795014</v>
          </cell>
          <cell r="C212">
            <v>0</v>
          </cell>
          <cell r="D212">
            <v>0</v>
          </cell>
          <cell r="E212">
            <v>0</v>
          </cell>
          <cell r="F212">
            <v>0.1994459833795014</v>
          </cell>
          <cell r="G212">
            <v>0</v>
          </cell>
          <cell r="H212">
            <v>0</v>
          </cell>
          <cell r="I212">
            <v>0</v>
          </cell>
          <cell r="J212">
            <v>0.1994459833795014</v>
          </cell>
          <cell r="K212">
            <v>0</v>
          </cell>
          <cell r="L212">
            <v>0</v>
          </cell>
          <cell r="M212">
            <v>0</v>
          </cell>
          <cell r="N212">
            <v>0.1994459833795014</v>
          </cell>
          <cell r="O212">
            <v>0</v>
          </cell>
          <cell r="P212">
            <v>0</v>
          </cell>
          <cell r="Q212">
            <v>0</v>
          </cell>
          <cell r="R212">
            <v>0.1994459833795014</v>
          </cell>
          <cell r="S212">
            <v>0</v>
          </cell>
          <cell r="T212">
            <v>0</v>
          </cell>
          <cell r="U212">
            <v>0</v>
          </cell>
          <cell r="V212">
            <v>0.1994459833795014</v>
          </cell>
          <cell r="W212">
            <v>0</v>
          </cell>
          <cell r="X212">
            <v>0</v>
          </cell>
          <cell r="Y212">
            <v>0</v>
          </cell>
          <cell r="Z212">
            <v>0.1994459833795014</v>
          </cell>
          <cell r="AA212">
            <v>0</v>
          </cell>
          <cell r="AB212">
            <v>0</v>
          </cell>
          <cell r="AC212">
            <v>0</v>
          </cell>
          <cell r="AD212">
            <v>0.1994459833795014</v>
          </cell>
          <cell r="AE212">
            <v>0</v>
          </cell>
          <cell r="AF212">
            <v>0</v>
          </cell>
          <cell r="AG212">
            <v>0</v>
          </cell>
          <cell r="AH212">
            <v>0.1994459833795014</v>
          </cell>
          <cell r="AI212">
            <v>0</v>
          </cell>
          <cell r="AJ212">
            <v>0</v>
          </cell>
          <cell r="AK212">
            <v>0</v>
          </cell>
          <cell r="AL212">
            <v>0.1994459833795014</v>
          </cell>
          <cell r="AM212">
            <v>0</v>
          </cell>
          <cell r="AN212">
            <v>0</v>
          </cell>
          <cell r="AO212">
            <v>0</v>
          </cell>
          <cell r="AP212">
            <v>0.1994459833795014</v>
          </cell>
          <cell r="AQ212">
            <v>0</v>
          </cell>
          <cell r="AR212">
            <v>0</v>
          </cell>
          <cell r="AS212">
            <v>0</v>
          </cell>
          <cell r="AT212">
            <v>0.1994459833795014</v>
          </cell>
          <cell r="AU212">
            <v>0</v>
          </cell>
          <cell r="AV212">
            <v>0</v>
          </cell>
          <cell r="AW212">
            <v>0</v>
          </cell>
        </row>
        <row r="213">
          <cell r="A213" t="str">
            <v>Ramada Plaza</v>
          </cell>
          <cell r="B213">
            <v>0.17229916897506925</v>
          </cell>
          <cell r="C213">
            <v>0</v>
          </cell>
          <cell r="D213">
            <v>0</v>
          </cell>
          <cell r="E213">
            <v>0</v>
          </cell>
          <cell r="F213">
            <v>0.17229916897506925</v>
          </cell>
          <cell r="G213">
            <v>0</v>
          </cell>
          <cell r="H213">
            <v>0</v>
          </cell>
          <cell r="I213">
            <v>0</v>
          </cell>
          <cell r="J213">
            <v>0.17229916897506925</v>
          </cell>
          <cell r="K213">
            <v>0</v>
          </cell>
          <cell r="L213">
            <v>0</v>
          </cell>
          <cell r="M213">
            <v>0</v>
          </cell>
          <cell r="N213">
            <v>0.17229916897506925</v>
          </cell>
          <cell r="O213">
            <v>0</v>
          </cell>
          <cell r="P213">
            <v>0</v>
          </cell>
          <cell r="Q213">
            <v>0</v>
          </cell>
          <cell r="R213">
            <v>0.17229916897506925</v>
          </cell>
          <cell r="S213">
            <v>0</v>
          </cell>
          <cell r="T213">
            <v>0</v>
          </cell>
          <cell r="U213">
            <v>0</v>
          </cell>
          <cell r="V213">
            <v>0.17229916897506925</v>
          </cell>
          <cell r="W213">
            <v>0</v>
          </cell>
          <cell r="X213">
            <v>0</v>
          </cell>
          <cell r="Y213">
            <v>0</v>
          </cell>
          <cell r="Z213">
            <v>0.17229916897506925</v>
          </cell>
          <cell r="AA213">
            <v>0</v>
          </cell>
          <cell r="AB213">
            <v>0</v>
          </cell>
          <cell r="AC213">
            <v>0</v>
          </cell>
          <cell r="AD213">
            <v>0.17229916897506925</v>
          </cell>
          <cell r="AE213">
            <v>0</v>
          </cell>
          <cell r="AF213">
            <v>0</v>
          </cell>
          <cell r="AG213">
            <v>0</v>
          </cell>
          <cell r="AH213">
            <v>0.17229916897506925</v>
          </cell>
          <cell r="AI213">
            <v>0</v>
          </cell>
          <cell r="AJ213">
            <v>0</v>
          </cell>
          <cell r="AK213">
            <v>0</v>
          </cell>
          <cell r="AL213">
            <v>0.17229916897506925</v>
          </cell>
          <cell r="AM213">
            <v>0</v>
          </cell>
          <cell r="AN213">
            <v>0</v>
          </cell>
          <cell r="AO213">
            <v>0</v>
          </cell>
          <cell r="AP213">
            <v>0.17229916897506925</v>
          </cell>
          <cell r="AQ213">
            <v>0</v>
          </cell>
          <cell r="AR213">
            <v>0</v>
          </cell>
          <cell r="AS213">
            <v>0</v>
          </cell>
          <cell r="AT213">
            <v>0.17229916897506925</v>
          </cell>
          <cell r="AU213">
            <v>0</v>
          </cell>
          <cell r="AV213">
            <v>0</v>
          </cell>
          <cell r="AW213">
            <v>0</v>
          </cell>
        </row>
        <row r="214">
          <cell r="A214" t="str">
            <v xml:space="preserve">Hampton Inn </v>
          </cell>
          <cell r="B214">
            <v>0.11966759002770083</v>
          </cell>
          <cell r="C214">
            <v>0</v>
          </cell>
          <cell r="D214">
            <v>0</v>
          </cell>
          <cell r="E214">
            <v>0</v>
          </cell>
          <cell r="F214">
            <v>0.11966759002770083</v>
          </cell>
          <cell r="G214">
            <v>0</v>
          </cell>
          <cell r="H214">
            <v>0</v>
          </cell>
          <cell r="I214">
            <v>0</v>
          </cell>
          <cell r="J214">
            <v>0.11966759002770083</v>
          </cell>
          <cell r="K214">
            <v>0</v>
          </cell>
          <cell r="L214">
            <v>0</v>
          </cell>
          <cell r="M214">
            <v>0</v>
          </cell>
          <cell r="N214">
            <v>0.11966759002770083</v>
          </cell>
          <cell r="O214">
            <v>0</v>
          </cell>
          <cell r="P214">
            <v>0</v>
          </cell>
          <cell r="Q214">
            <v>0</v>
          </cell>
          <cell r="R214">
            <v>0.11966759002770083</v>
          </cell>
          <cell r="S214">
            <v>0</v>
          </cell>
          <cell r="T214">
            <v>0</v>
          </cell>
          <cell r="U214">
            <v>0</v>
          </cell>
          <cell r="V214">
            <v>0.11966759002770083</v>
          </cell>
          <cell r="W214">
            <v>0</v>
          </cell>
          <cell r="X214">
            <v>0</v>
          </cell>
          <cell r="Y214">
            <v>0</v>
          </cell>
          <cell r="Z214">
            <v>0.11966759002770083</v>
          </cell>
          <cell r="AA214">
            <v>0</v>
          </cell>
          <cell r="AB214">
            <v>0</v>
          </cell>
          <cell r="AC214">
            <v>0</v>
          </cell>
          <cell r="AD214">
            <v>0.11966759002770083</v>
          </cell>
          <cell r="AE214">
            <v>0</v>
          </cell>
          <cell r="AF214">
            <v>0</v>
          </cell>
          <cell r="AG214">
            <v>0</v>
          </cell>
          <cell r="AH214">
            <v>0.11966759002770083</v>
          </cell>
          <cell r="AI214">
            <v>0</v>
          </cell>
          <cell r="AJ214">
            <v>0</v>
          </cell>
          <cell r="AK214">
            <v>0</v>
          </cell>
          <cell r="AL214">
            <v>0.11966759002770083</v>
          </cell>
          <cell r="AM214">
            <v>0</v>
          </cell>
          <cell r="AN214">
            <v>0</v>
          </cell>
          <cell r="AO214">
            <v>0</v>
          </cell>
          <cell r="AP214">
            <v>0.11966759002770083</v>
          </cell>
          <cell r="AQ214">
            <v>0</v>
          </cell>
          <cell r="AR214">
            <v>0</v>
          </cell>
          <cell r="AS214">
            <v>0</v>
          </cell>
          <cell r="AT214">
            <v>0.11966759002770083</v>
          </cell>
          <cell r="AU214">
            <v>0</v>
          </cell>
          <cell r="AV214">
            <v>0</v>
          </cell>
          <cell r="AW214">
            <v>0</v>
          </cell>
        </row>
        <row r="215">
          <cell r="A215" t="str">
            <v>Courtyard by Marriott</v>
          </cell>
          <cell r="B215">
            <v>9.1966759002770085E-2</v>
          </cell>
          <cell r="C215">
            <v>0</v>
          </cell>
          <cell r="D215">
            <v>0</v>
          </cell>
          <cell r="E215">
            <v>0</v>
          </cell>
          <cell r="F215">
            <v>9.1966759002770085E-2</v>
          </cell>
          <cell r="G215">
            <v>0</v>
          </cell>
          <cell r="H215">
            <v>0</v>
          </cell>
          <cell r="I215">
            <v>0</v>
          </cell>
          <cell r="J215">
            <v>9.1966759002770085E-2</v>
          </cell>
          <cell r="K215">
            <v>0</v>
          </cell>
          <cell r="L215">
            <v>0</v>
          </cell>
          <cell r="M215">
            <v>0</v>
          </cell>
          <cell r="N215">
            <v>9.1966759002770085E-2</v>
          </cell>
          <cell r="O215">
            <v>0</v>
          </cell>
          <cell r="P215">
            <v>0</v>
          </cell>
          <cell r="Q215">
            <v>0</v>
          </cell>
          <cell r="R215">
            <v>9.1966759002770085E-2</v>
          </cell>
          <cell r="S215">
            <v>0</v>
          </cell>
          <cell r="T215">
            <v>0</v>
          </cell>
          <cell r="U215">
            <v>0</v>
          </cell>
          <cell r="V215">
            <v>9.1966759002770085E-2</v>
          </cell>
          <cell r="W215">
            <v>0</v>
          </cell>
          <cell r="X215">
            <v>0</v>
          </cell>
          <cell r="Y215">
            <v>0</v>
          </cell>
          <cell r="Z215">
            <v>9.1966759002770085E-2</v>
          </cell>
          <cell r="AA215">
            <v>0</v>
          </cell>
          <cell r="AB215">
            <v>0</v>
          </cell>
          <cell r="AC215">
            <v>0</v>
          </cell>
          <cell r="AD215">
            <v>9.1966759002770085E-2</v>
          </cell>
          <cell r="AE215">
            <v>0</v>
          </cell>
          <cell r="AF215">
            <v>0</v>
          </cell>
          <cell r="AG215">
            <v>0</v>
          </cell>
          <cell r="AH215">
            <v>9.1966759002770085E-2</v>
          </cell>
          <cell r="AI215">
            <v>0</v>
          </cell>
          <cell r="AJ215">
            <v>0</v>
          </cell>
          <cell r="AK215">
            <v>0</v>
          </cell>
          <cell r="AL215">
            <v>9.1966759002770085E-2</v>
          </cell>
          <cell r="AM215">
            <v>0</v>
          </cell>
          <cell r="AN215">
            <v>0</v>
          </cell>
          <cell r="AO215">
            <v>0</v>
          </cell>
          <cell r="AP215">
            <v>9.1966759002770085E-2</v>
          </cell>
          <cell r="AQ215">
            <v>0</v>
          </cell>
          <cell r="AR215">
            <v>0</v>
          </cell>
          <cell r="AS215">
            <v>0</v>
          </cell>
          <cell r="AT215">
            <v>9.1966759002770085E-2</v>
          </cell>
          <cell r="AU215">
            <v>0</v>
          </cell>
          <cell r="AV215">
            <v>0</v>
          </cell>
          <cell r="AW215">
            <v>0</v>
          </cell>
        </row>
        <row r="216">
          <cell r="A216" t="str">
            <v>Doubletree Club</v>
          </cell>
          <cell r="B216">
            <v>6.0941828254847646E-2</v>
          </cell>
          <cell r="C216">
            <v>0</v>
          </cell>
          <cell r="D216">
            <v>0</v>
          </cell>
          <cell r="E216">
            <v>0</v>
          </cell>
          <cell r="F216">
            <v>6.0941828254847646E-2</v>
          </cell>
          <cell r="G216">
            <v>0</v>
          </cell>
          <cell r="H216">
            <v>0</v>
          </cell>
          <cell r="I216">
            <v>0</v>
          </cell>
          <cell r="J216">
            <v>6.0941828254847646E-2</v>
          </cell>
          <cell r="K216">
            <v>0</v>
          </cell>
          <cell r="L216">
            <v>0</v>
          </cell>
          <cell r="M216">
            <v>0</v>
          </cell>
          <cell r="N216">
            <v>6.0941828254847646E-2</v>
          </cell>
          <cell r="O216">
            <v>0</v>
          </cell>
          <cell r="P216">
            <v>0</v>
          </cell>
          <cell r="Q216">
            <v>0</v>
          </cell>
          <cell r="R216">
            <v>6.0941828254847646E-2</v>
          </cell>
          <cell r="S216">
            <v>0</v>
          </cell>
          <cell r="T216">
            <v>0</v>
          </cell>
          <cell r="U216">
            <v>0</v>
          </cell>
          <cell r="V216">
            <v>6.0941828254847646E-2</v>
          </cell>
          <cell r="W216">
            <v>0</v>
          </cell>
          <cell r="X216">
            <v>0</v>
          </cell>
          <cell r="Y216">
            <v>0</v>
          </cell>
          <cell r="Z216">
            <v>6.0941828254847646E-2</v>
          </cell>
          <cell r="AA216">
            <v>0</v>
          </cell>
          <cell r="AB216">
            <v>0</v>
          </cell>
          <cell r="AC216">
            <v>0</v>
          </cell>
          <cell r="AD216">
            <v>6.0941828254847646E-2</v>
          </cell>
          <cell r="AE216">
            <v>0</v>
          </cell>
          <cell r="AF216">
            <v>0</v>
          </cell>
          <cell r="AG216">
            <v>0</v>
          </cell>
          <cell r="AH216">
            <v>6.0941828254847646E-2</v>
          </cell>
          <cell r="AI216">
            <v>0</v>
          </cell>
          <cell r="AJ216">
            <v>0</v>
          </cell>
          <cell r="AK216">
            <v>0</v>
          </cell>
          <cell r="AL216">
            <v>6.0941828254847646E-2</v>
          </cell>
          <cell r="AM216">
            <v>0</v>
          </cell>
          <cell r="AN216">
            <v>0</v>
          </cell>
          <cell r="AO216">
            <v>0</v>
          </cell>
          <cell r="AP216">
            <v>6.0941828254847646E-2</v>
          </cell>
          <cell r="AQ216">
            <v>0</v>
          </cell>
          <cell r="AR216">
            <v>0</v>
          </cell>
          <cell r="AS216">
            <v>0</v>
          </cell>
          <cell r="AT216">
            <v>6.0941828254847646E-2</v>
          </cell>
          <cell r="AU216">
            <v>0</v>
          </cell>
          <cell r="AV216">
            <v>0</v>
          </cell>
          <cell r="AW216">
            <v>0</v>
          </cell>
        </row>
        <row r="217">
          <cell r="A217" t="str">
            <v>La Quinta</v>
          </cell>
          <cell r="B217">
            <v>3.9889196675900275E-2</v>
          </cell>
          <cell r="C217">
            <v>0</v>
          </cell>
          <cell r="D217">
            <v>0</v>
          </cell>
          <cell r="E217">
            <v>0</v>
          </cell>
          <cell r="F217">
            <v>3.9889196675900275E-2</v>
          </cell>
          <cell r="G217">
            <v>0</v>
          </cell>
          <cell r="H217">
            <v>0</v>
          </cell>
          <cell r="I217">
            <v>0</v>
          </cell>
          <cell r="J217">
            <v>3.9889196675900275E-2</v>
          </cell>
          <cell r="K217">
            <v>0</v>
          </cell>
          <cell r="L217">
            <v>0</v>
          </cell>
          <cell r="M217">
            <v>0</v>
          </cell>
          <cell r="N217">
            <v>3.9889196675900275E-2</v>
          </cell>
          <cell r="O217">
            <v>0</v>
          </cell>
          <cell r="P217">
            <v>0</v>
          </cell>
          <cell r="Q217">
            <v>0</v>
          </cell>
          <cell r="R217">
            <v>3.9889196675900275E-2</v>
          </cell>
          <cell r="S217">
            <v>0</v>
          </cell>
          <cell r="T217">
            <v>0</v>
          </cell>
          <cell r="U217">
            <v>0</v>
          </cell>
          <cell r="V217">
            <v>3.9889196675900275E-2</v>
          </cell>
          <cell r="W217">
            <v>0</v>
          </cell>
          <cell r="X217">
            <v>0</v>
          </cell>
          <cell r="Y217">
            <v>0</v>
          </cell>
          <cell r="Z217">
            <v>3.9889196675900275E-2</v>
          </cell>
          <cell r="AA217">
            <v>0</v>
          </cell>
          <cell r="AB217">
            <v>0</v>
          </cell>
          <cell r="AC217">
            <v>0</v>
          </cell>
          <cell r="AD217">
            <v>3.9889196675900275E-2</v>
          </cell>
          <cell r="AE217">
            <v>0</v>
          </cell>
          <cell r="AF217">
            <v>0</v>
          </cell>
          <cell r="AG217">
            <v>0</v>
          </cell>
          <cell r="AH217">
            <v>3.9889196675900275E-2</v>
          </cell>
          <cell r="AI217">
            <v>0</v>
          </cell>
          <cell r="AJ217">
            <v>0</v>
          </cell>
          <cell r="AK217">
            <v>0</v>
          </cell>
          <cell r="AL217">
            <v>3.9889196675900275E-2</v>
          </cell>
          <cell r="AM217">
            <v>0</v>
          </cell>
          <cell r="AN217">
            <v>0</v>
          </cell>
          <cell r="AO217">
            <v>0</v>
          </cell>
          <cell r="AP217">
            <v>3.9889196675900275E-2</v>
          </cell>
          <cell r="AQ217">
            <v>0</v>
          </cell>
          <cell r="AR217">
            <v>0</v>
          </cell>
          <cell r="AS217">
            <v>0</v>
          </cell>
          <cell r="AT217">
            <v>3.9889196675900275E-2</v>
          </cell>
          <cell r="AU217">
            <v>0</v>
          </cell>
          <cell r="AV217">
            <v>0</v>
          </cell>
          <cell r="AW217">
            <v>0</v>
          </cell>
        </row>
        <row r="218">
          <cell r="A218" t="str">
            <v>Comp8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</row>
        <row r="219">
          <cell r="A219" t="str">
            <v>Comp9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A220" t="str">
            <v>Comp10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</row>
        <row r="221">
          <cell r="A221" t="str">
            <v>Comp11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</row>
        <row r="222">
          <cell r="A222" t="str">
            <v>Comp12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A223" t="str">
            <v>Comp13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A224" t="str">
            <v>Comp14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A225" t="str">
            <v>Comp15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A226" t="str">
            <v>Comp16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</row>
        <row r="227">
          <cell r="A227" t="str">
            <v>Comp17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A228" t="str">
            <v>Comp18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A229" t="str">
            <v>Comp19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A230" t="str">
            <v>Comp20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A231" t="str">
            <v>Comp21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A232" t="str">
            <v>Comp22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A233" t="str">
            <v>Comp23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A234" t="str">
            <v>Comp24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</row>
        <row r="235">
          <cell r="A235" t="str">
            <v>Comp25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A236" t="str">
            <v>Addition/Deletion 1</v>
          </cell>
          <cell r="B236">
            <v>0</v>
          </cell>
          <cell r="C236">
            <v>1</v>
          </cell>
          <cell r="D236">
            <v>0</v>
          </cell>
          <cell r="E236">
            <v>0</v>
          </cell>
          <cell r="F236">
            <v>0</v>
          </cell>
          <cell r="G236">
            <v>1</v>
          </cell>
          <cell r="H236">
            <v>0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0</v>
          </cell>
          <cell r="N236">
            <v>0</v>
          </cell>
          <cell r="O236">
            <v>1</v>
          </cell>
          <cell r="P236">
            <v>0</v>
          </cell>
          <cell r="Q236">
            <v>0</v>
          </cell>
          <cell r="R236">
            <v>0</v>
          </cell>
          <cell r="S236">
            <v>1</v>
          </cell>
          <cell r="T236">
            <v>0</v>
          </cell>
          <cell r="U236">
            <v>0</v>
          </cell>
          <cell r="V236">
            <v>0</v>
          </cell>
          <cell r="W236">
            <v>1</v>
          </cell>
          <cell r="X236">
            <v>0</v>
          </cell>
          <cell r="Y236">
            <v>0</v>
          </cell>
          <cell r="Z236">
            <v>0</v>
          </cell>
          <cell r="AA236">
            <v>1</v>
          </cell>
          <cell r="AB236">
            <v>0</v>
          </cell>
          <cell r="AC236">
            <v>0</v>
          </cell>
          <cell r="AD236">
            <v>0</v>
          </cell>
          <cell r="AE236">
            <v>1</v>
          </cell>
          <cell r="AF236">
            <v>0</v>
          </cell>
          <cell r="AG236">
            <v>0</v>
          </cell>
          <cell r="AH236">
            <v>0</v>
          </cell>
          <cell r="AI236">
            <v>1</v>
          </cell>
          <cell r="AJ236">
            <v>0</v>
          </cell>
          <cell r="AK236">
            <v>0</v>
          </cell>
          <cell r="AL236">
            <v>0</v>
          </cell>
          <cell r="AM236">
            <v>1</v>
          </cell>
          <cell r="AN236">
            <v>0</v>
          </cell>
          <cell r="AO236">
            <v>0</v>
          </cell>
          <cell r="AP236">
            <v>0</v>
          </cell>
          <cell r="AQ236">
            <v>1</v>
          </cell>
          <cell r="AR236">
            <v>0</v>
          </cell>
          <cell r="AS236">
            <v>0</v>
          </cell>
          <cell r="AT236">
            <v>0</v>
          </cell>
          <cell r="AU236">
            <v>1</v>
          </cell>
          <cell r="AV236">
            <v>0</v>
          </cell>
          <cell r="AW236">
            <v>0</v>
          </cell>
        </row>
        <row r="237">
          <cell r="A237" t="str">
            <v>Addition/Deletion 2</v>
          </cell>
          <cell r="B237">
            <v>0</v>
          </cell>
          <cell r="C237">
            <v>1</v>
          </cell>
          <cell r="D237">
            <v>0</v>
          </cell>
          <cell r="E237">
            <v>0</v>
          </cell>
          <cell r="F237">
            <v>0</v>
          </cell>
          <cell r="G237">
            <v>1</v>
          </cell>
          <cell r="H237">
            <v>0</v>
          </cell>
          <cell r="I237">
            <v>0</v>
          </cell>
          <cell r="J237">
            <v>0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1</v>
          </cell>
          <cell r="P237">
            <v>0</v>
          </cell>
          <cell r="Q237">
            <v>0</v>
          </cell>
          <cell r="R237">
            <v>0</v>
          </cell>
          <cell r="S237">
            <v>1</v>
          </cell>
          <cell r="T237">
            <v>0</v>
          </cell>
          <cell r="U237">
            <v>0</v>
          </cell>
          <cell r="V237">
            <v>0</v>
          </cell>
          <cell r="W237">
            <v>1</v>
          </cell>
          <cell r="X237">
            <v>0</v>
          </cell>
          <cell r="Y237">
            <v>0</v>
          </cell>
          <cell r="Z237">
            <v>0</v>
          </cell>
          <cell r="AA237">
            <v>1</v>
          </cell>
          <cell r="AB237">
            <v>0</v>
          </cell>
          <cell r="AC237">
            <v>0</v>
          </cell>
          <cell r="AD237">
            <v>0</v>
          </cell>
          <cell r="AE237">
            <v>1</v>
          </cell>
          <cell r="AF237">
            <v>0</v>
          </cell>
          <cell r="AG237">
            <v>0</v>
          </cell>
          <cell r="AH237">
            <v>0</v>
          </cell>
          <cell r="AI237">
            <v>1</v>
          </cell>
          <cell r="AJ237">
            <v>0</v>
          </cell>
          <cell r="AK237">
            <v>0</v>
          </cell>
          <cell r="AL237">
            <v>0</v>
          </cell>
          <cell r="AM237">
            <v>1</v>
          </cell>
          <cell r="AN237">
            <v>0</v>
          </cell>
          <cell r="AO237">
            <v>0</v>
          </cell>
          <cell r="AP237">
            <v>0</v>
          </cell>
          <cell r="AQ237">
            <v>1</v>
          </cell>
          <cell r="AR237">
            <v>0</v>
          </cell>
          <cell r="AS237">
            <v>0</v>
          </cell>
          <cell r="AT237">
            <v>0</v>
          </cell>
          <cell r="AU237">
            <v>1</v>
          </cell>
          <cell r="AV237">
            <v>0</v>
          </cell>
          <cell r="AW237">
            <v>0</v>
          </cell>
        </row>
        <row r="238">
          <cell r="A238" t="str">
            <v>Addition/Deletion 3</v>
          </cell>
          <cell r="B238">
            <v>0</v>
          </cell>
          <cell r="C238">
            <v>1</v>
          </cell>
          <cell r="D238">
            <v>0</v>
          </cell>
          <cell r="E238">
            <v>0</v>
          </cell>
          <cell r="F238">
            <v>0</v>
          </cell>
          <cell r="G238">
            <v>1</v>
          </cell>
          <cell r="H238">
            <v>0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0</v>
          </cell>
          <cell r="N238">
            <v>0</v>
          </cell>
          <cell r="O238">
            <v>1</v>
          </cell>
          <cell r="P238">
            <v>0</v>
          </cell>
          <cell r="Q238">
            <v>0</v>
          </cell>
          <cell r="R238">
            <v>0</v>
          </cell>
          <cell r="S238">
            <v>1</v>
          </cell>
          <cell r="T238">
            <v>0</v>
          </cell>
          <cell r="U238">
            <v>0</v>
          </cell>
          <cell r="V238">
            <v>0</v>
          </cell>
          <cell r="W238">
            <v>1</v>
          </cell>
          <cell r="X238">
            <v>0</v>
          </cell>
          <cell r="Y238">
            <v>0</v>
          </cell>
          <cell r="Z238">
            <v>0</v>
          </cell>
          <cell r="AA238">
            <v>1</v>
          </cell>
          <cell r="AB238">
            <v>0</v>
          </cell>
          <cell r="AC238">
            <v>0</v>
          </cell>
          <cell r="AD238">
            <v>0</v>
          </cell>
          <cell r="AE238">
            <v>1</v>
          </cell>
          <cell r="AF238">
            <v>0</v>
          </cell>
          <cell r="AG238">
            <v>0</v>
          </cell>
          <cell r="AH238">
            <v>0</v>
          </cell>
          <cell r="AI238">
            <v>1</v>
          </cell>
          <cell r="AJ238">
            <v>0</v>
          </cell>
          <cell r="AK238">
            <v>0</v>
          </cell>
          <cell r="AL238">
            <v>0</v>
          </cell>
          <cell r="AM238">
            <v>1</v>
          </cell>
          <cell r="AN238">
            <v>0</v>
          </cell>
          <cell r="AO238">
            <v>0</v>
          </cell>
          <cell r="AP238">
            <v>0</v>
          </cell>
          <cell r="AQ238">
            <v>1</v>
          </cell>
          <cell r="AR238">
            <v>0</v>
          </cell>
          <cell r="AS238">
            <v>0</v>
          </cell>
          <cell r="AT238">
            <v>0</v>
          </cell>
          <cell r="AU238">
            <v>1</v>
          </cell>
          <cell r="AV238">
            <v>0</v>
          </cell>
          <cell r="AW238">
            <v>0</v>
          </cell>
        </row>
        <row r="239">
          <cell r="A239" t="str">
            <v>Addition/Deletion 4</v>
          </cell>
          <cell r="B239">
            <v>0</v>
          </cell>
          <cell r="C239">
            <v>1</v>
          </cell>
          <cell r="D239">
            <v>0</v>
          </cell>
          <cell r="E239">
            <v>0</v>
          </cell>
          <cell r="F239">
            <v>0</v>
          </cell>
          <cell r="G239">
            <v>1</v>
          </cell>
          <cell r="H239">
            <v>0</v>
          </cell>
          <cell r="I239">
            <v>0</v>
          </cell>
          <cell r="J239">
            <v>0</v>
          </cell>
          <cell r="K239">
            <v>1</v>
          </cell>
          <cell r="L239">
            <v>0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S239">
            <v>1</v>
          </cell>
          <cell r="T239">
            <v>0</v>
          </cell>
          <cell r="U239">
            <v>0</v>
          </cell>
          <cell r="V239">
            <v>0</v>
          </cell>
          <cell r="W239">
            <v>1</v>
          </cell>
          <cell r="X239">
            <v>0</v>
          </cell>
          <cell r="Y239">
            <v>0</v>
          </cell>
          <cell r="Z239">
            <v>0</v>
          </cell>
          <cell r="AA239">
            <v>1</v>
          </cell>
          <cell r="AB239">
            <v>0</v>
          </cell>
          <cell r="AC239">
            <v>0</v>
          </cell>
          <cell r="AD239">
            <v>0</v>
          </cell>
          <cell r="AE239">
            <v>1</v>
          </cell>
          <cell r="AF239">
            <v>0</v>
          </cell>
          <cell r="AG239">
            <v>0</v>
          </cell>
          <cell r="AH239">
            <v>0</v>
          </cell>
          <cell r="AI239">
            <v>1</v>
          </cell>
          <cell r="AJ239">
            <v>0</v>
          </cell>
          <cell r="AK239">
            <v>0</v>
          </cell>
          <cell r="AL239">
            <v>0</v>
          </cell>
          <cell r="AM239">
            <v>1</v>
          </cell>
          <cell r="AN239">
            <v>0</v>
          </cell>
          <cell r="AO239">
            <v>0</v>
          </cell>
          <cell r="AP239">
            <v>0</v>
          </cell>
          <cell r="AQ239">
            <v>1</v>
          </cell>
          <cell r="AR239">
            <v>0</v>
          </cell>
          <cell r="AS239">
            <v>0</v>
          </cell>
          <cell r="AT239">
            <v>0</v>
          </cell>
          <cell r="AU239">
            <v>1</v>
          </cell>
          <cell r="AV239">
            <v>0</v>
          </cell>
          <cell r="AW239">
            <v>0</v>
          </cell>
        </row>
        <row r="240">
          <cell r="A240" t="str">
            <v>Addition/Deletion 5</v>
          </cell>
          <cell r="B240">
            <v>0</v>
          </cell>
          <cell r="C240">
            <v>1</v>
          </cell>
          <cell r="D240">
            <v>0</v>
          </cell>
          <cell r="E240">
            <v>0</v>
          </cell>
          <cell r="F240">
            <v>0</v>
          </cell>
          <cell r="G240">
            <v>1</v>
          </cell>
          <cell r="H240">
            <v>0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S240">
            <v>1</v>
          </cell>
          <cell r="T240">
            <v>0</v>
          </cell>
          <cell r="U240">
            <v>0</v>
          </cell>
          <cell r="V240">
            <v>0</v>
          </cell>
          <cell r="W240">
            <v>1</v>
          </cell>
          <cell r="X240">
            <v>0</v>
          </cell>
          <cell r="Y240">
            <v>0</v>
          </cell>
          <cell r="Z240">
            <v>0</v>
          </cell>
          <cell r="AA240">
            <v>1</v>
          </cell>
          <cell r="AB240">
            <v>0</v>
          </cell>
          <cell r="AC240">
            <v>0</v>
          </cell>
          <cell r="AD240">
            <v>0</v>
          </cell>
          <cell r="AE240">
            <v>1</v>
          </cell>
          <cell r="AF240">
            <v>0</v>
          </cell>
          <cell r="AG240">
            <v>0</v>
          </cell>
          <cell r="AH240">
            <v>0</v>
          </cell>
          <cell r="AI240">
            <v>1</v>
          </cell>
          <cell r="AJ240">
            <v>0</v>
          </cell>
          <cell r="AK240">
            <v>0</v>
          </cell>
          <cell r="AL240">
            <v>0</v>
          </cell>
          <cell r="AM240">
            <v>1</v>
          </cell>
          <cell r="AN240">
            <v>0</v>
          </cell>
          <cell r="AO240">
            <v>0</v>
          </cell>
          <cell r="AP240">
            <v>0</v>
          </cell>
          <cell r="AQ240">
            <v>1</v>
          </cell>
          <cell r="AR240">
            <v>0</v>
          </cell>
          <cell r="AS240">
            <v>0</v>
          </cell>
          <cell r="AT240">
            <v>0</v>
          </cell>
          <cell r="AU240">
            <v>1</v>
          </cell>
          <cell r="AV240">
            <v>0</v>
          </cell>
          <cell r="AW240">
            <v>0</v>
          </cell>
        </row>
        <row r="241">
          <cell r="A241" t="str">
            <v>Total</v>
          </cell>
          <cell r="B241">
            <v>1</v>
          </cell>
          <cell r="C241">
            <v>0</v>
          </cell>
          <cell r="D241">
            <v>0</v>
          </cell>
          <cell r="E241">
            <v>0</v>
          </cell>
          <cell r="F241">
            <v>1</v>
          </cell>
          <cell r="G241">
            <v>0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1</v>
          </cell>
          <cell r="O241">
            <v>0</v>
          </cell>
          <cell r="P241">
            <v>0</v>
          </cell>
          <cell r="Q241">
            <v>0</v>
          </cell>
          <cell r="R241">
            <v>1</v>
          </cell>
          <cell r="S241">
            <v>0</v>
          </cell>
          <cell r="T241">
            <v>0</v>
          </cell>
          <cell r="U241">
            <v>0</v>
          </cell>
          <cell r="V241">
            <v>1</v>
          </cell>
          <cell r="W241">
            <v>0</v>
          </cell>
          <cell r="X241">
            <v>0</v>
          </cell>
          <cell r="Y241">
            <v>0</v>
          </cell>
          <cell r="Z241">
            <v>1</v>
          </cell>
          <cell r="AA241">
            <v>0</v>
          </cell>
          <cell r="AB241">
            <v>0</v>
          </cell>
          <cell r="AC241">
            <v>0</v>
          </cell>
          <cell r="AD241">
            <v>1</v>
          </cell>
          <cell r="AE241">
            <v>0</v>
          </cell>
          <cell r="AF241">
            <v>0</v>
          </cell>
          <cell r="AG241">
            <v>0</v>
          </cell>
          <cell r="AH241">
            <v>1</v>
          </cell>
          <cell r="AI241">
            <v>0</v>
          </cell>
          <cell r="AJ241">
            <v>0</v>
          </cell>
          <cell r="AK241">
            <v>0</v>
          </cell>
          <cell r="AL241">
            <v>1</v>
          </cell>
          <cell r="AM241">
            <v>0</v>
          </cell>
          <cell r="AN241">
            <v>0</v>
          </cell>
          <cell r="AO241">
            <v>0</v>
          </cell>
          <cell r="AP241">
            <v>1</v>
          </cell>
          <cell r="AQ241">
            <v>0</v>
          </cell>
          <cell r="AR241">
            <v>0</v>
          </cell>
          <cell r="AS241">
            <v>0</v>
          </cell>
          <cell r="AT241">
            <v>1</v>
          </cell>
          <cell r="AU241">
            <v>0</v>
          </cell>
          <cell r="AV241">
            <v>0</v>
          </cell>
          <cell r="AW241">
            <v>0</v>
          </cell>
        </row>
        <row r="244">
          <cell r="A244" t="str">
            <v>Not Used</v>
          </cell>
          <cell r="B244" t="str">
            <v>2002(Historical)</v>
          </cell>
          <cell r="C244">
            <v>0</v>
          </cell>
          <cell r="D244">
            <v>0</v>
          </cell>
          <cell r="E244">
            <v>0</v>
          </cell>
          <cell r="F244">
            <v>2004</v>
          </cell>
          <cell r="G244">
            <v>0</v>
          </cell>
          <cell r="H244">
            <v>0</v>
          </cell>
          <cell r="I244">
            <v>0</v>
          </cell>
          <cell r="J244">
            <v>2005</v>
          </cell>
          <cell r="K244">
            <v>0</v>
          </cell>
          <cell r="L244">
            <v>0</v>
          </cell>
          <cell r="M244">
            <v>0</v>
          </cell>
          <cell r="N244">
            <v>2006</v>
          </cell>
          <cell r="O244">
            <v>0</v>
          </cell>
          <cell r="P244">
            <v>0</v>
          </cell>
          <cell r="Q244">
            <v>0</v>
          </cell>
          <cell r="R244">
            <v>2007</v>
          </cell>
          <cell r="S244">
            <v>0</v>
          </cell>
          <cell r="T244">
            <v>0</v>
          </cell>
          <cell r="U244">
            <v>0</v>
          </cell>
          <cell r="V244">
            <v>2008</v>
          </cell>
          <cell r="W244">
            <v>0</v>
          </cell>
          <cell r="X244">
            <v>0</v>
          </cell>
          <cell r="Y244">
            <v>0</v>
          </cell>
          <cell r="Z244">
            <v>2009</v>
          </cell>
          <cell r="AA244">
            <v>0</v>
          </cell>
          <cell r="AB244">
            <v>0</v>
          </cell>
          <cell r="AC244">
            <v>0</v>
          </cell>
          <cell r="AD244">
            <v>2010</v>
          </cell>
          <cell r="AE244">
            <v>0</v>
          </cell>
          <cell r="AF244">
            <v>0</v>
          </cell>
          <cell r="AG244">
            <v>0</v>
          </cell>
          <cell r="AH244">
            <v>2011</v>
          </cell>
          <cell r="AI244">
            <v>0</v>
          </cell>
          <cell r="AJ244">
            <v>0</v>
          </cell>
          <cell r="AK244">
            <v>0</v>
          </cell>
          <cell r="AL244">
            <v>2012</v>
          </cell>
          <cell r="AM244">
            <v>0</v>
          </cell>
          <cell r="AN244">
            <v>0</v>
          </cell>
          <cell r="AO244">
            <v>0</v>
          </cell>
          <cell r="AP244">
            <v>2013</v>
          </cell>
          <cell r="AQ244">
            <v>0</v>
          </cell>
          <cell r="AR244">
            <v>0</v>
          </cell>
          <cell r="AS244">
            <v>0</v>
          </cell>
          <cell r="AT244">
            <v>2014</v>
          </cell>
        </row>
        <row r="245">
          <cell r="A245" t="str">
            <v>Property</v>
          </cell>
          <cell r="B245" t="str">
            <v>Fair Share</v>
          </cell>
          <cell r="C245" t="str">
            <v>Penetration</v>
          </cell>
          <cell r="D245" t="str">
            <v>Mkt. Share</v>
          </cell>
          <cell r="E245" t="str">
            <v>Rmnights</v>
          </cell>
          <cell r="F245" t="str">
            <v>Fair Share</v>
          </cell>
          <cell r="G245" t="str">
            <v>Penetration</v>
          </cell>
          <cell r="H245" t="str">
            <v>Mkt. Share</v>
          </cell>
          <cell r="I245" t="str">
            <v>Rmnights</v>
          </cell>
          <cell r="J245" t="str">
            <v>Fair Share</v>
          </cell>
          <cell r="K245" t="str">
            <v>Penetration</v>
          </cell>
          <cell r="L245" t="str">
            <v>Mkt. Share</v>
          </cell>
          <cell r="M245" t="str">
            <v>Rmnights</v>
          </cell>
          <cell r="N245" t="str">
            <v>Fair Share</v>
          </cell>
          <cell r="O245" t="str">
            <v>Penetration</v>
          </cell>
          <cell r="P245" t="str">
            <v>Mkt. Share</v>
          </cell>
          <cell r="Q245" t="str">
            <v>Rmnights</v>
          </cell>
          <cell r="R245" t="str">
            <v>Fair Share</v>
          </cell>
          <cell r="S245" t="str">
            <v>Penetration</v>
          </cell>
          <cell r="T245" t="str">
            <v>Mkt. Share</v>
          </cell>
          <cell r="U245" t="str">
            <v>Rmnights</v>
          </cell>
          <cell r="V245" t="str">
            <v>Fair Share</v>
          </cell>
          <cell r="W245" t="str">
            <v>Penetration</v>
          </cell>
          <cell r="X245" t="str">
            <v>Mkt. Share</v>
          </cell>
          <cell r="Y245" t="str">
            <v>Rmnights</v>
          </cell>
          <cell r="Z245" t="str">
            <v>Fair Share</v>
          </cell>
          <cell r="AA245" t="str">
            <v>Penetration</v>
          </cell>
          <cell r="AB245" t="str">
            <v>Mkt. Share</v>
          </cell>
          <cell r="AC245" t="str">
            <v>Rmnights</v>
          </cell>
          <cell r="AD245" t="str">
            <v>Fair Share</v>
          </cell>
          <cell r="AE245" t="str">
            <v>Penetration</v>
          </cell>
          <cell r="AF245" t="str">
            <v>Mkt. Share</v>
          </cell>
          <cell r="AG245" t="str">
            <v>Rmnights</v>
          </cell>
          <cell r="AH245" t="str">
            <v>Fair Share</v>
          </cell>
          <cell r="AI245" t="str">
            <v>Penetration</v>
          </cell>
          <cell r="AJ245" t="str">
            <v>Mkt. Share</v>
          </cell>
          <cell r="AK245" t="str">
            <v>Rmnights</v>
          </cell>
          <cell r="AL245" t="str">
            <v>Fair Share</v>
          </cell>
          <cell r="AM245" t="str">
            <v>Penetration</v>
          </cell>
          <cell r="AN245" t="str">
            <v>Mkt. Share</v>
          </cell>
          <cell r="AO245" t="str">
            <v>Rmnights</v>
          </cell>
          <cell r="AP245" t="str">
            <v>Fair Share</v>
          </cell>
          <cell r="AQ245" t="str">
            <v>Penetration</v>
          </cell>
          <cell r="AR245" t="str">
            <v>Mkt. Share</v>
          </cell>
          <cell r="AS245" t="str">
            <v>Rmnights</v>
          </cell>
          <cell r="AT245" t="str">
            <v>Fair Share</v>
          </cell>
          <cell r="AU245" t="str">
            <v>Penetration</v>
          </cell>
          <cell r="AV245" t="str">
            <v>Mkt. Share</v>
          </cell>
          <cell r="AW245" t="str">
            <v>Rmnights</v>
          </cell>
        </row>
        <row r="246">
          <cell r="A246" t="str">
            <v>Sheraton JFK</v>
          </cell>
          <cell r="B246">
            <v>0.10193905817174516</v>
          </cell>
          <cell r="C246">
            <v>0</v>
          </cell>
          <cell r="D246">
            <v>0</v>
          </cell>
          <cell r="E246">
            <v>0</v>
          </cell>
          <cell r="F246">
            <v>0.10193905817174516</v>
          </cell>
          <cell r="G246">
            <v>0</v>
          </cell>
          <cell r="H246">
            <v>0</v>
          </cell>
          <cell r="I246">
            <v>0</v>
          </cell>
          <cell r="J246">
            <v>0.10193905817174516</v>
          </cell>
          <cell r="K246">
            <v>0</v>
          </cell>
          <cell r="L246">
            <v>0</v>
          </cell>
          <cell r="M246">
            <v>0</v>
          </cell>
          <cell r="N246">
            <v>0.10193905817174516</v>
          </cell>
          <cell r="O246">
            <v>0</v>
          </cell>
          <cell r="P246">
            <v>0</v>
          </cell>
          <cell r="Q246">
            <v>0</v>
          </cell>
          <cell r="R246">
            <v>0.10193905817174516</v>
          </cell>
          <cell r="S246">
            <v>0</v>
          </cell>
          <cell r="T246">
            <v>0</v>
          </cell>
          <cell r="U246">
            <v>0</v>
          </cell>
          <cell r="V246">
            <v>0.10193905817174516</v>
          </cell>
          <cell r="W246">
            <v>0</v>
          </cell>
          <cell r="X246">
            <v>0</v>
          </cell>
          <cell r="Y246">
            <v>0</v>
          </cell>
          <cell r="Z246">
            <v>0.10193905817174516</v>
          </cell>
          <cell r="AA246">
            <v>0</v>
          </cell>
          <cell r="AB246">
            <v>0</v>
          </cell>
          <cell r="AC246">
            <v>0</v>
          </cell>
          <cell r="AD246">
            <v>0.10193905817174516</v>
          </cell>
          <cell r="AE246">
            <v>0</v>
          </cell>
          <cell r="AF246">
            <v>0</v>
          </cell>
          <cell r="AG246">
            <v>0</v>
          </cell>
          <cell r="AH246">
            <v>0.10193905817174516</v>
          </cell>
          <cell r="AI246">
            <v>0</v>
          </cell>
          <cell r="AJ246">
            <v>0</v>
          </cell>
          <cell r="AK246">
            <v>0</v>
          </cell>
          <cell r="AL246">
            <v>0.10193905817174516</v>
          </cell>
          <cell r="AM246">
            <v>0</v>
          </cell>
          <cell r="AN246">
            <v>0</v>
          </cell>
          <cell r="AO246">
            <v>0</v>
          </cell>
          <cell r="AP246">
            <v>0.10193905817174516</v>
          </cell>
          <cell r="AQ246">
            <v>0</v>
          </cell>
          <cell r="AR246">
            <v>0</v>
          </cell>
          <cell r="AS246">
            <v>0</v>
          </cell>
          <cell r="AT246">
            <v>0.10193905817174516</v>
          </cell>
          <cell r="AU246">
            <v>0</v>
          </cell>
          <cell r="AV246">
            <v>0</v>
          </cell>
          <cell r="AW246">
            <v>0</v>
          </cell>
        </row>
        <row r="247">
          <cell r="A247" t="str">
            <v>Radisson JFK</v>
          </cell>
          <cell r="B247">
            <v>0.21385041551246536</v>
          </cell>
          <cell r="C247">
            <v>0</v>
          </cell>
          <cell r="D247">
            <v>0</v>
          </cell>
          <cell r="E247">
            <v>0</v>
          </cell>
          <cell r="F247">
            <v>0.21385041551246536</v>
          </cell>
          <cell r="G247">
            <v>0</v>
          </cell>
          <cell r="H247">
            <v>0</v>
          </cell>
          <cell r="I247">
            <v>0</v>
          </cell>
          <cell r="J247">
            <v>0.21385041551246536</v>
          </cell>
          <cell r="K247">
            <v>0</v>
          </cell>
          <cell r="L247">
            <v>0</v>
          </cell>
          <cell r="M247">
            <v>0</v>
          </cell>
          <cell r="N247">
            <v>0.21385041551246536</v>
          </cell>
          <cell r="O247">
            <v>0</v>
          </cell>
          <cell r="P247">
            <v>0</v>
          </cell>
          <cell r="Q247">
            <v>0</v>
          </cell>
          <cell r="R247">
            <v>0.21385041551246536</v>
          </cell>
          <cell r="S247">
            <v>0</v>
          </cell>
          <cell r="T247">
            <v>0</v>
          </cell>
          <cell r="U247">
            <v>0</v>
          </cell>
          <cell r="V247">
            <v>0.21385041551246536</v>
          </cell>
          <cell r="W247">
            <v>0</v>
          </cell>
          <cell r="X247">
            <v>0</v>
          </cell>
          <cell r="Y247">
            <v>0</v>
          </cell>
          <cell r="Z247">
            <v>0.21385041551246536</v>
          </cell>
          <cell r="AA247">
            <v>0</v>
          </cell>
          <cell r="AB247">
            <v>0</v>
          </cell>
          <cell r="AC247">
            <v>0</v>
          </cell>
          <cell r="AD247">
            <v>0.21385041551246536</v>
          </cell>
          <cell r="AE247">
            <v>0</v>
          </cell>
          <cell r="AF247">
            <v>0</v>
          </cell>
          <cell r="AG247">
            <v>0</v>
          </cell>
          <cell r="AH247">
            <v>0.21385041551246536</v>
          </cell>
          <cell r="AI247">
            <v>0</v>
          </cell>
          <cell r="AJ247">
            <v>0</v>
          </cell>
          <cell r="AK247">
            <v>0</v>
          </cell>
          <cell r="AL247">
            <v>0.21385041551246536</v>
          </cell>
          <cell r="AM247">
            <v>0</v>
          </cell>
          <cell r="AN247">
            <v>0</v>
          </cell>
          <cell r="AO247">
            <v>0</v>
          </cell>
          <cell r="AP247">
            <v>0.21385041551246536</v>
          </cell>
          <cell r="AQ247">
            <v>0</v>
          </cell>
          <cell r="AR247">
            <v>0</v>
          </cell>
          <cell r="AS247">
            <v>0</v>
          </cell>
          <cell r="AT247">
            <v>0.21385041551246536</v>
          </cell>
          <cell r="AU247">
            <v>0</v>
          </cell>
          <cell r="AV247">
            <v>0</v>
          </cell>
          <cell r="AW247">
            <v>0</v>
          </cell>
        </row>
        <row r="248">
          <cell r="A248" t="str">
            <v>Holiday Inn</v>
          </cell>
          <cell r="B248">
            <v>0.1994459833795014</v>
          </cell>
          <cell r="C248">
            <v>0</v>
          </cell>
          <cell r="D248">
            <v>0</v>
          </cell>
          <cell r="E248">
            <v>0</v>
          </cell>
          <cell r="F248">
            <v>0.1994459833795014</v>
          </cell>
          <cell r="G248">
            <v>0</v>
          </cell>
          <cell r="H248">
            <v>0</v>
          </cell>
          <cell r="I248">
            <v>0</v>
          </cell>
          <cell r="J248">
            <v>0.1994459833795014</v>
          </cell>
          <cell r="K248">
            <v>0</v>
          </cell>
          <cell r="L248">
            <v>0</v>
          </cell>
          <cell r="M248">
            <v>0</v>
          </cell>
          <cell r="N248">
            <v>0.1994459833795014</v>
          </cell>
          <cell r="O248">
            <v>0</v>
          </cell>
          <cell r="P248">
            <v>0</v>
          </cell>
          <cell r="Q248">
            <v>0</v>
          </cell>
          <cell r="R248">
            <v>0.1994459833795014</v>
          </cell>
          <cell r="S248">
            <v>0</v>
          </cell>
          <cell r="T248">
            <v>0</v>
          </cell>
          <cell r="U248">
            <v>0</v>
          </cell>
          <cell r="V248">
            <v>0.1994459833795014</v>
          </cell>
          <cell r="W248">
            <v>0</v>
          </cell>
          <cell r="X248">
            <v>0</v>
          </cell>
          <cell r="Y248">
            <v>0</v>
          </cell>
          <cell r="Z248">
            <v>0.1994459833795014</v>
          </cell>
          <cell r="AA248">
            <v>0</v>
          </cell>
          <cell r="AB248">
            <v>0</v>
          </cell>
          <cell r="AC248">
            <v>0</v>
          </cell>
          <cell r="AD248">
            <v>0.1994459833795014</v>
          </cell>
          <cell r="AE248">
            <v>0</v>
          </cell>
          <cell r="AF248">
            <v>0</v>
          </cell>
          <cell r="AG248">
            <v>0</v>
          </cell>
          <cell r="AH248">
            <v>0.1994459833795014</v>
          </cell>
          <cell r="AI248">
            <v>0</v>
          </cell>
          <cell r="AJ248">
            <v>0</v>
          </cell>
          <cell r="AK248">
            <v>0</v>
          </cell>
          <cell r="AL248">
            <v>0.1994459833795014</v>
          </cell>
          <cell r="AM248">
            <v>0</v>
          </cell>
          <cell r="AN248">
            <v>0</v>
          </cell>
          <cell r="AO248">
            <v>0</v>
          </cell>
          <cell r="AP248">
            <v>0.1994459833795014</v>
          </cell>
          <cell r="AQ248">
            <v>0</v>
          </cell>
          <cell r="AR248">
            <v>0</v>
          </cell>
          <cell r="AS248">
            <v>0</v>
          </cell>
          <cell r="AT248">
            <v>0.1994459833795014</v>
          </cell>
          <cell r="AU248">
            <v>0</v>
          </cell>
          <cell r="AV248">
            <v>0</v>
          </cell>
          <cell r="AW248">
            <v>0</v>
          </cell>
        </row>
        <row r="249">
          <cell r="A249" t="str">
            <v>Ramada Plaza</v>
          </cell>
          <cell r="B249">
            <v>0.17229916897506925</v>
          </cell>
          <cell r="C249">
            <v>0</v>
          </cell>
          <cell r="D249">
            <v>0</v>
          </cell>
          <cell r="E249">
            <v>0</v>
          </cell>
          <cell r="F249">
            <v>0.17229916897506925</v>
          </cell>
          <cell r="G249">
            <v>0</v>
          </cell>
          <cell r="H249">
            <v>0</v>
          </cell>
          <cell r="I249">
            <v>0</v>
          </cell>
          <cell r="J249">
            <v>0.17229916897506925</v>
          </cell>
          <cell r="K249">
            <v>0</v>
          </cell>
          <cell r="L249">
            <v>0</v>
          </cell>
          <cell r="M249">
            <v>0</v>
          </cell>
          <cell r="N249">
            <v>0.17229916897506925</v>
          </cell>
          <cell r="O249">
            <v>0</v>
          </cell>
          <cell r="P249">
            <v>0</v>
          </cell>
          <cell r="Q249">
            <v>0</v>
          </cell>
          <cell r="R249">
            <v>0.17229916897506925</v>
          </cell>
          <cell r="S249">
            <v>0</v>
          </cell>
          <cell r="T249">
            <v>0</v>
          </cell>
          <cell r="U249">
            <v>0</v>
          </cell>
          <cell r="V249">
            <v>0.17229916897506925</v>
          </cell>
          <cell r="W249">
            <v>0</v>
          </cell>
          <cell r="X249">
            <v>0</v>
          </cell>
          <cell r="Y249">
            <v>0</v>
          </cell>
          <cell r="Z249">
            <v>0.17229916897506925</v>
          </cell>
          <cell r="AA249">
            <v>0</v>
          </cell>
          <cell r="AB249">
            <v>0</v>
          </cell>
          <cell r="AC249">
            <v>0</v>
          </cell>
          <cell r="AD249">
            <v>0.17229916897506925</v>
          </cell>
          <cell r="AE249">
            <v>0</v>
          </cell>
          <cell r="AF249">
            <v>0</v>
          </cell>
          <cell r="AG249">
            <v>0</v>
          </cell>
          <cell r="AH249">
            <v>0.17229916897506925</v>
          </cell>
          <cell r="AI249">
            <v>0</v>
          </cell>
          <cell r="AJ249">
            <v>0</v>
          </cell>
          <cell r="AK249">
            <v>0</v>
          </cell>
          <cell r="AL249">
            <v>0.17229916897506925</v>
          </cell>
          <cell r="AM249">
            <v>0</v>
          </cell>
          <cell r="AN249">
            <v>0</v>
          </cell>
          <cell r="AO249">
            <v>0</v>
          </cell>
          <cell r="AP249">
            <v>0.17229916897506925</v>
          </cell>
          <cell r="AQ249">
            <v>0</v>
          </cell>
          <cell r="AR249">
            <v>0</v>
          </cell>
          <cell r="AS249">
            <v>0</v>
          </cell>
          <cell r="AT249">
            <v>0.17229916897506925</v>
          </cell>
          <cell r="AU249">
            <v>0</v>
          </cell>
          <cell r="AV249">
            <v>0</v>
          </cell>
          <cell r="AW249">
            <v>0</v>
          </cell>
        </row>
        <row r="250">
          <cell r="A250" t="str">
            <v xml:space="preserve">Hampton Inn </v>
          </cell>
          <cell r="B250">
            <v>0.11966759002770083</v>
          </cell>
          <cell r="C250">
            <v>0</v>
          </cell>
          <cell r="D250">
            <v>0</v>
          </cell>
          <cell r="E250">
            <v>0</v>
          </cell>
          <cell r="F250">
            <v>0.11966759002770083</v>
          </cell>
          <cell r="G250">
            <v>0</v>
          </cell>
          <cell r="H250">
            <v>0</v>
          </cell>
          <cell r="I250">
            <v>0</v>
          </cell>
          <cell r="J250">
            <v>0.11966759002770083</v>
          </cell>
          <cell r="K250">
            <v>0</v>
          </cell>
          <cell r="L250">
            <v>0</v>
          </cell>
          <cell r="M250">
            <v>0</v>
          </cell>
          <cell r="N250">
            <v>0.11966759002770083</v>
          </cell>
          <cell r="O250">
            <v>0</v>
          </cell>
          <cell r="P250">
            <v>0</v>
          </cell>
          <cell r="Q250">
            <v>0</v>
          </cell>
          <cell r="R250">
            <v>0.11966759002770083</v>
          </cell>
          <cell r="S250">
            <v>0</v>
          </cell>
          <cell r="T250">
            <v>0</v>
          </cell>
          <cell r="U250">
            <v>0</v>
          </cell>
          <cell r="V250">
            <v>0.11966759002770083</v>
          </cell>
          <cell r="W250">
            <v>0</v>
          </cell>
          <cell r="X250">
            <v>0</v>
          </cell>
          <cell r="Y250">
            <v>0</v>
          </cell>
          <cell r="Z250">
            <v>0.11966759002770083</v>
          </cell>
          <cell r="AA250">
            <v>0</v>
          </cell>
          <cell r="AB250">
            <v>0</v>
          </cell>
          <cell r="AC250">
            <v>0</v>
          </cell>
          <cell r="AD250">
            <v>0.11966759002770083</v>
          </cell>
          <cell r="AE250">
            <v>0</v>
          </cell>
          <cell r="AF250">
            <v>0</v>
          </cell>
          <cell r="AG250">
            <v>0</v>
          </cell>
          <cell r="AH250">
            <v>0.11966759002770083</v>
          </cell>
          <cell r="AI250">
            <v>0</v>
          </cell>
          <cell r="AJ250">
            <v>0</v>
          </cell>
          <cell r="AK250">
            <v>0</v>
          </cell>
          <cell r="AL250">
            <v>0.11966759002770083</v>
          </cell>
          <cell r="AM250">
            <v>0</v>
          </cell>
          <cell r="AN250">
            <v>0</v>
          </cell>
          <cell r="AO250">
            <v>0</v>
          </cell>
          <cell r="AP250">
            <v>0.11966759002770083</v>
          </cell>
          <cell r="AQ250">
            <v>0</v>
          </cell>
          <cell r="AR250">
            <v>0</v>
          </cell>
          <cell r="AS250">
            <v>0</v>
          </cell>
          <cell r="AT250">
            <v>0.11966759002770083</v>
          </cell>
          <cell r="AU250">
            <v>0</v>
          </cell>
          <cell r="AV250">
            <v>0</v>
          </cell>
          <cell r="AW250">
            <v>0</v>
          </cell>
        </row>
        <row r="251">
          <cell r="A251" t="str">
            <v>Courtyard by Marriott</v>
          </cell>
          <cell r="B251">
            <v>9.1966759002770085E-2</v>
          </cell>
          <cell r="C251">
            <v>0</v>
          </cell>
          <cell r="D251">
            <v>0</v>
          </cell>
          <cell r="E251">
            <v>0</v>
          </cell>
          <cell r="F251">
            <v>9.1966759002770085E-2</v>
          </cell>
          <cell r="G251">
            <v>0</v>
          </cell>
          <cell r="H251">
            <v>0</v>
          </cell>
          <cell r="I251">
            <v>0</v>
          </cell>
          <cell r="J251">
            <v>9.1966759002770085E-2</v>
          </cell>
          <cell r="K251">
            <v>0</v>
          </cell>
          <cell r="L251">
            <v>0</v>
          </cell>
          <cell r="M251">
            <v>0</v>
          </cell>
          <cell r="N251">
            <v>9.1966759002770085E-2</v>
          </cell>
          <cell r="O251">
            <v>0</v>
          </cell>
          <cell r="P251">
            <v>0</v>
          </cell>
          <cell r="Q251">
            <v>0</v>
          </cell>
          <cell r="R251">
            <v>9.1966759002770085E-2</v>
          </cell>
          <cell r="S251">
            <v>0</v>
          </cell>
          <cell r="T251">
            <v>0</v>
          </cell>
          <cell r="U251">
            <v>0</v>
          </cell>
          <cell r="V251">
            <v>9.1966759002770085E-2</v>
          </cell>
          <cell r="W251">
            <v>0</v>
          </cell>
          <cell r="X251">
            <v>0</v>
          </cell>
          <cell r="Y251">
            <v>0</v>
          </cell>
          <cell r="Z251">
            <v>9.1966759002770085E-2</v>
          </cell>
          <cell r="AA251">
            <v>0</v>
          </cell>
          <cell r="AB251">
            <v>0</v>
          </cell>
          <cell r="AC251">
            <v>0</v>
          </cell>
          <cell r="AD251">
            <v>9.1966759002770085E-2</v>
          </cell>
          <cell r="AE251">
            <v>0</v>
          </cell>
          <cell r="AF251">
            <v>0</v>
          </cell>
          <cell r="AG251">
            <v>0</v>
          </cell>
          <cell r="AH251">
            <v>9.1966759002770085E-2</v>
          </cell>
          <cell r="AI251">
            <v>0</v>
          </cell>
          <cell r="AJ251">
            <v>0</v>
          </cell>
          <cell r="AK251">
            <v>0</v>
          </cell>
          <cell r="AL251">
            <v>9.1966759002770085E-2</v>
          </cell>
          <cell r="AM251">
            <v>0</v>
          </cell>
          <cell r="AN251">
            <v>0</v>
          </cell>
          <cell r="AO251">
            <v>0</v>
          </cell>
          <cell r="AP251">
            <v>9.1966759002770085E-2</v>
          </cell>
          <cell r="AQ251">
            <v>0</v>
          </cell>
          <cell r="AR251">
            <v>0</v>
          </cell>
          <cell r="AS251">
            <v>0</v>
          </cell>
          <cell r="AT251">
            <v>9.1966759002770085E-2</v>
          </cell>
          <cell r="AU251">
            <v>0</v>
          </cell>
          <cell r="AV251">
            <v>0</v>
          </cell>
          <cell r="AW251">
            <v>0</v>
          </cell>
        </row>
        <row r="252">
          <cell r="A252" t="str">
            <v>Doubletree Club</v>
          </cell>
          <cell r="B252">
            <v>6.0941828254847646E-2</v>
          </cell>
          <cell r="C252">
            <v>0</v>
          </cell>
          <cell r="D252">
            <v>0</v>
          </cell>
          <cell r="E252">
            <v>0</v>
          </cell>
          <cell r="F252">
            <v>6.0941828254847646E-2</v>
          </cell>
          <cell r="G252">
            <v>0</v>
          </cell>
          <cell r="H252">
            <v>0</v>
          </cell>
          <cell r="I252">
            <v>0</v>
          </cell>
          <cell r="J252">
            <v>6.0941828254847646E-2</v>
          </cell>
          <cell r="K252">
            <v>0</v>
          </cell>
          <cell r="L252">
            <v>0</v>
          </cell>
          <cell r="M252">
            <v>0</v>
          </cell>
          <cell r="N252">
            <v>6.0941828254847646E-2</v>
          </cell>
          <cell r="O252">
            <v>0</v>
          </cell>
          <cell r="P252">
            <v>0</v>
          </cell>
          <cell r="Q252">
            <v>0</v>
          </cell>
          <cell r="R252">
            <v>6.0941828254847646E-2</v>
          </cell>
          <cell r="S252">
            <v>0</v>
          </cell>
          <cell r="T252">
            <v>0</v>
          </cell>
          <cell r="U252">
            <v>0</v>
          </cell>
          <cell r="V252">
            <v>6.0941828254847646E-2</v>
          </cell>
          <cell r="W252">
            <v>0</v>
          </cell>
          <cell r="X252">
            <v>0</v>
          </cell>
          <cell r="Y252">
            <v>0</v>
          </cell>
          <cell r="Z252">
            <v>6.0941828254847646E-2</v>
          </cell>
          <cell r="AA252">
            <v>0</v>
          </cell>
          <cell r="AB252">
            <v>0</v>
          </cell>
          <cell r="AC252">
            <v>0</v>
          </cell>
          <cell r="AD252">
            <v>6.0941828254847646E-2</v>
          </cell>
          <cell r="AE252">
            <v>0</v>
          </cell>
          <cell r="AF252">
            <v>0</v>
          </cell>
          <cell r="AG252">
            <v>0</v>
          </cell>
          <cell r="AH252">
            <v>6.0941828254847646E-2</v>
          </cell>
          <cell r="AI252">
            <v>0</v>
          </cell>
          <cell r="AJ252">
            <v>0</v>
          </cell>
          <cell r="AK252">
            <v>0</v>
          </cell>
          <cell r="AL252">
            <v>6.0941828254847646E-2</v>
          </cell>
          <cell r="AM252">
            <v>0</v>
          </cell>
          <cell r="AN252">
            <v>0</v>
          </cell>
          <cell r="AO252">
            <v>0</v>
          </cell>
          <cell r="AP252">
            <v>6.0941828254847646E-2</v>
          </cell>
          <cell r="AQ252">
            <v>0</v>
          </cell>
          <cell r="AR252">
            <v>0</v>
          </cell>
          <cell r="AS252">
            <v>0</v>
          </cell>
          <cell r="AT252">
            <v>6.0941828254847646E-2</v>
          </cell>
          <cell r="AU252">
            <v>0</v>
          </cell>
          <cell r="AV252">
            <v>0</v>
          </cell>
          <cell r="AW252">
            <v>0</v>
          </cell>
        </row>
        <row r="253">
          <cell r="A253" t="str">
            <v>La Quinta</v>
          </cell>
          <cell r="B253">
            <v>3.9889196675900275E-2</v>
          </cell>
          <cell r="C253">
            <v>0</v>
          </cell>
          <cell r="D253">
            <v>0</v>
          </cell>
          <cell r="E253">
            <v>0</v>
          </cell>
          <cell r="F253">
            <v>3.9889196675900275E-2</v>
          </cell>
          <cell r="G253">
            <v>0</v>
          </cell>
          <cell r="H253">
            <v>0</v>
          </cell>
          <cell r="I253">
            <v>0</v>
          </cell>
          <cell r="J253">
            <v>3.9889196675900275E-2</v>
          </cell>
          <cell r="K253">
            <v>0</v>
          </cell>
          <cell r="L253">
            <v>0</v>
          </cell>
          <cell r="M253">
            <v>0</v>
          </cell>
          <cell r="N253">
            <v>3.9889196675900275E-2</v>
          </cell>
          <cell r="O253">
            <v>0</v>
          </cell>
          <cell r="P253">
            <v>0</v>
          </cell>
          <cell r="Q253">
            <v>0</v>
          </cell>
          <cell r="R253">
            <v>3.9889196675900275E-2</v>
          </cell>
          <cell r="S253">
            <v>0</v>
          </cell>
          <cell r="T253">
            <v>0</v>
          </cell>
          <cell r="U253">
            <v>0</v>
          </cell>
          <cell r="V253">
            <v>3.9889196675900275E-2</v>
          </cell>
          <cell r="W253">
            <v>0</v>
          </cell>
          <cell r="X253">
            <v>0</v>
          </cell>
          <cell r="Y253">
            <v>0</v>
          </cell>
          <cell r="Z253">
            <v>3.9889196675900275E-2</v>
          </cell>
          <cell r="AA253">
            <v>0</v>
          </cell>
          <cell r="AB253">
            <v>0</v>
          </cell>
          <cell r="AC253">
            <v>0</v>
          </cell>
          <cell r="AD253">
            <v>3.9889196675900275E-2</v>
          </cell>
          <cell r="AE253">
            <v>0</v>
          </cell>
          <cell r="AF253">
            <v>0</v>
          </cell>
          <cell r="AG253">
            <v>0</v>
          </cell>
          <cell r="AH253">
            <v>3.9889196675900275E-2</v>
          </cell>
          <cell r="AI253">
            <v>0</v>
          </cell>
          <cell r="AJ253">
            <v>0</v>
          </cell>
          <cell r="AK253">
            <v>0</v>
          </cell>
          <cell r="AL253">
            <v>3.9889196675900275E-2</v>
          </cell>
          <cell r="AM253">
            <v>0</v>
          </cell>
          <cell r="AN253">
            <v>0</v>
          </cell>
          <cell r="AO253">
            <v>0</v>
          </cell>
          <cell r="AP253">
            <v>3.9889196675900275E-2</v>
          </cell>
          <cell r="AQ253">
            <v>0</v>
          </cell>
          <cell r="AR253">
            <v>0</v>
          </cell>
          <cell r="AS253">
            <v>0</v>
          </cell>
          <cell r="AT253">
            <v>3.9889196675900275E-2</v>
          </cell>
          <cell r="AU253">
            <v>0</v>
          </cell>
          <cell r="AV253">
            <v>0</v>
          </cell>
          <cell r="AW253">
            <v>0</v>
          </cell>
        </row>
        <row r="254">
          <cell r="A254" t="str">
            <v>Comp8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</row>
        <row r="255">
          <cell r="A255" t="str">
            <v>Comp9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A256" t="str">
            <v>Comp10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A257" t="str">
            <v>Comp11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A258" t="str">
            <v>Comp12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A259" t="str">
            <v>Comp13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A260" t="str">
            <v>Comp14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A261" t="str">
            <v>Comp15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A262" t="str">
            <v>Comp16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A263" t="str">
            <v>Comp17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</row>
        <row r="264">
          <cell r="A264" t="str">
            <v>Comp18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A265" t="str">
            <v>Comp19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A266" t="str">
            <v>Comp20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</row>
        <row r="267">
          <cell r="A267" t="str">
            <v>Comp21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A268" t="str">
            <v>Comp22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A269" t="str">
            <v>Comp23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</row>
        <row r="270">
          <cell r="A270" t="str">
            <v>Comp24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A271" t="str">
            <v>Comp25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</row>
        <row r="272">
          <cell r="A272" t="str">
            <v>Addition/Deletion 1</v>
          </cell>
          <cell r="B272">
            <v>0</v>
          </cell>
          <cell r="C272">
            <v>1</v>
          </cell>
          <cell r="D272">
            <v>0</v>
          </cell>
          <cell r="E272">
            <v>0</v>
          </cell>
          <cell r="F272">
            <v>0</v>
          </cell>
          <cell r="G272">
            <v>1</v>
          </cell>
          <cell r="H272">
            <v>0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0</v>
          </cell>
          <cell r="N272">
            <v>0</v>
          </cell>
          <cell r="O272">
            <v>1</v>
          </cell>
          <cell r="P272">
            <v>0</v>
          </cell>
          <cell r="Q272">
            <v>0</v>
          </cell>
          <cell r="R272">
            <v>0</v>
          </cell>
          <cell r="S272">
            <v>1</v>
          </cell>
          <cell r="T272">
            <v>0</v>
          </cell>
          <cell r="U272">
            <v>0</v>
          </cell>
          <cell r="V272">
            <v>0</v>
          </cell>
          <cell r="W272">
            <v>1</v>
          </cell>
          <cell r="X272">
            <v>0</v>
          </cell>
          <cell r="Y272">
            <v>0</v>
          </cell>
          <cell r="Z272">
            <v>0</v>
          </cell>
          <cell r="AA272">
            <v>1</v>
          </cell>
          <cell r="AB272">
            <v>0</v>
          </cell>
          <cell r="AC272">
            <v>0</v>
          </cell>
          <cell r="AD272">
            <v>0</v>
          </cell>
          <cell r="AE272">
            <v>1</v>
          </cell>
          <cell r="AF272">
            <v>0</v>
          </cell>
          <cell r="AG272">
            <v>0</v>
          </cell>
          <cell r="AH272">
            <v>0</v>
          </cell>
          <cell r="AI272">
            <v>1</v>
          </cell>
          <cell r="AJ272">
            <v>0</v>
          </cell>
          <cell r="AK272">
            <v>0</v>
          </cell>
          <cell r="AL272">
            <v>0</v>
          </cell>
          <cell r="AM272">
            <v>1</v>
          </cell>
          <cell r="AN272">
            <v>0</v>
          </cell>
          <cell r="AO272">
            <v>0</v>
          </cell>
          <cell r="AP272">
            <v>0</v>
          </cell>
          <cell r="AQ272">
            <v>1</v>
          </cell>
          <cell r="AR272">
            <v>0</v>
          </cell>
          <cell r="AS272">
            <v>0</v>
          </cell>
          <cell r="AT272">
            <v>0</v>
          </cell>
          <cell r="AU272">
            <v>1</v>
          </cell>
          <cell r="AV272">
            <v>0</v>
          </cell>
          <cell r="AW272">
            <v>0</v>
          </cell>
        </row>
        <row r="273">
          <cell r="A273" t="str">
            <v>Addition/Deletion 2</v>
          </cell>
          <cell r="B273">
            <v>0</v>
          </cell>
          <cell r="C273">
            <v>1</v>
          </cell>
          <cell r="D273">
            <v>0</v>
          </cell>
          <cell r="E273">
            <v>0</v>
          </cell>
          <cell r="F273">
            <v>0</v>
          </cell>
          <cell r="G273">
            <v>1</v>
          </cell>
          <cell r="H273">
            <v>0</v>
          </cell>
          <cell r="I273">
            <v>0</v>
          </cell>
          <cell r="J273">
            <v>0</v>
          </cell>
          <cell r="K273">
            <v>1</v>
          </cell>
          <cell r="L273">
            <v>0</v>
          </cell>
          <cell r="M273">
            <v>0</v>
          </cell>
          <cell r="N273">
            <v>0</v>
          </cell>
          <cell r="O273">
            <v>1</v>
          </cell>
          <cell r="P273">
            <v>0</v>
          </cell>
          <cell r="Q273">
            <v>0</v>
          </cell>
          <cell r="R273">
            <v>0</v>
          </cell>
          <cell r="S273">
            <v>1</v>
          </cell>
          <cell r="T273">
            <v>0</v>
          </cell>
          <cell r="U273">
            <v>0</v>
          </cell>
          <cell r="V273">
            <v>0</v>
          </cell>
          <cell r="W273">
            <v>1</v>
          </cell>
          <cell r="X273">
            <v>0</v>
          </cell>
          <cell r="Y273">
            <v>0</v>
          </cell>
          <cell r="Z273">
            <v>0</v>
          </cell>
          <cell r="AA273">
            <v>1</v>
          </cell>
          <cell r="AB273">
            <v>0</v>
          </cell>
          <cell r="AC273">
            <v>0</v>
          </cell>
          <cell r="AD273">
            <v>0</v>
          </cell>
          <cell r="AE273">
            <v>1</v>
          </cell>
          <cell r="AF273">
            <v>0</v>
          </cell>
          <cell r="AG273">
            <v>0</v>
          </cell>
          <cell r="AH273">
            <v>0</v>
          </cell>
          <cell r="AI273">
            <v>1</v>
          </cell>
          <cell r="AJ273">
            <v>0</v>
          </cell>
          <cell r="AK273">
            <v>0</v>
          </cell>
          <cell r="AL273">
            <v>0</v>
          </cell>
          <cell r="AM273">
            <v>1</v>
          </cell>
          <cell r="AN273">
            <v>0</v>
          </cell>
          <cell r="AO273">
            <v>0</v>
          </cell>
          <cell r="AP273">
            <v>0</v>
          </cell>
          <cell r="AQ273">
            <v>1</v>
          </cell>
          <cell r="AR273">
            <v>0</v>
          </cell>
          <cell r="AS273">
            <v>0</v>
          </cell>
          <cell r="AT273">
            <v>0</v>
          </cell>
          <cell r="AU273">
            <v>1</v>
          </cell>
          <cell r="AV273">
            <v>0</v>
          </cell>
          <cell r="AW273">
            <v>0</v>
          </cell>
        </row>
        <row r="274">
          <cell r="A274" t="str">
            <v>Addition/Deletion 3</v>
          </cell>
          <cell r="B274">
            <v>0</v>
          </cell>
          <cell r="C274">
            <v>1</v>
          </cell>
          <cell r="D274">
            <v>0</v>
          </cell>
          <cell r="E274">
            <v>0</v>
          </cell>
          <cell r="F274">
            <v>0</v>
          </cell>
          <cell r="G274">
            <v>1</v>
          </cell>
          <cell r="H274">
            <v>0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0</v>
          </cell>
          <cell r="N274">
            <v>0</v>
          </cell>
          <cell r="O274">
            <v>1</v>
          </cell>
          <cell r="P274">
            <v>0</v>
          </cell>
          <cell r="Q274">
            <v>0</v>
          </cell>
          <cell r="R274">
            <v>0</v>
          </cell>
          <cell r="S274">
            <v>1</v>
          </cell>
          <cell r="T274">
            <v>0</v>
          </cell>
          <cell r="U274">
            <v>0</v>
          </cell>
          <cell r="V274">
            <v>0</v>
          </cell>
          <cell r="W274">
            <v>1</v>
          </cell>
          <cell r="X274">
            <v>0</v>
          </cell>
          <cell r="Y274">
            <v>0</v>
          </cell>
          <cell r="Z274">
            <v>0</v>
          </cell>
          <cell r="AA274">
            <v>1</v>
          </cell>
          <cell r="AB274">
            <v>0</v>
          </cell>
          <cell r="AC274">
            <v>0</v>
          </cell>
          <cell r="AD274">
            <v>0</v>
          </cell>
          <cell r="AE274">
            <v>1</v>
          </cell>
          <cell r="AF274">
            <v>0</v>
          </cell>
          <cell r="AG274">
            <v>0</v>
          </cell>
          <cell r="AH274">
            <v>0</v>
          </cell>
          <cell r="AI274">
            <v>1</v>
          </cell>
          <cell r="AJ274">
            <v>0</v>
          </cell>
          <cell r="AK274">
            <v>0</v>
          </cell>
          <cell r="AL274">
            <v>0</v>
          </cell>
          <cell r="AM274">
            <v>1</v>
          </cell>
          <cell r="AN274">
            <v>0</v>
          </cell>
          <cell r="AO274">
            <v>0</v>
          </cell>
          <cell r="AP274">
            <v>0</v>
          </cell>
          <cell r="AQ274">
            <v>1</v>
          </cell>
          <cell r="AR274">
            <v>0</v>
          </cell>
          <cell r="AS274">
            <v>0</v>
          </cell>
          <cell r="AT274">
            <v>0</v>
          </cell>
          <cell r="AU274">
            <v>1</v>
          </cell>
          <cell r="AV274">
            <v>0</v>
          </cell>
          <cell r="AW274">
            <v>0</v>
          </cell>
        </row>
        <row r="275">
          <cell r="A275" t="str">
            <v>Addition/Deletion 4</v>
          </cell>
          <cell r="B275">
            <v>0</v>
          </cell>
          <cell r="C275">
            <v>1</v>
          </cell>
          <cell r="D275">
            <v>0</v>
          </cell>
          <cell r="E275">
            <v>0</v>
          </cell>
          <cell r="F275">
            <v>0</v>
          </cell>
          <cell r="G275">
            <v>1</v>
          </cell>
          <cell r="H275">
            <v>0</v>
          </cell>
          <cell r="I275">
            <v>0</v>
          </cell>
          <cell r="J275">
            <v>0</v>
          </cell>
          <cell r="K275">
            <v>1</v>
          </cell>
          <cell r="L275">
            <v>0</v>
          </cell>
          <cell r="M275">
            <v>0</v>
          </cell>
          <cell r="N275">
            <v>0</v>
          </cell>
          <cell r="O275">
            <v>1</v>
          </cell>
          <cell r="P275">
            <v>0</v>
          </cell>
          <cell r="Q275">
            <v>0</v>
          </cell>
          <cell r="R275">
            <v>0</v>
          </cell>
          <cell r="S275">
            <v>1</v>
          </cell>
          <cell r="T275">
            <v>0</v>
          </cell>
          <cell r="U275">
            <v>0</v>
          </cell>
          <cell r="V275">
            <v>0</v>
          </cell>
          <cell r="W275">
            <v>1</v>
          </cell>
          <cell r="X275">
            <v>0</v>
          </cell>
          <cell r="Y275">
            <v>0</v>
          </cell>
          <cell r="Z275">
            <v>0</v>
          </cell>
          <cell r="AA275">
            <v>1</v>
          </cell>
          <cell r="AB275">
            <v>0</v>
          </cell>
          <cell r="AC275">
            <v>0</v>
          </cell>
          <cell r="AD275">
            <v>0</v>
          </cell>
          <cell r="AE275">
            <v>1</v>
          </cell>
          <cell r="AF275">
            <v>0</v>
          </cell>
          <cell r="AG275">
            <v>0</v>
          </cell>
          <cell r="AH275">
            <v>0</v>
          </cell>
          <cell r="AI275">
            <v>1</v>
          </cell>
          <cell r="AJ275">
            <v>0</v>
          </cell>
          <cell r="AK275">
            <v>0</v>
          </cell>
          <cell r="AL275">
            <v>0</v>
          </cell>
          <cell r="AM275">
            <v>1</v>
          </cell>
          <cell r="AN275">
            <v>0</v>
          </cell>
          <cell r="AO275">
            <v>0</v>
          </cell>
          <cell r="AP275">
            <v>0</v>
          </cell>
          <cell r="AQ275">
            <v>1</v>
          </cell>
          <cell r="AR275">
            <v>0</v>
          </cell>
          <cell r="AS275">
            <v>0</v>
          </cell>
          <cell r="AT275">
            <v>0</v>
          </cell>
          <cell r="AU275">
            <v>1</v>
          </cell>
          <cell r="AV275">
            <v>0</v>
          </cell>
          <cell r="AW275">
            <v>0</v>
          </cell>
        </row>
        <row r="276">
          <cell r="A276" t="str">
            <v>Addition/Deletion 5</v>
          </cell>
          <cell r="B276">
            <v>0</v>
          </cell>
          <cell r="C276">
            <v>1</v>
          </cell>
          <cell r="D276">
            <v>0</v>
          </cell>
          <cell r="E276">
            <v>0</v>
          </cell>
          <cell r="F276">
            <v>0</v>
          </cell>
          <cell r="G276">
            <v>1</v>
          </cell>
          <cell r="H276">
            <v>0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0</v>
          </cell>
          <cell r="N276">
            <v>0</v>
          </cell>
          <cell r="O276">
            <v>1</v>
          </cell>
          <cell r="P276">
            <v>0</v>
          </cell>
          <cell r="Q276">
            <v>0</v>
          </cell>
          <cell r="R276">
            <v>0</v>
          </cell>
          <cell r="S276">
            <v>1</v>
          </cell>
          <cell r="T276">
            <v>0</v>
          </cell>
          <cell r="U276">
            <v>0</v>
          </cell>
          <cell r="V276">
            <v>0</v>
          </cell>
          <cell r="W276">
            <v>1</v>
          </cell>
          <cell r="X276">
            <v>0</v>
          </cell>
          <cell r="Y276">
            <v>0</v>
          </cell>
          <cell r="Z276">
            <v>0</v>
          </cell>
          <cell r="AA276">
            <v>1</v>
          </cell>
          <cell r="AB276">
            <v>0</v>
          </cell>
          <cell r="AC276">
            <v>0</v>
          </cell>
          <cell r="AD276">
            <v>0</v>
          </cell>
          <cell r="AE276">
            <v>1</v>
          </cell>
          <cell r="AF276">
            <v>0</v>
          </cell>
          <cell r="AG276">
            <v>0</v>
          </cell>
          <cell r="AH276">
            <v>0</v>
          </cell>
          <cell r="AI276">
            <v>1</v>
          </cell>
          <cell r="AJ276">
            <v>0</v>
          </cell>
          <cell r="AK276">
            <v>0</v>
          </cell>
          <cell r="AL276">
            <v>0</v>
          </cell>
          <cell r="AM276">
            <v>1</v>
          </cell>
          <cell r="AN276">
            <v>0</v>
          </cell>
          <cell r="AO276">
            <v>0</v>
          </cell>
          <cell r="AP276">
            <v>0</v>
          </cell>
          <cell r="AQ276">
            <v>1</v>
          </cell>
          <cell r="AR276">
            <v>0</v>
          </cell>
          <cell r="AS276">
            <v>0</v>
          </cell>
          <cell r="AT276">
            <v>0</v>
          </cell>
          <cell r="AU276">
            <v>1</v>
          </cell>
          <cell r="AV276">
            <v>0</v>
          </cell>
          <cell r="AW276">
            <v>0</v>
          </cell>
        </row>
        <row r="277">
          <cell r="A277" t="str">
            <v>Total</v>
          </cell>
          <cell r="B277">
            <v>1</v>
          </cell>
          <cell r="C277">
            <v>0</v>
          </cell>
          <cell r="D277">
            <v>0</v>
          </cell>
          <cell r="E277">
            <v>0</v>
          </cell>
          <cell r="F277">
            <v>1</v>
          </cell>
          <cell r="G277">
            <v>0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1</v>
          </cell>
          <cell r="O277">
            <v>0</v>
          </cell>
          <cell r="P277">
            <v>0</v>
          </cell>
          <cell r="Q277">
            <v>0</v>
          </cell>
          <cell r="R277">
            <v>1</v>
          </cell>
          <cell r="S277">
            <v>0</v>
          </cell>
          <cell r="T277">
            <v>0</v>
          </cell>
          <cell r="U277">
            <v>0</v>
          </cell>
          <cell r="V277">
            <v>1</v>
          </cell>
          <cell r="W277">
            <v>0</v>
          </cell>
          <cell r="X277">
            <v>0</v>
          </cell>
          <cell r="Y277">
            <v>0</v>
          </cell>
          <cell r="Z277">
            <v>1</v>
          </cell>
          <cell r="AA277">
            <v>0</v>
          </cell>
          <cell r="AB277">
            <v>0</v>
          </cell>
          <cell r="AC277">
            <v>0</v>
          </cell>
          <cell r="AD277">
            <v>1</v>
          </cell>
          <cell r="AE277">
            <v>0</v>
          </cell>
          <cell r="AF277">
            <v>0</v>
          </cell>
          <cell r="AG277">
            <v>0</v>
          </cell>
          <cell r="AH277">
            <v>1</v>
          </cell>
          <cell r="AI277">
            <v>0</v>
          </cell>
          <cell r="AJ277">
            <v>0</v>
          </cell>
          <cell r="AK277">
            <v>0</v>
          </cell>
          <cell r="AL277">
            <v>1</v>
          </cell>
          <cell r="AM277">
            <v>0</v>
          </cell>
          <cell r="AN277">
            <v>0</v>
          </cell>
          <cell r="AO277">
            <v>0</v>
          </cell>
          <cell r="AP277">
            <v>1</v>
          </cell>
          <cell r="AQ277">
            <v>0</v>
          </cell>
          <cell r="AR277">
            <v>0</v>
          </cell>
          <cell r="AS277">
            <v>0</v>
          </cell>
          <cell r="AT277">
            <v>1</v>
          </cell>
          <cell r="AU277">
            <v>0</v>
          </cell>
          <cell r="AV277">
            <v>0</v>
          </cell>
          <cell r="AW277">
            <v>0</v>
          </cell>
        </row>
        <row r="280">
          <cell r="A280" t="str">
            <v>Projected Roomnight Capture</v>
          </cell>
          <cell r="B280">
            <v>2004</v>
          </cell>
          <cell r="C280">
            <v>2005</v>
          </cell>
          <cell r="D280">
            <v>2006</v>
          </cell>
          <cell r="E280">
            <v>2007</v>
          </cell>
          <cell r="F280">
            <v>2008</v>
          </cell>
          <cell r="G280">
            <v>2009</v>
          </cell>
          <cell r="H280">
            <v>2010</v>
          </cell>
          <cell r="I280">
            <v>2011</v>
          </cell>
          <cell r="J280">
            <v>2012</v>
          </cell>
          <cell r="K280">
            <v>2013</v>
          </cell>
          <cell r="L280">
            <v>2014</v>
          </cell>
        </row>
        <row r="281">
          <cell r="A281" t="str">
            <v>Sheraton JFK (Occ.)</v>
          </cell>
          <cell r="B281">
            <v>0.67899983258675967</v>
          </cell>
          <cell r="C281">
            <v>0.67899983258675967</v>
          </cell>
          <cell r="D281">
            <v>0.67899983258675967</v>
          </cell>
          <cell r="E281">
            <v>0.67899983258675967</v>
          </cell>
          <cell r="F281">
            <v>0.67899983258675967</v>
          </cell>
          <cell r="G281">
            <v>0.67899983258675967</v>
          </cell>
          <cell r="H281">
            <v>0.67899983258675967</v>
          </cell>
          <cell r="I281">
            <v>0.67899983258675967</v>
          </cell>
          <cell r="J281">
            <v>0.67899983258675967</v>
          </cell>
          <cell r="K281">
            <v>0.67899983258675967</v>
          </cell>
          <cell r="L281">
            <v>0.67899983258675967</v>
          </cell>
        </row>
        <row r="282">
          <cell r="A282" t="str">
            <v xml:space="preserve">  Transient</v>
          </cell>
          <cell r="B282">
            <v>29641.101800447421</v>
          </cell>
          <cell r="C282">
            <v>29641.101800447421</v>
          </cell>
          <cell r="D282">
            <v>29641.101800447421</v>
          </cell>
          <cell r="E282">
            <v>29641.101800447421</v>
          </cell>
          <cell r="F282">
            <v>29641.101800447421</v>
          </cell>
          <cell r="G282">
            <v>29641.101800447421</v>
          </cell>
          <cell r="H282">
            <v>29641.101800447421</v>
          </cell>
          <cell r="I282">
            <v>29641.101800447421</v>
          </cell>
          <cell r="J282">
            <v>29641.101800447421</v>
          </cell>
          <cell r="K282">
            <v>29641.101800447421</v>
          </cell>
          <cell r="L282">
            <v>29641.101800447421</v>
          </cell>
        </row>
        <row r="283">
          <cell r="A283" t="str">
            <v xml:space="preserve">  Group</v>
          </cell>
          <cell r="B283">
            <v>10032.326321083381</v>
          </cell>
          <cell r="C283">
            <v>10032.326321083381</v>
          </cell>
          <cell r="D283">
            <v>10032.326321083381</v>
          </cell>
          <cell r="E283">
            <v>10032.326321083381</v>
          </cell>
          <cell r="F283">
            <v>10032.326321083381</v>
          </cell>
          <cell r="G283">
            <v>10032.326321083381</v>
          </cell>
          <cell r="H283">
            <v>10032.326321083381</v>
          </cell>
          <cell r="I283">
            <v>10032.326321083381</v>
          </cell>
          <cell r="J283">
            <v>10032.326321083381</v>
          </cell>
          <cell r="K283">
            <v>10032.326321083381</v>
          </cell>
          <cell r="L283">
            <v>10032.326321083381</v>
          </cell>
        </row>
        <row r="284">
          <cell r="A284" t="str">
            <v xml:space="preserve">  Contracted</v>
          </cell>
          <cell r="B284">
            <v>5928.2006349959784</v>
          </cell>
          <cell r="C284">
            <v>5928.2006349959784</v>
          </cell>
          <cell r="D284">
            <v>5928.2006349959784</v>
          </cell>
          <cell r="E284">
            <v>5928.2006349959784</v>
          </cell>
          <cell r="F284">
            <v>5928.2006349959784</v>
          </cell>
          <cell r="G284">
            <v>5928.2006349959784</v>
          </cell>
          <cell r="H284">
            <v>5928.2006349959784</v>
          </cell>
          <cell r="I284">
            <v>5928.2006349959784</v>
          </cell>
          <cell r="J284">
            <v>5928.2006349959784</v>
          </cell>
          <cell r="K284">
            <v>5928.2006349959784</v>
          </cell>
          <cell r="L284">
            <v>5928.2006349959784</v>
          </cell>
        </row>
        <row r="285">
          <cell r="A285" t="str">
            <v xml:space="preserve">  Other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</row>
        <row r="286">
          <cell r="A286" t="str">
            <v xml:space="preserve">  Not Used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A287" t="str">
            <v>Total</v>
          </cell>
          <cell r="B287">
            <v>45601.628756526778</v>
          </cell>
          <cell r="C287">
            <v>45601.628756526778</v>
          </cell>
          <cell r="D287">
            <v>45601.628756526778</v>
          </cell>
          <cell r="E287">
            <v>45601.628756526778</v>
          </cell>
          <cell r="F287">
            <v>45601.628756526778</v>
          </cell>
          <cell r="G287">
            <v>45601.628756526778</v>
          </cell>
          <cell r="H287">
            <v>45601.628756526778</v>
          </cell>
          <cell r="I287">
            <v>45601.628756526778</v>
          </cell>
          <cell r="J287">
            <v>45601.628756526778</v>
          </cell>
          <cell r="K287">
            <v>45601.628756526778</v>
          </cell>
          <cell r="L287">
            <v>45601.628756526778</v>
          </cell>
        </row>
        <row r="288">
          <cell r="A288" t="str">
            <v>Radisson JFK</v>
          </cell>
          <cell r="B288">
            <v>108062.53803472419</v>
          </cell>
          <cell r="C288">
            <v>108062.53803472419</v>
          </cell>
          <cell r="D288">
            <v>108062.53803472419</v>
          </cell>
          <cell r="E288">
            <v>108062.53803472419</v>
          </cell>
          <cell r="F288">
            <v>108062.53803472419</v>
          </cell>
          <cell r="G288">
            <v>108062.53803472419</v>
          </cell>
          <cell r="H288">
            <v>108062.53803472419</v>
          </cell>
          <cell r="I288">
            <v>108062.53803472419</v>
          </cell>
          <cell r="J288">
            <v>108062.53803472419</v>
          </cell>
          <cell r="K288">
            <v>108062.53803472419</v>
          </cell>
          <cell r="L288">
            <v>108062.53803472419</v>
          </cell>
        </row>
        <row r="289">
          <cell r="A289" t="str">
            <v>Holiday Inn</v>
          </cell>
          <cell r="B289">
            <v>109272.09892351937</v>
          </cell>
          <cell r="C289">
            <v>109272.09892351937</v>
          </cell>
          <cell r="D289">
            <v>109272.09892351937</v>
          </cell>
          <cell r="E289">
            <v>109272.09892351937</v>
          </cell>
          <cell r="F289">
            <v>109272.09892351937</v>
          </cell>
          <cell r="G289">
            <v>109272.09892351937</v>
          </cell>
          <cell r="H289">
            <v>109272.09892351937</v>
          </cell>
          <cell r="I289">
            <v>109272.09892351937</v>
          </cell>
          <cell r="J289">
            <v>109272.09892351937</v>
          </cell>
          <cell r="K289">
            <v>109272.09892351937</v>
          </cell>
          <cell r="L289">
            <v>109272.09892351937</v>
          </cell>
        </row>
        <row r="290">
          <cell r="A290" t="str">
            <v>Ramada Plaza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</row>
        <row r="291">
          <cell r="A291" t="str">
            <v xml:space="preserve">Hampton Inn </v>
          </cell>
          <cell r="B291">
            <v>57947.358317714126</v>
          </cell>
          <cell r="C291">
            <v>57947.358317714126</v>
          </cell>
          <cell r="D291">
            <v>57947.358317714126</v>
          </cell>
          <cell r="E291">
            <v>57947.358317714126</v>
          </cell>
          <cell r="F291">
            <v>57947.358317714126</v>
          </cell>
          <cell r="G291">
            <v>57947.358317714126</v>
          </cell>
          <cell r="H291">
            <v>57947.358317714126</v>
          </cell>
          <cell r="I291">
            <v>57947.358317714126</v>
          </cell>
          <cell r="J291">
            <v>57947.358317714126</v>
          </cell>
          <cell r="K291">
            <v>57947.358317714126</v>
          </cell>
          <cell r="L291">
            <v>57947.358317714126</v>
          </cell>
        </row>
        <row r="292">
          <cell r="A292" t="str">
            <v>Courtyard by Marriott</v>
          </cell>
          <cell r="B292">
            <v>46533.100558452992</v>
          </cell>
          <cell r="C292">
            <v>46533.100558452992</v>
          </cell>
          <cell r="D292">
            <v>46533.100558452992</v>
          </cell>
          <cell r="E292">
            <v>46533.100558452992</v>
          </cell>
          <cell r="F292">
            <v>46533.100558452992</v>
          </cell>
          <cell r="G292">
            <v>46533.100558452992</v>
          </cell>
          <cell r="H292">
            <v>46533.100558452992</v>
          </cell>
          <cell r="I292">
            <v>46533.100558452992</v>
          </cell>
          <cell r="J292">
            <v>46533.100558452992</v>
          </cell>
          <cell r="K292">
            <v>46533.100558452992</v>
          </cell>
          <cell r="L292">
            <v>46533.100558452992</v>
          </cell>
        </row>
        <row r="293">
          <cell r="A293" t="str">
            <v>Doubletree Club</v>
          </cell>
          <cell r="B293">
            <v>24170.275409062531</v>
          </cell>
          <cell r="C293">
            <v>24170.275409062531</v>
          </cell>
          <cell r="D293">
            <v>24170.275409062531</v>
          </cell>
          <cell r="E293">
            <v>24170.275409062531</v>
          </cell>
          <cell r="F293">
            <v>24170.275409062531</v>
          </cell>
          <cell r="G293">
            <v>24170.275409062531</v>
          </cell>
          <cell r="H293">
            <v>24170.275409062531</v>
          </cell>
          <cell r="I293">
            <v>24170.275409062531</v>
          </cell>
          <cell r="J293">
            <v>24170.275409062531</v>
          </cell>
          <cell r="K293">
            <v>24170.275409062531</v>
          </cell>
          <cell r="L293">
            <v>24170.275409062531</v>
          </cell>
        </row>
        <row r="294">
          <cell r="A294" t="str">
            <v>La Quinta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</row>
        <row r="295">
          <cell r="A295" t="str">
            <v>Comp8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</row>
        <row r="296">
          <cell r="A296" t="str">
            <v>Comp9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A297" t="str">
            <v>Comp10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A298" t="str">
            <v>Comp11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A299" t="str">
            <v>Comp12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Comp13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A301" t="str">
            <v>Comp14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A302" t="str">
            <v>Comp15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A303" t="str">
            <v>Comp16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A304" t="str">
            <v>Comp17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A305" t="str">
            <v>Comp18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A306" t="str">
            <v>Comp19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A307" t="str">
            <v>Comp20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A308" t="str">
            <v>Comp21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A309" t="str">
            <v>Comp22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A310" t="str">
            <v>Comp23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A311" t="str">
            <v>Comp24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A312" t="str">
            <v>Comp25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A313" t="str">
            <v>Addition/Deletion 1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A314" t="str">
            <v>Addition/Deletion 2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A315" t="str">
            <v>Addition/Deletion 3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A316" t="str">
            <v>Addition/Deletion 4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A317" t="str">
            <v>Addition/Deletion 5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20">
          <cell r="A320" t="str">
            <v>Projected Occupancy</v>
          </cell>
          <cell r="B320">
            <v>2004</v>
          </cell>
          <cell r="C320">
            <v>2005</v>
          </cell>
          <cell r="D320">
            <v>2006</v>
          </cell>
          <cell r="E320">
            <v>2007</v>
          </cell>
          <cell r="F320">
            <v>2008</v>
          </cell>
          <cell r="G320">
            <v>2009</v>
          </cell>
          <cell r="H320">
            <v>2010</v>
          </cell>
          <cell r="I320">
            <v>2011</v>
          </cell>
          <cell r="J320">
            <v>2012</v>
          </cell>
          <cell r="K320">
            <v>2013</v>
          </cell>
          <cell r="L320">
            <v>2014</v>
          </cell>
        </row>
        <row r="321">
          <cell r="A321" t="str">
            <v>Sheraton JFK</v>
          </cell>
          <cell r="B321">
            <v>0.67899983258675967</v>
          </cell>
          <cell r="C321">
            <v>0.67899983258675967</v>
          </cell>
          <cell r="D321">
            <v>0.67899983258675967</v>
          </cell>
          <cell r="E321">
            <v>0.67899983258675967</v>
          </cell>
          <cell r="F321">
            <v>0.67899983258675967</v>
          </cell>
          <cell r="G321">
            <v>0.67899983258675967</v>
          </cell>
          <cell r="H321">
            <v>0.67899983258675967</v>
          </cell>
          <cell r="I321">
            <v>0.67899983258675967</v>
          </cell>
          <cell r="J321">
            <v>0.67899983258675967</v>
          </cell>
          <cell r="K321">
            <v>0.67899983258675967</v>
          </cell>
          <cell r="L321">
            <v>0.67899983258675967</v>
          </cell>
        </row>
        <row r="322">
          <cell r="A322" t="str">
            <v>Radisson JFK</v>
          </cell>
          <cell r="B322">
            <v>0.76699934725476748</v>
          </cell>
          <cell r="C322">
            <v>0.76699934725476748</v>
          </cell>
          <cell r="D322">
            <v>0.76699934725476748</v>
          </cell>
          <cell r="E322">
            <v>0.76699934725476748</v>
          </cell>
          <cell r="F322">
            <v>0.76699934725476748</v>
          </cell>
          <cell r="G322">
            <v>0.76699934725476748</v>
          </cell>
          <cell r="H322">
            <v>0.76699934725476748</v>
          </cell>
          <cell r="I322">
            <v>0.76699934725476748</v>
          </cell>
          <cell r="J322">
            <v>0.76699934725476748</v>
          </cell>
          <cell r="K322">
            <v>0.76699934725476748</v>
          </cell>
          <cell r="L322">
            <v>0.76699934725476748</v>
          </cell>
        </row>
        <row r="323">
          <cell r="A323" t="str">
            <v>Holiday Inn</v>
          </cell>
          <cell r="B323">
            <v>0.83159892635859489</v>
          </cell>
          <cell r="C323">
            <v>0.83159892635859489</v>
          </cell>
          <cell r="D323">
            <v>0.83159892635859489</v>
          </cell>
          <cell r="E323">
            <v>0.83159892635859489</v>
          </cell>
          <cell r="F323">
            <v>0.83159892635859489</v>
          </cell>
          <cell r="G323">
            <v>0.83159892635859489</v>
          </cell>
          <cell r="H323">
            <v>0.83159892635859489</v>
          </cell>
          <cell r="I323">
            <v>0.83159892635859489</v>
          </cell>
          <cell r="J323">
            <v>0.83159892635859489</v>
          </cell>
          <cell r="K323">
            <v>0.83159892635859489</v>
          </cell>
          <cell r="L323">
            <v>0.83159892635859489</v>
          </cell>
        </row>
        <row r="324">
          <cell r="A324" t="str">
            <v>Ramada Plaza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</row>
        <row r="325">
          <cell r="A325" t="str">
            <v xml:space="preserve">Hampton Inn </v>
          </cell>
          <cell r="B325">
            <v>0.73499947130535426</v>
          </cell>
          <cell r="C325">
            <v>0.73499947130535426</v>
          </cell>
          <cell r="D325">
            <v>0.73499947130535426</v>
          </cell>
          <cell r="E325">
            <v>0.73499947130535426</v>
          </cell>
          <cell r="F325">
            <v>0.73499947130535426</v>
          </cell>
          <cell r="G325">
            <v>0.73499947130535426</v>
          </cell>
          <cell r="H325">
            <v>0.73499947130535426</v>
          </cell>
          <cell r="I325">
            <v>0.73499947130535426</v>
          </cell>
          <cell r="J325">
            <v>0.73499947130535426</v>
          </cell>
          <cell r="K325">
            <v>0.73499947130535426</v>
          </cell>
          <cell r="L325">
            <v>0.73499947130535426</v>
          </cell>
        </row>
        <row r="326">
          <cell r="A326" t="str">
            <v>Courtyard by Marriott</v>
          </cell>
          <cell r="B326">
            <v>0.76799967912944367</v>
          </cell>
          <cell r="C326">
            <v>0.76799967912944367</v>
          </cell>
          <cell r="D326">
            <v>0.76799967912944367</v>
          </cell>
          <cell r="E326">
            <v>0.76799967912944367</v>
          </cell>
          <cell r="F326">
            <v>0.76799967912944367</v>
          </cell>
          <cell r="G326">
            <v>0.76799967912944367</v>
          </cell>
          <cell r="H326">
            <v>0.76799967912944367</v>
          </cell>
          <cell r="I326">
            <v>0.76799967912944367</v>
          </cell>
          <cell r="J326">
            <v>0.76799967912944367</v>
          </cell>
          <cell r="K326">
            <v>0.76799967912944367</v>
          </cell>
          <cell r="L326">
            <v>0.76799967912944367</v>
          </cell>
        </row>
        <row r="327">
          <cell r="A327" t="str">
            <v>Doubletree Club</v>
          </cell>
          <cell r="B327">
            <v>0.60199938752335069</v>
          </cell>
          <cell r="C327">
            <v>0.60199938752335069</v>
          </cell>
          <cell r="D327">
            <v>0.60199938752335069</v>
          </cell>
          <cell r="E327">
            <v>0.60199938752335069</v>
          </cell>
          <cell r="F327">
            <v>0.60199938752335069</v>
          </cell>
          <cell r="G327">
            <v>0.60199938752335069</v>
          </cell>
          <cell r="H327">
            <v>0.60199938752335069</v>
          </cell>
          <cell r="I327">
            <v>0.60199938752335069</v>
          </cell>
          <cell r="J327">
            <v>0.60199938752335069</v>
          </cell>
          <cell r="K327">
            <v>0.60199938752335069</v>
          </cell>
          <cell r="L327">
            <v>0.60199938752335069</v>
          </cell>
        </row>
        <row r="328">
          <cell r="A328" t="str">
            <v>La Quinta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A329" t="str">
            <v>Comp8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A330" t="str">
            <v>Comp9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A331" t="str">
            <v>Comp10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A332" t="str">
            <v>Comp11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A333" t="str">
            <v>Comp12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A334" t="str">
            <v>Comp13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A335" t="str">
            <v>Comp14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A336" t="str">
            <v>Comp15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A337" t="str">
            <v>Comp16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A338" t="str">
            <v>Comp17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A339" t="str">
            <v>Comp18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A340" t="str">
            <v>Comp19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A341" t="str">
            <v>Comp20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A342" t="str">
            <v>Comp21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A343" t="str">
            <v>Comp22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A344" t="str">
            <v>Comp23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A345" t="str">
            <v>Comp24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A346" t="str">
            <v>Comp25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A347" t="str">
            <v>Addition/Deletion 1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A348" t="str">
            <v>Addition/Deletion 2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A349" t="str">
            <v>Addition/Deletion 3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A350" t="str">
            <v>Addition/Deletion 4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A351" t="str">
            <v>Addition/Deletion 5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4">
          <cell r="A354" t="str">
            <v>Projected Penetration</v>
          </cell>
          <cell r="B354">
            <v>2004</v>
          </cell>
          <cell r="C354">
            <v>2005</v>
          </cell>
          <cell r="D354">
            <v>2006</v>
          </cell>
          <cell r="E354">
            <v>2007</v>
          </cell>
          <cell r="F354">
            <v>2008</v>
          </cell>
          <cell r="G354">
            <v>2009</v>
          </cell>
          <cell r="H354">
            <v>2010</v>
          </cell>
          <cell r="I354">
            <v>2011</v>
          </cell>
          <cell r="J354">
            <v>2012</v>
          </cell>
          <cell r="K354">
            <v>2013</v>
          </cell>
          <cell r="L354">
            <v>2014</v>
          </cell>
        </row>
        <row r="355">
          <cell r="A355" t="str">
            <v>Sheraton JFK</v>
          </cell>
          <cell r="B355">
            <v>1.142382317860327</v>
          </cell>
          <cell r="C355">
            <v>1.142382317860327</v>
          </cell>
          <cell r="D355">
            <v>1.142382317860327</v>
          </cell>
          <cell r="E355">
            <v>1.142382317860327</v>
          </cell>
          <cell r="F355">
            <v>1.142382317860327</v>
          </cell>
          <cell r="G355">
            <v>1.142382317860327</v>
          </cell>
          <cell r="H355">
            <v>1.142382317860327</v>
          </cell>
          <cell r="I355">
            <v>1.142382317860327</v>
          </cell>
          <cell r="J355">
            <v>1.142382317860327</v>
          </cell>
          <cell r="K355">
            <v>1.142382317860327</v>
          </cell>
          <cell r="L355">
            <v>1.142382317860327</v>
          </cell>
        </row>
        <row r="356">
          <cell r="A356" t="str">
            <v>Radisson JFK</v>
          </cell>
          <cell r="B356">
            <v>1.2904369781303318</v>
          </cell>
          <cell r="C356">
            <v>1.2904369781303318</v>
          </cell>
          <cell r="D356">
            <v>1.2904369781303318</v>
          </cell>
          <cell r="E356">
            <v>1.2904369781303318</v>
          </cell>
          <cell r="F356">
            <v>1.2904369781303318</v>
          </cell>
          <cell r="G356">
            <v>1.2904369781303318</v>
          </cell>
          <cell r="H356">
            <v>1.2904369781303318</v>
          </cell>
          <cell r="I356">
            <v>1.2904369781303318</v>
          </cell>
          <cell r="J356">
            <v>1.2904369781303318</v>
          </cell>
          <cell r="K356">
            <v>1.2904369781303318</v>
          </cell>
          <cell r="L356">
            <v>1.2904369781303318</v>
          </cell>
        </row>
        <row r="357">
          <cell r="A357" t="str">
            <v>Holiday Inn</v>
          </cell>
          <cell r="B357">
            <v>1.399122449566</v>
          </cell>
          <cell r="C357">
            <v>1.399122449566</v>
          </cell>
          <cell r="D357">
            <v>1.399122449566</v>
          </cell>
          <cell r="E357">
            <v>1.399122449566</v>
          </cell>
          <cell r="F357">
            <v>1.399122449566</v>
          </cell>
          <cell r="G357">
            <v>1.399122449566</v>
          </cell>
          <cell r="H357">
            <v>1.399122449566</v>
          </cell>
          <cell r="I357">
            <v>1.399122449566</v>
          </cell>
          <cell r="J357">
            <v>1.399122449566</v>
          </cell>
          <cell r="K357">
            <v>1.399122449566</v>
          </cell>
          <cell r="L357">
            <v>1.399122449566</v>
          </cell>
        </row>
        <row r="358">
          <cell r="A358" t="str">
            <v>Ramada Plaza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A359" t="str">
            <v xml:space="preserve">Hampton Inn </v>
          </cell>
          <cell r="B359">
            <v>1.2365988316332002</v>
          </cell>
          <cell r="C359">
            <v>1.2365988316332002</v>
          </cell>
          <cell r="D359">
            <v>1.2365988316332002</v>
          </cell>
          <cell r="E359">
            <v>1.2365988316332002</v>
          </cell>
          <cell r="F359">
            <v>1.2365988316332002</v>
          </cell>
          <cell r="G359">
            <v>1.2365988316332002</v>
          </cell>
          <cell r="H359">
            <v>1.2365988316332002</v>
          </cell>
          <cell r="I359">
            <v>1.2365988316332002</v>
          </cell>
          <cell r="J359">
            <v>1.2365988316332002</v>
          </cell>
          <cell r="K359">
            <v>1.2365988316332002</v>
          </cell>
          <cell r="L359">
            <v>1.2365988316332002</v>
          </cell>
        </row>
        <row r="360">
          <cell r="A360" t="str">
            <v>Courtyard by Marriott</v>
          </cell>
          <cell r="B360">
            <v>1.2921199850925995</v>
          </cell>
          <cell r="C360">
            <v>1.2921199850925995</v>
          </cell>
          <cell r="D360">
            <v>1.2921199850925995</v>
          </cell>
          <cell r="E360">
            <v>1.2921199850925995</v>
          </cell>
          <cell r="F360">
            <v>1.2921199850925995</v>
          </cell>
          <cell r="G360">
            <v>1.2921199850925995</v>
          </cell>
          <cell r="H360">
            <v>1.2921199850925995</v>
          </cell>
          <cell r="I360">
            <v>1.2921199850925995</v>
          </cell>
          <cell r="J360">
            <v>1.2921199850925995</v>
          </cell>
          <cell r="K360">
            <v>1.2921199850925995</v>
          </cell>
          <cell r="L360">
            <v>1.2921199850925995</v>
          </cell>
        </row>
        <row r="361">
          <cell r="A361" t="str">
            <v>Doubletree Club</v>
          </cell>
          <cell r="B361">
            <v>1.0128330268498993</v>
          </cell>
          <cell r="C361">
            <v>1.0128330268498993</v>
          </cell>
          <cell r="D361">
            <v>1.0128330268498993</v>
          </cell>
          <cell r="E361">
            <v>1.0128330268498993</v>
          </cell>
          <cell r="F361">
            <v>1.0128330268498993</v>
          </cell>
          <cell r="G361">
            <v>1.0128330268498993</v>
          </cell>
          <cell r="H361">
            <v>1.0128330268498993</v>
          </cell>
          <cell r="I361">
            <v>1.0128330268498993</v>
          </cell>
          <cell r="J361">
            <v>1.0128330268498993</v>
          </cell>
          <cell r="K361">
            <v>1.0128330268498993</v>
          </cell>
          <cell r="L361">
            <v>1.0128330268498993</v>
          </cell>
        </row>
        <row r="362">
          <cell r="A362" t="str">
            <v>La Quinta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A363" t="str">
            <v>Comp8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</row>
        <row r="364">
          <cell r="A364" t="str">
            <v>Comp9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A365" t="str">
            <v>Comp10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A366" t="str">
            <v>Comp11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A367" t="str">
            <v>Comp12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A368" t="str">
            <v>Comp13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A369" t="str">
            <v>Comp14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A370" t="str">
            <v>Comp15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A371" t="str">
            <v>Comp16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A372" t="str">
            <v>Comp17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A373" t="str">
            <v>Comp18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A374" t="str">
            <v>Comp19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A375" t="str">
            <v>Comp20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A376" t="str">
            <v>Comp21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A377" t="str">
            <v>Comp22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A378" t="str">
            <v>Comp23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A379" t="str">
            <v>Comp24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A380" t="str">
            <v>Comp25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A381" t="str">
            <v>Addition/Deletion 1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A382" t="str">
            <v>Addition/Deletion 2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A383" t="str">
            <v>Addition/Deletion 3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A384" t="str">
            <v>Addition/Deletion 4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A385" t="str">
            <v>Addition/Deletion 5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</sheetData>
      <sheetData sheetId="6">
        <row r="3">
          <cell r="A3" t="str">
            <v>Project Rate Growth by</v>
          </cell>
        </row>
        <row r="6">
          <cell r="B6">
            <v>1</v>
          </cell>
        </row>
        <row r="7">
          <cell r="A7" t="str">
            <v>Overall Rate Growth</v>
          </cell>
        </row>
        <row r="8">
          <cell r="B8">
            <v>2002</v>
          </cell>
          <cell r="C8">
            <v>2004</v>
          </cell>
          <cell r="D8">
            <v>2005</v>
          </cell>
          <cell r="E8">
            <v>2006</v>
          </cell>
          <cell r="F8">
            <v>2007</v>
          </cell>
          <cell r="G8">
            <v>2008</v>
          </cell>
          <cell r="H8">
            <v>2009</v>
          </cell>
          <cell r="I8">
            <v>2010</v>
          </cell>
          <cell r="J8">
            <v>2011</v>
          </cell>
          <cell r="K8">
            <v>2012</v>
          </cell>
          <cell r="L8">
            <v>2013</v>
          </cell>
          <cell r="M8">
            <v>2014</v>
          </cell>
        </row>
        <row r="9">
          <cell r="A9" t="str">
            <v>Growth Rate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Average Rate</v>
          </cell>
          <cell r="B10">
            <v>118.6</v>
          </cell>
          <cell r="C10">
            <v>118.6</v>
          </cell>
          <cell r="D10">
            <v>118.6</v>
          </cell>
          <cell r="E10">
            <v>118.6</v>
          </cell>
          <cell r="F10">
            <v>118.6</v>
          </cell>
          <cell r="G10">
            <v>118.6</v>
          </cell>
          <cell r="H10">
            <v>118.6</v>
          </cell>
          <cell r="I10">
            <v>118.6</v>
          </cell>
          <cell r="J10">
            <v>118.6</v>
          </cell>
          <cell r="K10">
            <v>118.6</v>
          </cell>
          <cell r="L10">
            <v>118.6</v>
          </cell>
          <cell r="M10">
            <v>118.6</v>
          </cell>
        </row>
        <row r="12">
          <cell r="A12" t="str">
            <v>Segmented Rate Growth</v>
          </cell>
        </row>
        <row r="13">
          <cell r="B13">
            <v>2002</v>
          </cell>
          <cell r="C13">
            <v>2004</v>
          </cell>
          <cell r="D13">
            <v>2005</v>
          </cell>
          <cell r="E13">
            <v>2006</v>
          </cell>
          <cell r="F13">
            <v>2007</v>
          </cell>
          <cell r="G13">
            <v>2008</v>
          </cell>
          <cell r="H13">
            <v>2009</v>
          </cell>
          <cell r="I13">
            <v>2010</v>
          </cell>
          <cell r="J13">
            <v>2011</v>
          </cell>
          <cell r="K13">
            <v>2012</v>
          </cell>
          <cell r="L13">
            <v>2013</v>
          </cell>
          <cell r="M13">
            <v>2014</v>
          </cell>
        </row>
        <row r="14">
          <cell r="A14" t="str">
            <v>Transient</v>
          </cell>
        </row>
        <row r="15">
          <cell r="A15" t="str">
            <v>Growth Rate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Average Rate</v>
          </cell>
          <cell r="B16">
            <v>118.6</v>
          </cell>
          <cell r="C16">
            <v>118.6</v>
          </cell>
          <cell r="D16">
            <v>118.6</v>
          </cell>
          <cell r="E16">
            <v>118.6</v>
          </cell>
          <cell r="F16">
            <v>118.6</v>
          </cell>
          <cell r="G16">
            <v>118.6</v>
          </cell>
          <cell r="H16">
            <v>118.6</v>
          </cell>
          <cell r="I16">
            <v>118.6</v>
          </cell>
          <cell r="J16">
            <v>118.6</v>
          </cell>
          <cell r="K16">
            <v>118.6</v>
          </cell>
          <cell r="L16">
            <v>118.6</v>
          </cell>
          <cell r="M16">
            <v>118.6</v>
          </cell>
        </row>
        <row r="17">
          <cell r="C17">
            <v>29641.101800447421</v>
          </cell>
          <cell r="D17">
            <v>29641.101800447421</v>
          </cell>
          <cell r="E17">
            <v>29641.101800447421</v>
          </cell>
          <cell r="F17">
            <v>29641.101800447421</v>
          </cell>
          <cell r="G17">
            <v>29641.101800447421</v>
          </cell>
          <cell r="H17">
            <v>29641.101800447421</v>
          </cell>
          <cell r="I17">
            <v>29641.101800447421</v>
          </cell>
          <cell r="J17">
            <v>29641.101800447421</v>
          </cell>
          <cell r="K17">
            <v>29641.101800447421</v>
          </cell>
          <cell r="L17">
            <v>29641.101800447421</v>
          </cell>
          <cell r="M17">
            <v>29641.101800447421</v>
          </cell>
        </row>
        <row r="18">
          <cell r="C18">
            <v>3515434.6735330638</v>
          </cell>
          <cell r="D18">
            <v>3515434.6735330638</v>
          </cell>
          <cell r="E18">
            <v>3515434.6735330638</v>
          </cell>
          <cell r="F18">
            <v>3515434.6735330638</v>
          </cell>
          <cell r="G18">
            <v>3515434.6735330638</v>
          </cell>
          <cell r="H18">
            <v>3515434.6735330638</v>
          </cell>
          <cell r="I18">
            <v>3515434.6735330638</v>
          </cell>
          <cell r="J18">
            <v>3515434.6735330638</v>
          </cell>
          <cell r="K18">
            <v>3515434.6735330638</v>
          </cell>
          <cell r="L18">
            <v>3515434.6735330638</v>
          </cell>
          <cell r="M18">
            <v>3515434.6735330638</v>
          </cell>
        </row>
        <row r="19">
          <cell r="A19" t="str">
            <v>Group</v>
          </cell>
        </row>
        <row r="20">
          <cell r="A20" t="str">
            <v>Growth Rate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Average Rate</v>
          </cell>
          <cell r="B21">
            <v>118.6</v>
          </cell>
          <cell r="C21">
            <v>118.6</v>
          </cell>
          <cell r="D21">
            <v>118.6</v>
          </cell>
          <cell r="E21">
            <v>118.6</v>
          </cell>
          <cell r="F21">
            <v>118.6</v>
          </cell>
          <cell r="G21">
            <v>118.6</v>
          </cell>
          <cell r="H21">
            <v>118.6</v>
          </cell>
          <cell r="I21">
            <v>118.6</v>
          </cell>
          <cell r="J21">
            <v>118.6</v>
          </cell>
          <cell r="K21">
            <v>118.6</v>
          </cell>
          <cell r="L21">
            <v>118.6</v>
          </cell>
          <cell r="M21">
            <v>118.6</v>
          </cell>
        </row>
        <row r="22">
          <cell r="C22">
            <v>10032.326321083381</v>
          </cell>
          <cell r="D22">
            <v>10032.326321083381</v>
          </cell>
          <cell r="E22">
            <v>10032.326321083381</v>
          </cell>
          <cell r="F22">
            <v>10032.326321083381</v>
          </cell>
          <cell r="G22">
            <v>10032.326321083381</v>
          </cell>
          <cell r="H22">
            <v>10032.326321083381</v>
          </cell>
          <cell r="I22">
            <v>10032.326321083381</v>
          </cell>
          <cell r="J22">
            <v>10032.326321083381</v>
          </cell>
          <cell r="K22">
            <v>10032.326321083381</v>
          </cell>
          <cell r="L22">
            <v>10032.326321083381</v>
          </cell>
          <cell r="M22">
            <v>10032.326321083381</v>
          </cell>
        </row>
        <row r="23">
          <cell r="C23">
            <v>1189833.9016804888</v>
          </cell>
          <cell r="D23">
            <v>1189833.9016804888</v>
          </cell>
          <cell r="E23">
            <v>1189833.9016804888</v>
          </cell>
          <cell r="F23">
            <v>1189833.9016804888</v>
          </cell>
          <cell r="G23">
            <v>1189833.9016804888</v>
          </cell>
          <cell r="H23">
            <v>1189833.9016804888</v>
          </cell>
          <cell r="I23">
            <v>1189833.9016804888</v>
          </cell>
          <cell r="J23">
            <v>1189833.9016804888</v>
          </cell>
          <cell r="K23">
            <v>1189833.9016804888</v>
          </cell>
          <cell r="L23">
            <v>1189833.9016804888</v>
          </cell>
          <cell r="M23">
            <v>1189833.9016804888</v>
          </cell>
        </row>
        <row r="24">
          <cell r="A24" t="str">
            <v>Contracted</v>
          </cell>
        </row>
        <row r="25">
          <cell r="A25" t="str">
            <v>Growth Rate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 t="str">
            <v>Average Rate</v>
          </cell>
          <cell r="B26">
            <v>118.6</v>
          </cell>
          <cell r="C26">
            <v>118.6</v>
          </cell>
          <cell r="D26">
            <v>118.6</v>
          </cell>
          <cell r="E26">
            <v>118.6</v>
          </cell>
          <cell r="F26">
            <v>118.6</v>
          </cell>
          <cell r="G26">
            <v>118.6</v>
          </cell>
          <cell r="H26">
            <v>118.6</v>
          </cell>
          <cell r="I26">
            <v>118.6</v>
          </cell>
          <cell r="J26">
            <v>118.6</v>
          </cell>
          <cell r="K26">
            <v>118.6</v>
          </cell>
          <cell r="L26">
            <v>118.6</v>
          </cell>
          <cell r="M26">
            <v>118.6</v>
          </cell>
        </row>
        <row r="27">
          <cell r="C27">
            <v>5928.2006349959784</v>
          </cell>
          <cell r="D27">
            <v>5928.2006349959784</v>
          </cell>
          <cell r="E27">
            <v>5928.2006349959784</v>
          </cell>
          <cell r="F27">
            <v>5928.2006349959784</v>
          </cell>
          <cell r="G27">
            <v>5928.2006349959784</v>
          </cell>
          <cell r="H27">
            <v>5928.2006349959784</v>
          </cell>
          <cell r="I27">
            <v>5928.2006349959784</v>
          </cell>
          <cell r="J27">
            <v>5928.2006349959784</v>
          </cell>
          <cell r="K27">
            <v>5928.2006349959784</v>
          </cell>
          <cell r="L27">
            <v>5928.2006349959784</v>
          </cell>
          <cell r="M27">
            <v>5928.2006349959784</v>
          </cell>
        </row>
        <row r="28">
          <cell r="C28">
            <v>703084.59531052294</v>
          </cell>
          <cell r="D28">
            <v>703084.59531052294</v>
          </cell>
          <cell r="E28">
            <v>703084.59531052294</v>
          </cell>
          <cell r="F28">
            <v>703084.59531052294</v>
          </cell>
          <cell r="G28">
            <v>703084.59531052294</v>
          </cell>
          <cell r="H28">
            <v>703084.59531052294</v>
          </cell>
          <cell r="I28">
            <v>703084.59531052294</v>
          </cell>
          <cell r="J28">
            <v>703084.59531052294</v>
          </cell>
          <cell r="K28">
            <v>703084.59531052294</v>
          </cell>
          <cell r="L28">
            <v>703084.59531052294</v>
          </cell>
          <cell r="M28">
            <v>703084.59531052294</v>
          </cell>
        </row>
        <row r="29">
          <cell r="A29" t="str">
            <v>Other</v>
          </cell>
        </row>
        <row r="30">
          <cell r="A30" t="str">
            <v>Growth Rate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 t="str">
            <v>Average Rate</v>
          </cell>
          <cell r="B31">
            <v>118.6</v>
          </cell>
          <cell r="C31">
            <v>118.6</v>
          </cell>
          <cell r="D31">
            <v>118.6</v>
          </cell>
          <cell r="E31">
            <v>118.6</v>
          </cell>
          <cell r="F31">
            <v>118.6</v>
          </cell>
          <cell r="G31">
            <v>118.6</v>
          </cell>
          <cell r="H31">
            <v>118.6</v>
          </cell>
          <cell r="I31">
            <v>118.6</v>
          </cell>
          <cell r="J31">
            <v>118.6</v>
          </cell>
          <cell r="K31">
            <v>118.6</v>
          </cell>
          <cell r="L31">
            <v>118.6</v>
          </cell>
          <cell r="M31">
            <v>118.6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A34" t="str">
            <v>Not Used</v>
          </cell>
        </row>
        <row r="35">
          <cell r="A35" t="str">
            <v>Growth Rate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Average Rate</v>
          </cell>
          <cell r="B36">
            <v>118.6</v>
          </cell>
          <cell r="C36">
            <v>118.6</v>
          </cell>
          <cell r="D36">
            <v>118.6</v>
          </cell>
          <cell r="E36">
            <v>118.6</v>
          </cell>
          <cell r="F36">
            <v>118.6</v>
          </cell>
          <cell r="G36">
            <v>118.6</v>
          </cell>
          <cell r="H36">
            <v>118.6</v>
          </cell>
          <cell r="I36">
            <v>118.6</v>
          </cell>
          <cell r="J36">
            <v>118.6</v>
          </cell>
          <cell r="K36">
            <v>118.6</v>
          </cell>
          <cell r="L36">
            <v>118.6</v>
          </cell>
          <cell r="M36">
            <v>118.6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C39">
            <v>45601.628756526778</v>
          </cell>
          <cell r="D39">
            <v>45601.628756526778</v>
          </cell>
          <cell r="E39">
            <v>45601.628756526778</v>
          </cell>
          <cell r="F39">
            <v>45601.628756526778</v>
          </cell>
          <cell r="G39">
            <v>45601.628756526778</v>
          </cell>
          <cell r="H39">
            <v>45601.628756526778</v>
          </cell>
          <cell r="I39">
            <v>45601.628756526778</v>
          </cell>
          <cell r="J39">
            <v>45601.628756526778</v>
          </cell>
          <cell r="K39">
            <v>45601.628756526778</v>
          </cell>
          <cell r="L39">
            <v>45601.628756526778</v>
          </cell>
          <cell r="M39">
            <v>45601.628756526778</v>
          </cell>
        </row>
        <row r="40">
          <cell r="C40">
            <v>5408353.1705240756</v>
          </cell>
          <cell r="D40">
            <v>5408353.1705240756</v>
          </cell>
          <cell r="E40">
            <v>5408353.1705240756</v>
          </cell>
          <cell r="F40">
            <v>5408353.1705240756</v>
          </cell>
          <cell r="G40">
            <v>5408353.1705240756</v>
          </cell>
          <cell r="H40">
            <v>5408353.1705240756</v>
          </cell>
          <cell r="I40">
            <v>5408353.1705240756</v>
          </cell>
          <cell r="J40">
            <v>5408353.1705240756</v>
          </cell>
          <cell r="K40">
            <v>5408353.1705240756</v>
          </cell>
          <cell r="L40">
            <v>5408353.1705240756</v>
          </cell>
          <cell r="M40">
            <v>5408353.1705240756</v>
          </cell>
        </row>
        <row r="41">
          <cell r="A41" t="str">
            <v>Overall Average Rate</v>
          </cell>
          <cell r="B41">
            <v>118.6</v>
          </cell>
          <cell r="C41">
            <v>118.6</v>
          </cell>
          <cell r="D41">
            <v>118.6</v>
          </cell>
          <cell r="E41">
            <v>118.6</v>
          </cell>
          <cell r="F41">
            <v>118.6</v>
          </cell>
          <cell r="G41">
            <v>118.6</v>
          </cell>
          <cell r="H41">
            <v>118.6</v>
          </cell>
          <cell r="I41">
            <v>118.6</v>
          </cell>
          <cell r="J41">
            <v>118.6</v>
          </cell>
          <cell r="K41">
            <v>118.6</v>
          </cell>
          <cell r="L41">
            <v>118.6</v>
          </cell>
          <cell r="M41">
            <v>118.6</v>
          </cell>
        </row>
        <row r="43">
          <cell r="A43" t="str">
            <v>Extraordinary Discounts or Premiums</v>
          </cell>
        </row>
        <row r="44">
          <cell r="C44">
            <v>2004</v>
          </cell>
          <cell r="D44">
            <v>2005</v>
          </cell>
          <cell r="E44">
            <v>2006</v>
          </cell>
          <cell r="F44">
            <v>2007</v>
          </cell>
          <cell r="G44">
            <v>2008</v>
          </cell>
          <cell r="H44">
            <v>2009</v>
          </cell>
          <cell r="I44">
            <v>2010</v>
          </cell>
          <cell r="J44">
            <v>2011</v>
          </cell>
          <cell r="K44">
            <v>2012</v>
          </cell>
          <cell r="L44">
            <v>2013</v>
          </cell>
          <cell r="M44">
            <v>2014</v>
          </cell>
        </row>
        <row r="45">
          <cell r="A45" t="str">
            <v>Unadjusted Average Rate</v>
          </cell>
          <cell r="B45">
            <v>0</v>
          </cell>
          <cell r="C45">
            <v>118.6</v>
          </cell>
          <cell r="D45">
            <v>118.6</v>
          </cell>
          <cell r="E45">
            <v>118.6</v>
          </cell>
          <cell r="F45">
            <v>118.6</v>
          </cell>
          <cell r="G45">
            <v>118.6</v>
          </cell>
          <cell r="H45">
            <v>118.6</v>
          </cell>
          <cell r="I45">
            <v>118.6</v>
          </cell>
          <cell r="J45">
            <v>118.6</v>
          </cell>
          <cell r="K45">
            <v>118.6</v>
          </cell>
          <cell r="L45">
            <v>118.6</v>
          </cell>
          <cell r="M45">
            <v>118.6</v>
          </cell>
        </row>
        <row r="46">
          <cell r="A46" t="str">
            <v>Discount / Premium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Adjusted Average Rate</v>
          </cell>
          <cell r="B47">
            <v>0</v>
          </cell>
          <cell r="C47">
            <v>118.6</v>
          </cell>
          <cell r="D47">
            <v>118.6</v>
          </cell>
          <cell r="E47">
            <v>118.6</v>
          </cell>
          <cell r="F47">
            <v>118.6</v>
          </cell>
          <cell r="G47">
            <v>118.6</v>
          </cell>
          <cell r="H47">
            <v>118.6</v>
          </cell>
          <cell r="I47">
            <v>118.6</v>
          </cell>
          <cell r="J47">
            <v>118.6</v>
          </cell>
          <cell r="K47">
            <v>118.6</v>
          </cell>
          <cell r="L47">
            <v>118.6</v>
          </cell>
          <cell r="M47">
            <v>118.6</v>
          </cell>
        </row>
      </sheetData>
      <sheetData sheetId="7">
        <row r="16">
          <cell r="A16" t="str">
            <v xml:space="preserve">  Rooms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6">
          <cell r="BD6">
            <v>2002</v>
          </cell>
        </row>
      </sheetData>
      <sheetData sheetId="25"/>
      <sheetData sheetId="26"/>
      <sheetData sheetId="27"/>
      <sheetData sheetId="28">
        <row r="5">
          <cell r="A5" t="str">
            <v>Base Year is 2002</v>
          </cell>
        </row>
      </sheetData>
      <sheetData sheetId="29">
        <row r="3">
          <cell r="A3" t="str">
            <v>Project Rate Growth by</v>
          </cell>
        </row>
      </sheetData>
      <sheetData sheetId="30">
        <row r="16">
          <cell r="A16" t="str">
            <v xml:space="preserve">  Rooms</v>
          </cell>
        </row>
      </sheetData>
      <sheetData sheetId="31"/>
      <sheetData sheetId="32"/>
      <sheetData sheetId="33"/>
      <sheetData sheetId="3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seExp"/>
      <sheetName val="Lease &amp; Occup"/>
      <sheetName val="RR"/>
      <sheetName val="I&amp;E Summary"/>
      <sheetName val="I&amp;E Detail"/>
      <sheetName val="Base Rent"/>
      <sheetName val="CAM"/>
      <sheetName val="Misc.Inc."/>
      <sheetName val="Vacancy Rnt"/>
      <sheetName val="2004 Op Exp"/>
      <sheetName val="Debt"/>
      <sheetName val="Capital"/>
      <sheetName val="2004 Parking"/>
      <sheetName val="225 Parking Budget"/>
      <sheetName val="225 Broadw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org.CODE"/>
      <sheetName val="27-0000198"/>
      <sheetName val="245114237REN (2)"/>
      <sheetName val="245114237RR"/>
      <sheetName val="245114238REN (2)"/>
      <sheetName val="245114238RR"/>
      <sheetName val="245114239RR"/>
      <sheetName val="245114240REN (2)"/>
      <sheetName val="245114240RR"/>
      <sheetName val="245114242"/>
      <sheetName val="245114242RR"/>
      <sheetName val="245114243ENG"/>
      <sheetName val="245114243RR"/>
      <sheetName val="CODESORTED"/>
      <sheetName val="27-0000331"/>
      <sheetName val="THARD. INTEREST"/>
      <sheetName val="367000043LES."/>
      <sheetName val="36-7000006A"/>
      <sheetName val="36-7000006B"/>
      <sheetName val="36-7000006C"/>
      <sheetName val="36-7000006D"/>
      <sheetName val="27-0000113LES"/>
      <sheetName val="27-0000113RR"/>
      <sheetName val="168878901"/>
      <sheetName val="367000043RR"/>
      <sheetName val="142-60"/>
      <sheetName val="18-351"/>
      <sheetName val="885051013"/>
      <sheetName val="885051014"/>
      <sheetName val="885051015"/>
      <sheetName val="367000020RR"/>
      <sheetName val="367000020RC"/>
      <sheetName val="367000020OR"/>
      <sheetName val="367000045RR"/>
      <sheetName val="367000045RREM"/>
      <sheetName val="367000045OR"/>
      <sheetName val="367000053RR"/>
      <sheetName val="367000053RRR"/>
      <sheetName val="142-24B"/>
      <sheetName val="142-24A"/>
      <sheetName val="142-56A"/>
      <sheetName val="142-56B"/>
      <sheetName val="18-171"/>
      <sheetName val="888868971b"/>
      <sheetName val="888868971a"/>
      <sheetName val="911"/>
      <sheetName val="924"/>
      <sheetName val="364"/>
      <sheetName val="348"/>
      <sheetName val="335"/>
      <sheetName val="351"/>
      <sheetName val="367-35A"/>
      <sheetName val="367-35B"/>
      <sheetName val="32-151"/>
      <sheetName val="18-10a"/>
      <sheetName val="18-10b"/>
      <sheetName val="18-10c"/>
      <sheetName val="18-39A"/>
      <sheetName val="18-39B"/>
      <sheetName val="18-39C"/>
      <sheetName val="18-39D"/>
      <sheetName val="18-39E"/>
      <sheetName val="18-39F"/>
      <sheetName val="18-40A"/>
      <sheetName val="18-40B"/>
      <sheetName val="18-40C"/>
      <sheetName val="18-40D"/>
      <sheetName val="1"/>
      <sheetName val="88-8868836"/>
      <sheetName val="18-171c"/>
      <sheetName val="18-171b"/>
      <sheetName val="18-171a"/>
      <sheetName val="142-058"/>
      <sheetName val="142-63A"/>
      <sheetName val="142-63B"/>
      <sheetName val="142-68A"/>
      <sheetName val="142-68B"/>
      <sheetName val="142-61B"/>
      <sheetName val="142-61A"/>
      <sheetName val="142-069"/>
      <sheetName val="142-69A"/>
      <sheetName val="142-54A"/>
      <sheetName val="142-54B"/>
      <sheetName val="142-80A"/>
      <sheetName val="142-80B"/>
      <sheetName val="142-65a"/>
      <sheetName val="142-65b"/>
      <sheetName val="142-58A"/>
      <sheetName val="142-37A"/>
      <sheetName val="142-37B"/>
      <sheetName val="142-66A"/>
      <sheetName val="142-66B"/>
      <sheetName val="367-22A"/>
      <sheetName val="367-22B"/>
      <sheetName val="367-79"/>
      <sheetName val="01-500"/>
      <sheetName val="14-2010"/>
      <sheetName val="14-2040A"/>
      <sheetName val="14-2040B"/>
      <sheetName val="14-5113912A"/>
      <sheetName val="14-5113912B"/>
      <sheetName val="18-052A"/>
      <sheetName val="18-052B"/>
      <sheetName val="18-127"/>
      <sheetName val="18-131A"/>
      <sheetName val="18-131B"/>
      <sheetName val="18-167"/>
      <sheetName val="18-176"/>
      <sheetName val="18-242"/>
      <sheetName val="18-291"/>
      <sheetName val="19-503"/>
      <sheetName val="19-503A"/>
      <sheetName val="19-503B"/>
      <sheetName val="19-5114016"/>
      <sheetName val="22-004D"/>
      <sheetName val="22-004J"/>
      <sheetName val="22-004F"/>
      <sheetName val="24-5114125"/>
      <sheetName val="24-5114219"/>
      <sheetName val="24-5114132"/>
      <sheetName val="32-010"/>
      <sheetName val="32-018"/>
      <sheetName val="32-025A"/>
      <sheetName val="32-025B"/>
      <sheetName val="32-025C"/>
      <sheetName val="32-036"/>
      <sheetName val="32-026A"/>
      <sheetName val="32-026B"/>
      <sheetName val="32-026C"/>
      <sheetName val="32-067A"/>
      <sheetName val="32-067B"/>
      <sheetName val="32-083"/>
      <sheetName val="32-146D"/>
      <sheetName val="32-146J"/>
      <sheetName val="32-146F"/>
      <sheetName val="36-7096"/>
      <sheetName val="88-8868971A"/>
      <sheetName val="88-8868971B"/>
      <sheetName val="DD-AUG"/>
      <sheetName val="DD-SEPT"/>
      <sheetName val="DD-OCT"/>
      <sheetName val="DD-NOV"/>
      <sheetName val="DD-DEC"/>
      <sheetName val="DD-JAN"/>
      <sheetName val="DD-FEB"/>
      <sheetName val="DD-MARCH"/>
      <sheetName val="36-328"/>
      <sheetName val="36-328 (2)"/>
      <sheetName val="245114237REN"/>
      <sheetName val="245114238REN"/>
      <sheetName val="245114240REN"/>
      <sheetName val="Sheet6"/>
      <sheetName val="Sheet4"/>
      <sheetName val="4100-100 Commercial Rent"/>
      <sheetName val="Summary Annl"/>
      <sheetName val="Stand Alone Model"/>
      <sheetName val="1st Buyer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Historic Market"/>
      <sheetName val="YTD Market Report"/>
      <sheetName val="STR"/>
      <sheetName val="Meeting Space"/>
      <sheetName val="Report Ready"/>
      <sheetName val="Property Summary"/>
      <sheetName val="Office Stats &amp; Development"/>
      <sheetName val="Demand Growth"/>
      <sheetName val="Historical Penetrations"/>
      <sheetName val="Tables"/>
      <sheetName val="Projected Occupancy"/>
      <sheetName val="Induced Demand "/>
      <sheetName val="Rate analysis"/>
      <sheetName val="Projected Rate"/>
      <sheetName val="Taxes"/>
      <sheetName val="Historical Financials"/>
      <sheetName val="Market Report"/>
      <sheetName val="Comparable Financials"/>
      <sheetName val="HOST"/>
      <sheetName val="Projected CF"/>
      <sheetName val="Look, Mom, NO HANDS!"/>
      <sheetName val="Valuation"/>
      <sheetName val="System Tools"/>
      <sheetName val="DlgIncrement"/>
      <sheetName val="DlgAbout"/>
      <sheetName val="DlgProject"/>
      <sheetName val="ihmModMain"/>
      <sheetName val="IHMModPrint"/>
      <sheetName val="IHMModSys"/>
      <sheetName val="IHMModXLA"/>
      <sheetName val="Line_Item_Unhide"/>
      <sheetName val="POR_PAR_POS"/>
      <sheetName val="Line_Item_Hide"/>
      <sheetName val="Historic_Market"/>
      <sheetName val="YTD_Market_Report"/>
      <sheetName val="Meeting_Space"/>
      <sheetName val="Report_Ready"/>
      <sheetName val="Property_Summary"/>
      <sheetName val="Office_Stats_&amp;_Development"/>
      <sheetName val="Demand_Growth"/>
      <sheetName val="Historical_Penetrations"/>
      <sheetName val="Projected_Occupancy"/>
      <sheetName val="Induced_Demand_"/>
      <sheetName val="Rate_analysis"/>
      <sheetName val="Projected_Rate"/>
      <sheetName val="Historical_Financials"/>
      <sheetName val="Market_Report"/>
      <sheetName val="Comparable_Financials"/>
      <sheetName val="Projected_CF"/>
      <sheetName val="Look,_Mom,_NO_HANDS!"/>
      <sheetName val="System_Tools"/>
      <sheetName val="Setup"/>
      <sheetName val="Summary"/>
      <sheetName val="ROI"/>
      <sheetName val="Income Statement"/>
      <sheetName val="Property Revenues"/>
      <sheetName val="Header"/>
      <sheetName val="lbo"/>
    </sheetNames>
    <sheetDataSet>
      <sheetData sheetId="0">
        <row r="21">
          <cell r="C21" t="str">
            <v>Proposed Full Service Hotel  - Norwalk, CT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revenue"/>
      <sheetName val="2006 summary"/>
      <sheetName val="BASE"/>
      <sheetName val="FREE RENT"/>
      <sheetName val="ELECT"/>
      <sheetName val="SUBMETER"/>
      <sheetName val="TAXESCAL"/>
      <sheetName val="CALCULATIONS ADJ"/>
      <sheetName val="PORTER"/>
      <sheetName val="PW Calcualations"/>
      <sheetName val="CPI"/>
      <sheetName val="MISC INCOME"/>
      <sheetName val="INVEST INC"/>
      <sheetName val="LEASCOMM"/>
      <sheetName val="TENINSTAL"/>
      <sheetName val="LEASE COSTS"/>
      <sheetName val="CAPITAL"/>
      <sheetName val="NEW "/>
      <sheetName val="RENEWAL"/>
      <sheetName val="Summary"/>
      <sheetName val="Revenue"/>
      <sheetName val="Base Rent"/>
      <sheetName val="Base Rent Credit"/>
      <sheetName val="Submetered Electric"/>
      <sheetName val="Real EstateTax"/>
      <sheetName val="Calculations"/>
      <sheetName val="Taxes"/>
      <sheetName val="CPI 2007"/>
      <sheetName val="Capital Improvements"/>
      <sheetName val="Tenant Improvements"/>
      <sheetName val="COMMISSIONS"/>
      <sheetName val="LEGAL LEASING"/>
      <sheetName val="Assumptions-Renew"/>
      <sheetName val="Assumptions-New"/>
      <sheetName val="Mortgage"/>
      <sheetName val="Payroll"/>
      <sheetName val="Cash"/>
      <sheetName val="Mortgag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찰안"/>
      <sheetName val="적격"/>
      <sheetName val="평가"/>
      <sheetName val="적정"/>
      <sheetName val="관리"/>
      <sheetName val="표지"/>
      <sheetName val="총괄"/>
      <sheetName val="내역"/>
      <sheetName val="하도"/>
      <sheetName val="별지"/>
      <sheetName val="견적"/>
      <sheetName val="조사"/>
      <sheetName val="합의서"/>
      <sheetName val="5호광장(낙찰)"/>
      <sheetName val="5호광장"/>
      <sheetName val="5호광장 (만점)"/>
      <sheetName val="인천국제 (만점) (2)"/>
      <sheetName val="선거교가설공사"/>
      <sheetName val="선거교가설공사(만점)"/>
      <sheetName val="낙동강하구둑"/>
      <sheetName val="낙동강하구둑(만점)"/>
      <sheetName val="공원로-우남로"/>
      <sheetName val="공원로-우남로(만점)"/>
      <sheetName val="보림사우회도로"/>
      <sheetName val="보림사우회도로(만점)"/>
      <sheetName val="2000년1차"/>
      <sheetName val="2000전체분"/>
      <sheetName val="교통대책내역"/>
      <sheetName val="집계표"/>
      <sheetName val="조명율표"/>
      <sheetName val="투찰내역"/>
      <sheetName val="조경일람"/>
      <sheetName val="조명일위"/>
      <sheetName val="단가일람"/>
      <sheetName val="약품공급2"/>
      <sheetName val="부대공사비"/>
      <sheetName val="내역서"/>
      <sheetName val="BID"/>
      <sheetName val="차액보증"/>
      <sheetName val="SLAB데이터"/>
      <sheetName val="#REF"/>
      <sheetName val="간접1"/>
      <sheetName val="99총공사내역서"/>
      <sheetName val="퍼스트"/>
      <sheetName val="지질조사"/>
      <sheetName val="C1ㅇ"/>
      <sheetName val="제경비"/>
      <sheetName val="정부노임단가"/>
      <sheetName val="Total 단위경유량집계"/>
      <sheetName val="실행내역"/>
      <sheetName val="접지수량"/>
      <sheetName val="CALCULATION"/>
      <sheetName val="노임"/>
      <sheetName val="RE9604"/>
      <sheetName val="MOTOR"/>
      <sheetName val="원가계산서"/>
      <sheetName val="전체제잡비"/>
      <sheetName val="마산월령동골조물량변경"/>
      <sheetName val="산근"/>
      <sheetName val="DB"/>
      <sheetName val="sheet1"/>
      <sheetName val="토공A"/>
      <sheetName val="실행철강하도"/>
      <sheetName val="기본단가표"/>
      <sheetName val="재료집계표"/>
      <sheetName val="1,2공구원가계산서"/>
      <sheetName val="2공구산출내역"/>
      <sheetName val="1공구산출내역서"/>
      <sheetName val="금액내역서"/>
      <sheetName val="1.수인터널"/>
      <sheetName val="준검 내역서"/>
      <sheetName val="품셈TABLE"/>
      <sheetName val="DANGA"/>
      <sheetName val="일위대가"/>
      <sheetName val="설계조건"/>
      <sheetName val="건축내역"/>
      <sheetName val="기계경비일람"/>
      <sheetName val="내역(원안-대안)"/>
      <sheetName val="단가"/>
      <sheetName val="기계경비(시간당)"/>
      <sheetName val="조명시설"/>
      <sheetName val="항목(1)"/>
      <sheetName val="총괄표"/>
      <sheetName val="교각1"/>
      <sheetName val="내역서(전기)"/>
      <sheetName val="SIL98"/>
      <sheetName val="구조물공"/>
      <sheetName val="부대공"/>
      <sheetName val="배수공"/>
      <sheetName val="토공"/>
      <sheetName val="포장공"/>
      <sheetName val="토공유동표(전체.당초)"/>
      <sheetName val="노임단가"/>
      <sheetName val="단위단가"/>
      <sheetName val="수량산출서"/>
      <sheetName val="총공사내역서"/>
      <sheetName val="공사비예산서(토목분)"/>
      <sheetName val="적점"/>
      <sheetName val="당진1,2호기전선관설치및접지4차공사내역서-을지"/>
      <sheetName val="기계내역서"/>
      <sheetName val="1001"/>
      <sheetName val="공사개요"/>
      <sheetName val="매입세율"/>
      <sheetName val="5회토적"/>
      <sheetName val="001"/>
      <sheetName val="날개벽수량표"/>
      <sheetName val="hvac(제어동)"/>
      <sheetName val="BH-1 (2)"/>
      <sheetName val="일반공사"/>
      <sheetName val="자재일람"/>
      <sheetName val="하남내역"/>
      <sheetName val="N賃率-職"/>
      <sheetName val="NYS"/>
      <sheetName val="일위목록"/>
      <sheetName val="요율"/>
      <sheetName val="현장설명"/>
      <sheetName val="잡철물"/>
      <sheetName val="대포2교접속"/>
      <sheetName val="천방교접속"/>
      <sheetName val="관급"/>
      <sheetName val="ABUT수량-A1"/>
      <sheetName val="제안서"/>
      <sheetName val="행정표준(1)"/>
      <sheetName val="행정표준(2)"/>
      <sheetName val="산출근거"/>
      <sheetName val="내역(중앙)"/>
      <sheetName val="관리비비계상"/>
      <sheetName val="예가내역서"/>
      <sheetName val="경비2내역"/>
      <sheetName val="작성방법"/>
      <sheetName val="예산서"/>
      <sheetName val="I.설계조건"/>
      <sheetName val="표  지"/>
      <sheetName val="설비2차"/>
      <sheetName val="참조-(1)"/>
      <sheetName val="원가계산서구조조정"/>
      <sheetName val="도급"/>
      <sheetName val="현장지지물물량"/>
      <sheetName val="터파기및재료"/>
      <sheetName val="초기화면"/>
      <sheetName val="폐기물"/>
      <sheetName val="인원계획"/>
      <sheetName val="DATA"/>
      <sheetName val="타공종이기"/>
      <sheetName val="데이타"/>
      <sheetName val="ITEM"/>
      <sheetName val="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fA"/>
      <sheetName val="Rent Roll"/>
      <sheetName val="lus"/>
      <sheetName val="flco"/>
      <sheetName val="toc"/>
      <sheetName val="exp"/>
      <sheetName val="Cashflow"/>
      <sheetName val="Hist OpEx"/>
      <sheetName val="NOI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REITs &amp; S&amp;P"/>
      <sheetName val="DPW 18 &amp; 19"/>
      <sheetName val="TPS BACKUP"/>
    </sheetNames>
    <sheetDataSet>
      <sheetData sheetId="0">
        <row r="171">
          <cell r="D171">
            <v>0</v>
          </cell>
          <cell r="E171">
            <v>0.19104004814636055</v>
          </cell>
        </row>
        <row r="172">
          <cell r="D172">
            <v>0.05</v>
          </cell>
          <cell r="E172">
            <v>0.17331256212247201</v>
          </cell>
        </row>
        <row r="173">
          <cell r="D173">
            <v>0.1</v>
          </cell>
          <cell r="E173">
            <v>0.16098670463276857</v>
          </cell>
        </row>
        <row r="174">
          <cell r="D174">
            <v>0.15000000000000002</v>
          </cell>
          <cell r="E174">
            <v>0.15532835618367249</v>
          </cell>
        </row>
        <row r="175">
          <cell r="D175">
            <v>0.2</v>
          </cell>
          <cell r="E175">
            <v>0.14993493952328116</v>
          </cell>
        </row>
        <row r="176">
          <cell r="D176">
            <v>0.25</v>
          </cell>
          <cell r="E176">
            <v>0.14737549187106463</v>
          </cell>
        </row>
        <row r="177">
          <cell r="D177">
            <v>0.3</v>
          </cell>
          <cell r="E177">
            <v>0.14738328611616652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and Gas Graph"/>
      <sheetName val="NG Storage Graph"/>
      <sheetName val="Zone J LMP Graph"/>
      <sheetName val="Gas vs. Zone J  Graph"/>
      <sheetName val="Crude - #2 Oil - NG Cost Graph"/>
      <sheetName val="Water Graph"/>
      <sheetName val="MO FUEL DATA"/>
      <sheetName val="DAILY FUEL DATA"/>
      <sheetName val="WATER RATES"/>
      <sheetName val="CDD Monthly"/>
      <sheetName val="CDD 2Q Daily"/>
      <sheetName val="CDD 3Q Daily"/>
      <sheetName val="COOLING DATA"/>
      <sheetName val="DAILY LMP AVG"/>
      <sheetName val="HOURLY LMP"/>
      <sheetName val="Daily Gas Data"/>
      <sheetName val="Zone J LB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>
        <row r="60">
          <cell r="F60">
            <v>0.2</v>
          </cell>
        </row>
        <row r="134">
          <cell r="C134" t="str">
            <v>Prepayment</v>
          </cell>
          <cell r="D134">
            <v>399.74017857832689</v>
          </cell>
          <cell r="E134">
            <v>358.11775557400102</v>
          </cell>
        </row>
        <row r="135">
          <cell r="C135">
            <v>0</v>
          </cell>
          <cell r="D135">
            <v>0.30004894282811623</v>
          </cell>
          <cell r="E135">
            <v>5.3792676242975117E-2</v>
          </cell>
        </row>
        <row r="136">
          <cell r="C136">
            <v>0.05</v>
          </cell>
          <cell r="D136">
            <v>0.25320354178881338</v>
          </cell>
          <cell r="E136">
            <v>6.5681770075035173E-2</v>
          </cell>
        </row>
        <row r="137">
          <cell r="C137">
            <v>0.1</v>
          </cell>
          <cell r="D137">
            <v>0.20622497798526063</v>
          </cell>
          <cell r="E137">
            <v>7.9037589924664753E-2</v>
          </cell>
        </row>
        <row r="138">
          <cell r="C138">
            <v>0.15000000000000002</v>
          </cell>
          <cell r="D138">
            <v>0.15911549935311234</v>
          </cell>
          <cell r="E138">
            <v>9.3672789192370182E-2</v>
          </cell>
        </row>
        <row r="139">
          <cell r="C139">
            <v>0.2</v>
          </cell>
          <cell r="D139">
            <v>0.11187787934534389</v>
          </cell>
          <cell r="E139">
            <v>0.10935888548657445</v>
          </cell>
        </row>
        <row r="140">
          <cell r="C140">
            <v>0.25</v>
          </cell>
          <cell r="D140">
            <v>6.4515379452903615E-2</v>
          </cell>
          <cell r="E140">
            <v>0.12586561470778773</v>
          </cell>
        </row>
        <row r="141">
          <cell r="C141">
            <v>0.3</v>
          </cell>
          <cell r="D141">
            <v>1.7031669609579192E-2</v>
          </cell>
          <cell r="E141">
            <v>0.14298917762938032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REIF &amp; S&amp;P"/>
      <sheetName val="REITs &amp; S&amp;P"/>
      <sheetName val="1999 BUDGET"/>
    </sheetNames>
    <sheetDataSet>
      <sheetData sheetId="0">
        <row r="11">
          <cell r="D11">
            <v>0.10256580965724643</v>
          </cell>
        </row>
      </sheetData>
      <sheetData sheetId="1">
        <row r="11">
          <cell r="D11">
            <v>0.10256580965724643</v>
          </cell>
        </row>
        <row r="12">
          <cell r="D12">
            <v>9.9699466842594398E-2</v>
          </cell>
        </row>
        <row r="13">
          <cell r="D13">
            <v>9.6926697633896594E-2</v>
          </cell>
        </row>
        <row r="14">
          <cell r="D14">
            <v>9.4255760498720725E-2</v>
          </cell>
        </row>
        <row r="15">
          <cell r="D15">
            <v>9.1695554459503378E-2</v>
          </cell>
        </row>
        <row r="16">
          <cell r="D16">
            <v>8.9255608650344487E-2</v>
          </cell>
        </row>
        <row r="17">
          <cell r="D17">
            <v>8.6946048161577236E-2</v>
          </cell>
        </row>
        <row r="18">
          <cell r="D18">
            <v>8.4777529769104062E-2</v>
          </cell>
        </row>
        <row r="19">
          <cell r="D19">
            <v>8.2761141026761451E-2</v>
          </cell>
        </row>
        <row r="20">
          <cell r="D20">
            <v>8.0908256821018112E-2</v>
          </cell>
        </row>
        <row r="21">
          <cell r="D21">
            <v>7.9230349153871005E-2</v>
          </cell>
        </row>
        <row r="22">
          <cell r="D22">
            <v>7.7738748894852619E-2</v>
          </cell>
        </row>
        <row r="23">
          <cell r="D23">
            <v>7.6444362642995103E-2</v>
          </cell>
        </row>
        <row r="24">
          <cell r="D24">
            <v>7.5357353506573591E-2</v>
          </cell>
        </row>
        <row r="25">
          <cell r="D25">
            <v>7.4486800995879857E-2</v>
          </cell>
        </row>
        <row r="26">
          <cell r="D26">
            <v>7.3840361355759068E-2</v>
          </cell>
        </row>
        <row r="27">
          <cell r="D27">
            <v>7.3423954232678723E-2</v>
          </cell>
        </row>
        <row r="28">
          <cell r="D28">
            <v>7.3241503211226341E-2</v>
          </cell>
        </row>
        <row r="29">
          <cell r="D29">
            <v>7.329475545754835E-2</v>
          </cell>
        </row>
        <row r="30">
          <cell r="D30">
            <v>7.358319923724238E-2</v>
          </cell>
        </row>
        <row r="31">
          <cell r="D31">
            <v>7.4104088212849348E-2</v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N T.B."/>
      <sheetName val="717 L&amp;E"/>
      <sheetName val="717 A"/>
      <sheetName val="717 I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KING"/>
      <sheetName val="TAXES"/>
      <sheetName val="RENTCOMPS "/>
      <sheetName val="SALECOMPS"/>
      <sheetName val="EXPENSES"/>
      <sheetName val="RENTROL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Historic Market"/>
      <sheetName val="Market Report"/>
      <sheetName val="PKF Trends Data"/>
      <sheetName val="Financial Spreads"/>
      <sheetName val="Courtyard Sizing Large"/>
      <sheetName val="Courtyard Sizing Small"/>
      <sheetName val="Scenarios"/>
      <sheetName val="S&amp;D Growth Notes"/>
      <sheetName val="Penetration Notes"/>
      <sheetName val="Projected Occupancy"/>
      <sheetName val="Rate Notes"/>
      <sheetName val="Projected Rate"/>
      <sheetName val="Historical Financials"/>
      <sheetName val="Comparable Financials"/>
      <sheetName val="HOST"/>
      <sheetName val="Projected CF"/>
      <sheetName val="Look, Mom, NO HANDS!"/>
      <sheetName val="Testimony"/>
      <sheetName val="ReportTables"/>
      <sheetName val="Valuation"/>
      <sheetName val="System Tools"/>
      <sheetName val="IHMModXLA"/>
      <sheetName val="IHMModMain"/>
      <sheetName val="IHMModSys"/>
      <sheetName val="IHMModPrint"/>
      <sheetName val="DlgIncrement"/>
      <sheetName val="DlgAbout"/>
      <sheetName val="DlgProject"/>
      <sheetName val="Line Item Hide"/>
      <sheetName val="Module1"/>
      <sheetName val="Historic_Market"/>
      <sheetName val="Market_Report"/>
      <sheetName val="PKF_Trends_Data"/>
      <sheetName val="Financial_Spreads"/>
      <sheetName val="Courtyard_Sizing_Large"/>
      <sheetName val="Courtyard_Sizing_Small"/>
      <sheetName val="S&amp;D_Growth_Notes"/>
      <sheetName val="Penetration_Notes"/>
      <sheetName val="Projected_Occupancy"/>
      <sheetName val="Rate_Notes"/>
      <sheetName val="Projected_Rate"/>
      <sheetName val="Historical_Financials"/>
      <sheetName val="Comparable_Financials"/>
      <sheetName val="Projected_CF"/>
      <sheetName val="Look,_Mom,_NO_HANDS!"/>
      <sheetName val="System_Tools"/>
      <sheetName val="Line_Item_Hi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A5" t="str">
            <v>Base Year is 1997</v>
          </cell>
          <cell r="B5">
            <v>0</v>
          </cell>
          <cell r="C5">
            <v>0</v>
          </cell>
          <cell r="D5" t="str">
            <v>Roomnights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 t="str">
            <v>Overall</v>
          </cell>
        </row>
        <row r="6">
          <cell r="A6" t="str">
            <v>Property</v>
          </cell>
          <cell r="B6" t="str">
            <v>Rooms</v>
          </cell>
          <cell r="C6" t="str">
            <v>Occupancy</v>
          </cell>
          <cell r="D6" t="str">
            <v>Total</v>
          </cell>
          <cell r="E6" t="str">
            <v>Corp Ind</v>
          </cell>
          <cell r="F6" t="str">
            <v>Corp. Grp</v>
          </cell>
          <cell r="G6" t="str">
            <v>Leisure</v>
          </cell>
          <cell r="H6" t="str">
            <v>Govt</v>
          </cell>
          <cell r="I6" t="str">
            <v>Not Used</v>
          </cell>
          <cell r="J6" t="str">
            <v>Penetration</v>
          </cell>
        </row>
        <row r="7">
          <cell r="A7" t="str">
            <v>Proposed Friendship Heights Hotel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Embassy Suites - Chevy Chase</v>
          </cell>
          <cell r="B8">
            <v>198</v>
          </cell>
          <cell r="C8">
            <v>0.82</v>
          </cell>
          <cell r="D8">
            <v>59261.4</v>
          </cell>
          <cell r="E8">
            <v>32593.77</v>
          </cell>
          <cell r="F8">
            <v>11852.279999999999</v>
          </cell>
          <cell r="G8">
            <v>14222.735999999999</v>
          </cell>
          <cell r="H8">
            <v>592.61399999999992</v>
          </cell>
          <cell r="I8">
            <v>0</v>
          </cell>
          <cell r="J8">
            <v>1.0642285231769391</v>
          </cell>
        </row>
        <row r="9">
          <cell r="A9" t="str">
            <v>Marriott Hotel - Pooks Hill</v>
          </cell>
          <cell r="B9">
            <v>408</v>
          </cell>
          <cell r="C9">
            <v>0.76600000000000001</v>
          </cell>
          <cell r="D9">
            <v>114072.72</v>
          </cell>
          <cell r="E9">
            <v>57036.36</v>
          </cell>
          <cell r="F9">
            <v>34221.815999999999</v>
          </cell>
          <cell r="G9">
            <v>11407.272000000001</v>
          </cell>
          <cell r="H9">
            <v>11407.272000000001</v>
          </cell>
          <cell r="I9">
            <v>0</v>
          </cell>
          <cell r="J9">
            <v>0.99414518140675034</v>
          </cell>
        </row>
        <row r="10">
          <cell r="A10" t="str">
            <v>Marriott Suites - Bethesda</v>
          </cell>
          <cell r="B10">
            <v>274</v>
          </cell>
          <cell r="C10">
            <v>0.84399999999999997</v>
          </cell>
          <cell r="D10">
            <v>84408.44</v>
          </cell>
          <cell r="E10">
            <v>54865.486000000004</v>
          </cell>
          <cell r="F10">
            <v>21102.11</v>
          </cell>
          <cell r="G10">
            <v>6752.6752000000006</v>
          </cell>
          <cell r="H10">
            <v>1688.1688000000001</v>
          </cell>
          <cell r="I10">
            <v>0</v>
          </cell>
          <cell r="J10">
            <v>1.0953766750748006</v>
          </cell>
        </row>
        <row r="11">
          <cell r="A11" t="str">
            <v>Residence Inn - Bethesda</v>
          </cell>
          <cell r="B11">
            <v>187</v>
          </cell>
          <cell r="C11">
            <v>0.86199999999999999</v>
          </cell>
          <cell r="D11">
            <v>58835.81</v>
          </cell>
          <cell r="E11">
            <v>38243.2765</v>
          </cell>
          <cell r="F11">
            <v>2941.7905000000001</v>
          </cell>
          <cell r="G11">
            <v>5883.5810000000001</v>
          </cell>
          <cell r="H11">
            <v>11767.162</v>
          </cell>
          <cell r="I11">
            <v>0</v>
          </cell>
          <cell r="J11">
            <v>1.1187377889981969</v>
          </cell>
        </row>
        <row r="12">
          <cell r="A12" t="str">
            <v>Doubletree Hotel -Rockville</v>
          </cell>
          <cell r="B12">
            <v>315</v>
          </cell>
          <cell r="C12">
            <v>0.76</v>
          </cell>
          <cell r="D12">
            <v>87380.999999999985</v>
          </cell>
          <cell r="E12">
            <v>43690.5</v>
          </cell>
          <cell r="F12">
            <v>17476.2</v>
          </cell>
          <cell r="G12">
            <v>13107.15</v>
          </cell>
          <cell r="H12">
            <v>13107.15</v>
          </cell>
          <cell r="I12">
            <v>0</v>
          </cell>
          <cell r="J12">
            <v>0.98635814343228501</v>
          </cell>
        </row>
        <row r="13">
          <cell r="A13" t="str">
            <v>Holiday Inn Chevy Chase</v>
          </cell>
          <cell r="B13">
            <v>214</v>
          </cell>
          <cell r="C13">
            <v>0.65700000000000003</v>
          </cell>
          <cell r="D13">
            <v>51318.270000000004</v>
          </cell>
          <cell r="E13">
            <v>12829.567500000001</v>
          </cell>
          <cell r="F13">
            <v>5131.8270000000011</v>
          </cell>
          <cell r="G13">
            <v>20527.308000000005</v>
          </cell>
          <cell r="H13">
            <v>12829.567500000001</v>
          </cell>
          <cell r="I13">
            <v>0</v>
          </cell>
          <cell r="J13">
            <v>0.85268065820396211</v>
          </cell>
        </row>
        <row r="14">
          <cell r="A14" t="str">
            <v>Holiday Inn - Bethesda</v>
          </cell>
          <cell r="B14">
            <v>270</v>
          </cell>
          <cell r="C14">
            <v>0.69299999999999995</v>
          </cell>
          <cell r="D14">
            <v>68295.149999999994</v>
          </cell>
          <cell r="E14">
            <v>17073.787499999999</v>
          </cell>
          <cell r="F14">
            <v>6829.5149999999994</v>
          </cell>
          <cell r="G14">
            <v>20488.544999999998</v>
          </cell>
          <cell r="H14">
            <v>23903.302499999998</v>
          </cell>
          <cell r="I14">
            <v>0</v>
          </cell>
          <cell r="J14">
            <v>0.89940288605075447</v>
          </cell>
        </row>
        <row r="15">
          <cell r="A15" t="str">
            <v>Ramada Inn - Bethesda</v>
          </cell>
          <cell r="B15">
            <v>163</v>
          </cell>
          <cell r="C15">
            <v>0.72199999999999998</v>
          </cell>
          <cell r="D15">
            <v>42955.39</v>
          </cell>
          <cell r="E15">
            <v>10738.8475</v>
          </cell>
          <cell r="F15">
            <v>6443.3085000000001</v>
          </cell>
          <cell r="G15">
            <v>4295.5389999999998</v>
          </cell>
          <cell r="H15">
            <v>21477.695</v>
          </cell>
          <cell r="I15">
            <v>0</v>
          </cell>
          <cell r="J15">
            <v>0.93704023626067068</v>
          </cell>
        </row>
        <row r="16">
          <cell r="A16" t="str">
            <v>Hyatt Regency - Bethesda</v>
          </cell>
          <cell r="B16">
            <v>381</v>
          </cell>
          <cell r="C16">
            <v>0.8</v>
          </cell>
          <cell r="D16">
            <v>111252.00000000001</v>
          </cell>
          <cell r="E16">
            <v>61188.600000000006</v>
          </cell>
          <cell r="F16">
            <v>33375.599999999999</v>
          </cell>
          <cell r="G16">
            <v>11125.2</v>
          </cell>
          <cell r="H16">
            <v>5562.6</v>
          </cell>
          <cell r="I16">
            <v>0</v>
          </cell>
          <cell r="J16">
            <v>1.038271729928721</v>
          </cell>
        </row>
        <row r="17">
          <cell r="A17" t="str">
            <v>Comp10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Comp11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Comp12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Comp13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Comp14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Comp15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Comp16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Comp17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Comp18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Comp19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Comp20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Comp21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Comp22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 t="str">
            <v>Comp23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A31" t="str">
            <v>Comp24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Comp25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T O T A L</v>
          </cell>
          <cell r="B33">
            <v>2410</v>
          </cell>
          <cell r="C33">
            <v>0.77051120331950218</v>
          </cell>
          <cell r="D33">
            <v>677780.18</v>
          </cell>
          <cell r="E33">
            <v>328260.19500000007</v>
          </cell>
          <cell r="F33">
            <v>139374.44700000001</v>
          </cell>
          <cell r="G33">
            <v>107810.00620000002</v>
          </cell>
          <cell r="H33">
            <v>102335.53180000003</v>
          </cell>
          <cell r="I33">
            <v>0</v>
          </cell>
        </row>
        <row r="36">
          <cell r="A36" t="str">
            <v>Projected Guestroom Supply</v>
          </cell>
          <cell r="B36">
            <v>1997</v>
          </cell>
          <cell r="C36">
            <v>2001</v>
          </cell>
          <cell r="D36">
            <v>2002</v>
          </cell>
          <cell r="E36">
            <v>2003</v>
          </cell>
          <cell r="F36">
            <v>2004</v>
          </cell>
          <cell r="G36">
            <v>2005</v>
          </cell>
          <cell r="H36">
            <v>2006</v>
          </cell>
          <cell r="I36">
            <v>2007</v>
          </cell>
          <cell r="J36">
            <v>2008</v>
          </cell>
          <cell r="K36">
            <v>2009</v>
          </cell>
          <cell r="L36">
            <v>2010</v>
          </cell>
          <cell r="M36">
            <v>2011</v>
          </cell>
        </row>
        <row r="37">
          <cell r="A37" t="str">
            <v>Proposed Friendship Heights Hotel</v>
          </cell>
          <cell r="B37">
            <v>0</v>
          </cell>
          <cell r="C37">
            <v>223</v>
          </cell>
          <cell r="D37">
            <v>223</v>
          </cell>
          <cell r="E37">
            <v>223</v>
          </cell>
          <cell r="F37">
            <v>223</v>
          </cell>
          <cell r="G37">
            <v>223</v>
          </cell>
          <cell r="H37">
            <v>223</v>
          </cell>
          <cell r="I37">
            <v>223</v>
          </cell>
          <cell r="J37">
            <v>223</v>
          </cell>
          <cell r="K37">
            <v>223</v>
          </cell>
          <cell r="L37">
            <v>223</v>
          </cell>
          <cell r="M37">
            <v>223</v>
          </cell>
        </row>
        <row r="38">
          <cell r="A38" t="str">
            <v>Embassy Suites - Chevy Chase</v>
          </cell>
          <cell r="B38">
            <v>198</v>
          </cell>
          <cell r="C38">
            <v>198</v>
          </cell>
          <cell r="D38">
            <v>198</v>
          </cell>
          <cell r="E38">
            <v>198</v>
          </cell>
          <cell r="F38">
            <v>198</v>
          </cell>
          <cell r="G38">
            <v>198</v>
          </cell>
          <cell r="H38">
            <v>198</v>
          </cell>
          <cell r="I38">
            <v>198</v>
          </cell>
          <cell r="J38">
            <v>198</v>
          </cell>
          <cell r="K38">
            <v>198</v>
          </cell>
          <cell r="L38">
            <v>198</v>
          </cell>
          <cell r="M38">
            <v>198</v>
          </cell>
        </row>
        <row r="39">
          <cell r="A39" t="str">
            <v>Marriott Hotel - Pooks Hill</v>
          </cell>
          <cell r="B39">
            <v>408</v>
          </cell>
          <cell r="C39">
            <v>408</v>
          </cell>
          <cell r="D39">
            <v>408</v>
          </cell>
          <cell r="E39">
            <v>408</v>
          </cell>
          <cell r="F39">
            <v>408</v>
          </cell>
          <cell r="G39">
            <v>408</v>
          </cell>
          <cell r="H39">
            <v>408</v>
          </cell>
          <cell r="I39">
            <v>408</v>
          </cell>
          <cell r="J39">
            <v>408</v>
          </cell>
          <cell r="K39">
            <v>408</v>
          </cell>
          <cell r="L39">
            <v>408</v>
          </cell>
          <cell r="M39">
            <v>408</v>
          </cell>
        </row>
        <row r="40">
          <cell r="A40" t="str">
            <v>Marriott Suites - Bethesda</v>
          </cell>
          <cell r="B40">
            <v>274</v>
          </cell>
          <cell r="C40">
            <v>274</v>
          </cell>
          <cell r="D40">
            <v>274</v>
          </cell>
          <cell r="E40">
            <v>274</v>
          </cell>
          <cell r="F40">
            <v>274</v>
          </cell>
          <cell r="G40">
            <v>274</v>
          </cell>
          <cell r="H40">
            <v>274</v>
          </cell>
          <cell r="I40">
            <v>274</v>
          </cell>
          <cell r="J40">
            <v>274</v>
          </cell>
          <cell r="K40">
            <v>274</v>
          </cell>
          <cell r="L40">
            <v>274</v>
          </cell>
          <cell r="M40">
            <v>274</v>
          </cell>
        </row>
        <row r="41">
          <cell r="A41" t="str">
            <v>Residence Inn - Bethesda</v>
          </cell>
          <cell r="B41">
            <v>187</v>
          </cell>
          <cell r="C41">
            <v>187</v>
          </cell>
          <cell r="D41">
            <v>187</v>
          </cell>
          <cell r="E41">
            <v>187</v>
          </cell>
          <cell r="F41">
            <v>187</v>
          </cell>
          <cell r="G41">
            <v>187</v>
          </cell>
          <cell r="H41">
            <v>187</v>
          </cell>
          <cell r="I41">
            <v>187</v>
          </cell>
          <cell r="J41">
            <v>187</v>
          </cell>
          <cell r="K41">
            <v>187</v>
          </cell>
          <cell r="L41">
            <v>187</v>
          </cell>
          <cell r="M41">
            <v>187</v>
          </cell>
        </row>
        <row r="42">
          <cell r="A42" t="str">
            <v>Doubletree Hotel -Rockville</v>
          </cell>
          <cell r="B42">
            <v>315</v>
          </cell>
          <cell r="C42">
            <v>315</v>
          </cell>
          <cell r="D42">
            <v>315</v>
          </cell>
          <cell r="E42">
            <v>315</v>
          </cell>
          <cell r="F42">
            <v>315</v>
          </cell>
          <cell r="G42">
            <v>315</v>
          </cell>
          <cell r="H42">
            <v>315</v>
          </cell>
          <cell r="I42">
            <v>315</v>
          </cell>
          <cell r="J42">
            <v>315</v>
          </cell>
          <cell r="K42">
            <v>315</v>
          </cell>
          <cell r="L42">
            <v>315</v>
          </cell>
          <cell r="M42">
            <v>315</v>
          </cell>
        </row>
        <row r="43">
          <cell r="A43" t="str">
            <v>Holiday Inn Chevy Chase</v>
          </cell>
          <cell r="B43">
            <v>214</v>
          </cell>
          <cell r="C43">
            <v>214</v>
          </cell>
          <cell r="D43">
            <v>214</v>
          </cell>
          <cell r="E43">
            <v>214</v>
          </cell>
          <cell r="F43">
            <v>214</v>
          </cell>
          <cell r="G43">
            <v>214</v>
          </cell>
          <cell r="H43">
            <v>214</v>
          </cell>
          <cell r="I43">
            <v>214</v>
          </cell>
          <cell r="J43">
            <v>214</v>
          </cell>
          <cell r="K43">
            <v>214</v>
          </cell>
          <cell r="L43">
            <v>214</v>
          </cell>
          <cell r="M43">
            <v>214</v>
          </cell>
        </row>
        <row r="44">
          <cell r="A44" t="str">
            <v>Holiday Inn - Bethesda</v>
          </cell>
          <cell r="B44">
            <v>270</v>
          </cell>
          <cell r="C44">
            <v>270</v>
          </cell>
          <cell r="D44">
            <v>270</v>
          </cell>
          <cell r="E44">
            <v>270</v>
          </cell>
          <cell r="F44">
            <v>270</v>
          </cell>
          <cell r="G44">
            <v>270</v>
          </cell>
          <cell r="H44">
            <v>270</v>
          </cell>
          <cell r="I44">
            <v>270</v>
          </cell>
          <cell r="J44">
            <v>270</v>
          </cell>
          <cell r="K44">
            <v>270</v>
          </cell>
          <cell r="L44">
            <v>270</v>
          </cell>
          <cell r="M44">
            <v>270</v>
          </cell>
        </row>
        <row r="45">
          <cell r="A45" t="str">
            <v>Ramada Inn - Bethesda</v>
          </cell>
          <cell r="B45">
            <v>163</v>
          </cell>
          <cell r="C45">
            <v>163</v>
          </cell>
          <cell r="D45">
            <v>163</v>
          </cell>
          <cell r="E45">
            <v>163</v>
          </cell>
          <cell r="F45">
            <v>163</v>
          </cell>
          <cell r="G45">
            <v>163</v>
          </cell>
          <cell r="H45">
            <v>163</v>
          </cell>
          <cell r="I45">
            <v>163</v>
          </cell>
          <cell r="J45">
            <v>163</v>
          </cell>
          <cell r="K45">
            <v>163</v>
          </cell>
          <cell r="L45">
            <v>163</v>
          </cell>
          <cell r="M45">
            <v>163</v>
          </cell>
        </row>
        <row r="46">
          <cell r="A46" t="str">
            <v>Hyatt Regency - Bethesda</v>
          </cell>
          <cell r="B46">
            <v>381</v>
          </cell>
          <cell r="C46">
            <v>381</v>
          </cell>
          <cell r="D46">
            <v>381</v>
          </cell>
          <cell r="E46">
            <v>381</v>
          </cell>
          <cell r="F46">
            <v>381</v>
          </cell>
          <cell r="G46">
            <v>381</v>
          </cell>
          <cell r="H46">
            <v>381</v>
          </cell>
          <cell r="I46">
            <v>381</v>
          </cell>
          <cell r="J46">
            <v>381</v>
          </cell>
          <cell r="K46">
            <v>381</v>
          </cell>
          <cell r="L46">
            <v>381</v>
          </cell>
          <cell r="M46">
            <v>381</v>
          </cell>
        </row>
        <row r="47">
          <cell r="A47" t="str">
            <v>Proposed Marriott White Flint</v>
          </cell>
          <cell r="B47">
            <v>0</v>
          </cell>
          <cell r="C47">
            <v>225</v>
          </cell>
          <cell r="D47">
            <v>225</v>
          </cell>
          <cell r="E47">
            <v>225</v>
          </cell>
          <cell r="F47">
            <v>225</v>
          </cell>
          <cell r="G47">
            <v>225</v>
          </cell>
          <cell r="H47">
            <v>225</v>
          </cell>
          <cell r="I47">
            <v>225</v>
          </cell>
          <cell r="J47">
            <v>225</v>
          </cell>
          <cell r="K47">
            <v>225</v>
          </cell>
          <cell r="L47">
            <v>225</v>
          </cell>
          <cell r="M47">
            <v>225</v>
          </cell>
        </row>
        <row r="48">
          <cell r="A48" t="str">
            <v>Other Hotel Development</v>
          </cell>
          <cell r="B48">
            <v>0</v>
          </cell>
          <cell r="C48">
            <v>225</v>
          </cell>
          <cell r="D48">
            <v>225</v>
          </cell>
          <cell r="E48">
            <v>225</v>
          </cell>
          <cell r="F48">
            <v>225</v>
          </cell>
          <cell r="G48">
            <v>225</v>
          </cell>
          <cell r="H48">
            <v>225</v>
          </cell>
          <cell r="I48">
            <v>225</v>
          </cell>
          <cell r="J48">
            <v>225</v>
          </cell>
          <cell r="K48">
            <v>225</v>
          </cell>
          <cell r="L48">
            <v>225</v>
          </cell>
          <cell r="M48">
            <v>225</v>
          </cell>
        </row>
        <row r="49">
          <cell r="A49" t="str">
            <v>Comp12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Comp13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Comp14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Comp15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 t="str">
            <v>Comp16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Comp17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 t="str">
            <v>Comp18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Comp19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 t="str">
            <v>Comp20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A58" t="str">
            <v>Comp21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Comp22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Comp23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A61" t="str">
            <v>Comp24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A62" t="str">
            <v>Comp25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Addition/Deletion 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A64" t="str">
            <v>Addition/Deletion 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A65" t="str">
            <v>Addition/Deletion 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 t="str">
            <v>Addition/Deletion 4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 t="str">
            <v>Addition/Deletion 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 t="str">
            <v>Projected Guestroom Supply</v>
          </cell>
          <cell r="B68">
            <v>2410</v>
          </cell>
          <cell r="C68">
            <v>3083</v>
          </cell>
          <cell r="D68">
            <v>3083</v>
          </cell>
          <cell r="E68">
            <v>3083</v>
          </cell>
          <cell r="F68">
            <v>3083</v>
          </cell>
          <cell r="G68">
            <v>3083</v>
          </cell>
          <cell r="H68">
            <v>3083</v>
          </cell>
          <cell r="I68">
            <v>3083</v>
          </cell>
          <cell r="J68">
            <v>3083</v>
          </cell>
          <cell r="K68">
            <v>3083</v>
          </cell>
          <cell r="L68">
            <v>3083</v>
          </cell>
          <cell r="M68">
            <v>3083</v>
          </cell>
        </row>
        <row r="69">
          <cell r="A69" t="str">
            <v>Percent Change</v>
          </cell>
          <cell r="B69">
            <v>0</v>
          </cell>
          <cell r="C69">
            <v>0.27925311203319492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2">
          <cell r="A72" t="str">
            <v>Demand Growth Rates</v>
          </cell>
          <cell r="B72">
            <v>2001</v>
          </cell>
          <cell r="C72">
            <v>2002</v>
          </cell>
          <cell r="D72">
            <v>2003</v>
          </cell>
          <cell r="E72">
            <v>2004</v>
          </cell>
          <cell r="F72">
            <v>2005</v>
          </cell>
          <cell r="G72">
            <v>2006</v>
          </cell>
          <cell r="H72">
            <v>2007</v>
          </cell>
          <cell r="I72">
            <v>2008</v>
          </cell>
          <cell r="J72">
            <v>2009</v>
          </cell>
          <cell r="K72">
            <v>2010</v>
          </cell>
          <cell r="L72">
            <v>2011</v>
          </cell>
        </row>
        <row r="73">
          <cell r="A73" t="str">
            <v>Corp Ind</v>
          </cell>
          <cell r="B73">
            <v>8.2432159999999977E-2</v>
          </cell>
          <cell r="C73">
            <v>0.02</v>
          </cell>
          <cell r="D73">
            <v>0.02</v>
          </cell>
          <cell r="E73">
            <v>0.02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 t="str">
            <v>Corp. Grp</v>
          </cell>
          <cell r="B74">
            <v>6.136355062499943E-2</v>
          </cell>
          <cell r="C74">
            <v>1.4999999999999999E-2</v>
          </cell>
          <cell r="D74">
            <v>1.4999999999999999E-2</v>
          </cell>
          <cell r="E74">
            <v>1.4999999999999999E-2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 t="str">
            <v>Leisure</v>
          </cell>
          <cell r="B75">
            <v>6.136355062499943E-2</v>
          </cell>
          <cell r="C75">
            <v>1.4999999999999999E-2</v>
          </cell>
          <cell r="D75">
            <v>1.4999999999999999E-2</v>
          </cell>
          <cell r="E75">
            <v>1.4999999999999999E-2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 t="str">
            <v>Govt</v>
          </cell>
          <cell r="B76">
            <v>4.0604010000000024E-2</v>
          </cell>
          <cell r="C76">
            <v>0.01</v>
          </cell>
          <cell r="D76">
            <v>0.01</v>
          </cell>
          <cell r="E76">
            <v>0.01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 t="str">
            <v>Not Used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 t="str">
            <v>Overall</v>
          </cell>
          <cell r="B78">
            <v>0.13128566255802854</v>
          </cell>
          <cell r="C78">
            <v>1.6775718181498034E-2</v>
          </cell>
          <cell r="D78">
            <v>1.6788819254360376E-2</v>
          </cell>
          <cell r="E78">
            <v>1.6801750944538618E-2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81">
          <cell r="A81" t="str">
            <v>Extraordinary Demand</v>
          </cell>
          <cell r="B81">
            <v>1997</v>
          </cell>
          <cell r="C81">
            <v>2001</v>
          </cell>
          <cell r="D81">
            <v>2002</v>
          </cell>
          <cell r="E81">
            <v>2003</v>
          </cell>
          <cell r="F81">
            <v>2004</v>
          </cell>
          <cell r="G81">
            <v>2005</v>
          </cell>
          <cell r="H81">
            <v>2006</v>
          </cell>
          <cell r="I81">
            <v>2007</v>
          </cell>
          <cell r="J81">
            <v>2008</v>
          </cell>
          <cell r="K81">
            <v>2009</v>
          </cell>
          <cell r="L81">
            <v>2010</v>
          </cell>
          <cell r="M81">
            <v>2011</v>
          </cell>
        </row>
        <row r="82">
          <cell r="A82" t="str">
            <v>Corp Ind</v>
          </cell>
          <cell r="B82">
            <v>0</v>
          </cell>
          <cell r="C82">
            <v>23600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 t="str">
            <v>Corp. Grp</v>
          </cell>
          <cell r="B83">
            <v>0</v>
          </cell>
          <cell r="C83">
            <v>19000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Leisure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A85" t="str">
            <v>Govt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A86" t="str">
            <v>Not Used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Total</v>
          </cell>
          <cell r="B87">
            <v>0</v>
          </cell>
          <cell r="C87">
            <v>42600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90">
          <cell r="A90" t="str">
            <v>Projected Roomnight Demand</v>
          </cell>
          <cell r="B90">
            <v>1997</v>
          </cell>
          <cell r="C90">
            <v>2001</v>
          </cell>
          <cell r="D90">
            <v>2002</v>
          </cell>
          <cell r="E90">
            <v>2003</v>
          </cell>
          <cell r="F90">
            <v>2004</v>
          </cell>
          <cell r="G90">
            <v>2005</v>
          </cell>
          <cell r="H90">
            <v>2006</v>
          </cell>
          <cell r="I90">
            <v>2007</v>
          </cell>
          <cell r="J90">
            <v>2008</v>
          </cell>
          <cell r="K90">
            <v>2009</v>
          </cell>
          <cell r="L90">
            <v>2010</v>
          </cell>
          <cell r="M90">
            <v>2011</v>
          </cell>
        </row>
        <row r="91">
          <cell r="A91" t="str">
            <v>Corp Ind</v>
          </cell>
          <cell r="B91">
            <v>328260.19500000007</v>
          </cell>
          <cell r="C91">
            <v>378919</v>
          </cell>
          <cell r="D91">
            <v>386497</v>
          </cell>
          <cell r="E91">
            <v>394227</v>
          </cell>
          <cell r="F91">
            <v>402112</v>
          </cell>
          <cell r="G91">
            <v>402112</v>
          </cell>
          <cell r="H91">
            <v>402112</v>
          </cell>
          <cell r="I91">
            <v>402112</v>
          </cell>
          <cell r="J91">
            <v>402112</v>
          </cell>
          <cell r="K91">
            <v>402112</v>
          </cell>
          <cell r="L91">
            <v>402112</v>
          </cell>
          <cell r="M91">
            <v>402112</v>
          </cell>
        </row>
        <row r="92">
          <cell r="A92" t="str">
            <v>Corp. Grp</v>
          </cell>
          <cell r="B92">
            <v>139374.44700000001</v>
          </cell>
          <cell r="C92">
            <v>166927</v>
          </cell>
          <cell r="D92">
            <v>169431</v>
          </cell>
          <cell r="E92">
            <v>171972</v>
          </cell>
          <cell r="F92">
            <v>174552</v>
          </cell>
          <cell r="G92">
            <v>174552</v>
          </cell>
          <cell r="H92">
            <v>174552</v>
          </cell>
          <cell r="I92">
            <v>174552</v>
          </cell>
          <cell r="J92">
            <v>174552</v>
          </cell>
          <cell r="K92">
            <v>174552</v>
          </cell>
          <cell r="L92">
            <v>174552</v>
          </cell>
          <cell r="M92">
            <v>174552</v>
          </cell>
        </row>
        <row r="93">
          <cell r="A93" t="str">
            <v>Leisure</v>
          </cell>
          <cell r="B93">
            <v>107810.00620000002</v>
          </cell>
          <cell r="C93">
            <v>114426</v>
          </cell>
          <cell r="D93">
            <v>116142</v>
          </cell>
          <cell r="E93">
            <v>117884</v>
          </cell>
          <cell r="F93">
            <v>119652</v>
          </cell>
          <cell r="G93">
            <v>119652</v>
          </cell>
          <cell r="H93">
            <v>119652</v>
          </cell>
          <cell r="I93">
            <v>119652</v>
          </cell>
          <cell r="J93">
            <v>119652</v>
          </cell>
          <cell r="K93">
            <v>119652</v>
          </cell>
          <cell r="L93">
            <v>119652</v>
          </cell>
          <cell r="M93">
            <v>119652</v>
          </cell>
        </row>
        <row r="94">
          <cell r="A94" t="str">
            <v>Govt</v>
          </cell>
          <cell r="B94">
            <v>102335.53180000003</v>
          </cell>
          <cell r="C94">
            <v>106491</v>
          </cell>
          <cell r="D94">
            <v>107556</v>
          </cell>
          <cell r="E94">
            <v>108632</v>
          </cell>
          <cell r="F94">
            <v>109718</v>
          </cell>
          <cell r="G94">
            <v>109718</v>
          </cell>
          <cell r="H94">
            <v>109718</v>
          </cell>
          <cell r="I94">
            <v>109718</v>
          </cell>
          <cell r="J94">
            <v>109718</v>
          </cell>
          <cell r="K94">
            <v>109718</v>
          </cell>
          <cell r="L94">
            <v>109718</v>
          </cell>
          <cell r="M94">
            <v>109718</v>
          </cell>
        </row>
        <row r="95">
          <cell r="A95" t="str">
            <v>Not Used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A96" t="str">
            <v>Total</v>
          </cell>
          <cell r="B96">
            <v>677780.18000000017</v>
          </cell>
          <cell r="C96">
            <v>766763</v>
          </cell>
          <cell r="D96">
            <v>779626</v>
          </cell>
          <cell r="E96">
            <v>792715</v>
          </cell>
          <cell r="F96">
            <v>806034</v>
          </cell>
          <cell r="G96">
            <v>806034</v>
          </cell>
          <cell r="H96">
            <v>806034</v>
          </cell>
          <cell r="I96">
            <v>806034</v>
          </cell>
          <cell r="J96">
            <v>806034</v>
          </cell>
          <cell r="K96">
            <v>806034</v>
          </cell>
          <cell r="L96">
            <v>806034</v>
          </cell>
          <cell r="M96">
            <v>806034</v>
          </cell>
        </row>
        <row r="97">
          <cell r="A97" t="str">
            <v>Market Occupancy</v>
          </cell>
          <cell r="B97">
            <v>0.77051120331950229</v>
          </cell>
          <cell r="C97">
            <v>0.68138843592124732</v>
          </cell>
          <cell r="D97">
            <v>0.69281921629439391</v>
          </cell>
          <cell r="E97">
            <v>0.70445083289270816</v>
          </cell>
          <cell r="F97">
            <v>0.71628684033964429</v>
          </cell>
          <cell r="G97">
            <v>0.71628684033964429</v>
          </cell>
          <cell r="H97">
            <v>0.71628684033964429</v>
          </cell>
          <cell r="I97">
            <v>0.71628684033964429</v>
          </cell>
          <cell r="J97">
            <v>0.71628684033964429</v>
          </cell>
          <cell r="K97">
            <v>0.71628684033964429</v>
          </cell>
          <cell r="L97">
            <v>0.71628684033964429</v>
          </cell>
          <cell r="M97">
            <v>0.71628684033964429</v>
          </cell>
        </row>
        <row r="280">
          <cell r="A280" t="str">
            <v>Projected Roomnight Capture</v>
          </cell>
          <cell r="B280">
            <v>2001</v>
          </cell>
          <cell r="C280">
            <v>2002</v>
          </cell>
          <cell r="D280">
            <v>2003</v>
          </cell>
          <cell r="E280">
            <v>2004</v>
          </cell>
          <cell r="F280">
            <v>2005</v>
          </cell>
          <cell r="G280">
            <v>2006</v>
          </cell>
          <cell r="H280">
            <v>2007</v>
          </cell>
          <cell r="I280">
            <v>2008</v>
          </cell>
          <cell r="J280">
            <v>2009</v>
          </cell>
          <cell r="K280">
            <v>2010</v>
          </cell>
          <cell r="L280">
            <v>2011</v>
          </cell>
        </row>
        <row r="281">
          <cell r="A281" t="str">
            <v>Proposed Friendship Heights Hotel (Occ.)</v>
          </cell>
          <cell r="B281">
            <v>0.65625680377145557</v>
          </cell>
          <cell r="C281">
            <v>0.71330473342545742</v>
          </cell>
          <cell r="D281">
            <v>0.73134062623578711</v>
          </cell>
          <cell r="E281">
            <v>0.74445261020443532</v>
          </cell>
          <cell r="F281">
            <v>0.74445261020443532</v>
          </cell>
          <cell r="G281">
            <v>0.74445261020443532</v>
          </cell>
          <cell r="H281">
            <v>0.74445261020443532</v>
          </cell>
          <cell r="I281">
            <v>0.74445261020443532</v>
          </cell>
          <cell r="J281">
            <v>0.74445261020443532</v>
          </cell>
          <cell r="K281">
            <v>0.74445261020443532</v>
          </cell>
          <cell r="L281">
            <v>0.74445261020443532</v>
          </cell>
        </row>
        <row r="282">
          <cell r="A282" t="str">
            <v xml:space="preserve">  Corp Ind</v>
          </cell>
          <cell r="B282">
            <v>31519.227229970809</v>
          </cell>
          <cell r="C282">
            <v>34945.195831981837</v>
          </cell>
          <cell r="D282">
            <v>35644.105173532276</v>
          </cell>
          <cell r="E282">
            <v>36357.028867985733</v>
          </cell>
          <cell r="F282">
            <v>36357.028867985733</v>
          </cell>
          <cell r="G282">
            <v>36357.028867985733</v>
          </cell>
          <cell r="H282">
            <v>36357.028867985733</v>
          </cell>
          <cell r="I282">
            <v>36357.028867985733</v>
          </cell>
          <cell r="J282">
            <v>36357.028867985733</v>
          </cell>
          <cell r="K282">
            <v>36357.028867985733</v>
          </cell>
          <cell r="L282">
            <v>36357.028867985733</v>
          </cell>
        </row>
        <row r="283">
          <cell r="A283" t="str">
            <v xml:space="preserve">  Corp. Grp</v>
          </cell>
          <cell r="B283">
            <v>10866.769023678236</v>
          </cell>
          <cell r="C283">
            <v>12255.307492701915</v>
          </cell>
          <cell r="D283">
            <v>12439.103470645476</v>
          </cell>
          <cell r="E283">
            <v>12625.720402205645</v>
          </cell>
          <cell r="F283">
            <v>12625.720402205645</v>
          </cell>
          <cell r="G283">
            <v>12625.720402205645</v>
          </cell>
          <cell r="H283">
            <v>12625.720402205645</v>
          </cell>
          <cell r="I283">
            <v>12625.720402205645</v>
          </cell>
          <cell r="J283">
            <v>12625.720402205645</v>
          </cell>
          <cell r="K283">
            <v>12625.720402205645</v>
          </cell>
          <cell r="L283">
            <v>12625.720402205645</v>
          </cell>
        </row>
        <row r="284">
          <cell r="A284" t="str">
            <v xml:space="preserve">  Leisure</v>
          </cell>
          <cell r="B284">
            <v>9104.3457022380808</v>
          </cell>
          <cell r="C284">
            <v>10080.959844307492</v>
          </cell>
          <cell r="D284">
            <v>10658.503081414208</v>
          </cell>
          <cell r="E284">
            <v>10818.357119688615</v>
          </cell>
          <cell r="F284">
            <v>10818.357119688615</v>
          </cell>
          <cell r="G284">
            <v>10818.357119688615</v>
          </cell>
          <cell r="H284">
            <v>10818.357119688615</v>
          </cell>
          <cell r="I284">
            <v>10818.357119688615</v>
          </cell>
          <cell r="J284">
            <v>10818.357119688615</v>
          </cell>
          <cell r="K284">
            <v>10818.357119688615</v>
          </cell>
          <cell r="L284">
            <v>10818.357119688615</v>
          </cell>
        </row>
        <row r="285">
          <cell r="A285" t="str">
            <v xml:space="preserve">  Govt</v>
          </cell>
          <cell r="B285">
            <v>1925.6805870904964</v>
          </cell>
          <cell r="C285">
            <v>777.9756081738567</v>
          </cell>
          <cell r="D285">
            <v>785.75854686993193</v>
          </cell>
          <cell r="E285">
            <v>793.61381771002277</v>
          </cell>
          <cell r="F285">
            <v>793.61381771002277</v>
          </cell>
          <cell r="G285">
            <v>793.61381771002277</v>
          </cell>
          <cell r="H285">
            <v>793.61381771002277</v>
          </cell>
          <cell r="I285">
            <v>793.61381771002277</v>
          </cell>
          <cell r="J285">
            <v>793.61381771002277</v>
          </cell>
          <cell r="K285">
            <v>793.61381771002277</v>
          </cell>
          <cell r="L285">
            <v>793.61381771002277</v>
          </cell>
        </row>
        <row r="286">
          <cell r="A286" t="str">
            <v xml:space="preserve">  Not Used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A287" t="str">
            <v>Total</v>
          </cell>
          <cell r="B287">
            <v>53416.022542977626</v>
          </cell>
          <cell r="C287">
            <v>58059.438777165109</v>
          </cell>
          <cell r="D287">
            <v>59527.470272461891</v>
          </cell>
          <cell r="E287">
            <v>60594.720207590013</v>
          </cell>
          <cell r="F287">
            <v>60594.720207590013</v>
          </cell>
          <cell r="G287">
            <v>60594.720207590013</v>
          </cell>
          <cell r="H287">
            <v>60594.720207590013</v>
          </cell>
          <cell r="I287">
            <v>60594.720207590013</v>
          </cell>
          <cell r="J287">
            <v>60594.720207590013</v>
          </cell>
          <cell r="K287">
            <v>60594.720207590013</v>
          </cell>
          <cell r="L287">
            <v>60594.720207590013</v>
          </cell>
        </row>
        <row r="288">
          <cell r="A288" t="str">
            <v>Embassy Suites - Chevy Chase</v>
          </cell>
          <cell r="B288">
            <v>52408.4062063401</v>
          </cell>
          <cell r="C288">
            <v>52891.348276086348</v>
          </cell>
          <cell r="D288">
            <v>53780.50209401959</v>
          </cell>
          <cell r="E288">
            <v>54734.256303294525</v>
          </cell>
          <cell r="F288">
            <v>54734.256303294525</v>
          </cell>
          <cell r="G288">
            <v>54734.256303294525</v>
          </cell>
          <cell r="H288">
            <v>54734.256303294525</v>
          </cell>
          <cell r="I288">
            <v>54734.256303294525</v>
          </cell>
          <cell r="J288">
            <v>54734.256303294525</v>
          </cell>
          <cell r="K288">
            <v>54734.256303294525</v>
          </cell>
          <cell r="L288">
            <v>54734.256303294525</v>
          </cell>
        </row>
        <row r="289">
          <cell r="A289" t="str">
            <v>Marriott Hotel - Pooks Hill</v>
          </cell>
          <cell r="B289">
            <v>102388.27824479681</v>
          </cell>
          <cell r="C289">
            <v>103469.64669881271</v>
          </cell>
          <cell r="D289">
            <v>105189.02076995236</v>
          </cell>
          <cell r="E289">
            <v>106977.67971617093</v>
          </cell>
          <cell r="F289">
            <v>106977.67971617093</v>
          </cell>
          <cell r="G289">
            <v>106977.67971617093</v>
          </cell>
          <cell r="H289">
            <v>106977.67971617093</v>
          </cell>
          <cell r="I289">
            <v>106977.67971617093</v>
          </cell>
          <cell r="J289">
            <v>106977.67971617093</v>
          </cell>
          <cell r="K289">
            <v>106977.67971617093</v>
          </cell>
          <cell r="L289">
            <v>106977.67971617093</v>
          </cell>
        </row>
        <row r="290">
          <cell r="A290" t="str">
            <v>Marriott Suites - Bethesda</v>
          </cell>
          <cell r="B290">
            <v>75779.019453613786</v>
          </cell>
          <cell r="C290">
            <v>76554.22830814081</v>
          </cell>
          <cell r="D290">
            <v>77919.073639551876</v>
          </cell>
          <cell r="E290">
            <v>79332.319349808182</v>
          </cell>
          <cell r="F290">
            <v>79332.319349808182</v>
          </cell>
          <cell r="G290">
            <v>79332.319349808182</v>
          </cell>
          <cell r="H290">
            <v>79332.319349808182</v>
          </cell>
          <cell r="I290">
            <v>79332.319349808182</v>
          </cell>
          <cell r="J290">
            <v>79332.319349808182</v>
          </cell>
          <cell r="K290">
            <v>79332.319349808182</v>
          </cell>
          <cell r="L290">
            <v>79332.319349808182</v>
          </cell>
        </row>
        <row r="291">
          <cell r="A291" t="str">
            <v>Residence Inn - Bethesda</v>
          </cell>
          <cell r="B291">
            <v>51881.854916572127</v>
          </cell>
          <cell r="C291">
            <v>52543.283778031138</v>
          </cell>
          <cell r="D291">
            <v>53431.395129503609</v>
          </cell>
          <cell r="E291">
            <v>54355.692747649307</v>
          </cell>
          <cell r="F291">
            <v>54355.692747649307</v>
          </cell>
          <cell r="G291">
            <v>54355.692747649307</v>
          </cell>
          <cell r="H291">
            <v>54355.692747649307</v>
          </cell>
          <cell r="I291">
            <v>54355.692747649307</v>
          </cell>
          <cell r="J291">
            <v>54355.692747649307</v>
          </cell>
          <cell r="K291">
            <v>54355.692747649307</v>
          </cell>
          <cell r="L291">
            <v>54355.692747649307</v>
          </cell>
        </row>
        <row r="292">
          <cell r="A292" t="str">
            <v>Doubletree Hotel -Rockville</v>
          </cell>
          <cell r="B292">
            <v>77565.928868409523</v>
          </cell>
          <cell r="C292">
            <v>78431.393290437787</v>
          </cell>
          <cell r="D292">
            <v>79701.836284866527</v>
          </cell>
          <cell r="E292">
            <v>81039.215697280248</v>
          </cell>
          <cell r="F292">
            <v>81039.215697280248</v>
          </cell>
          <cell r="G292">
            <v>81039.215697280248</v>
          </cell>
          <cell r="H292">
            <v>81039.215697280248</v>
          </cell>
          <cell r="I292">
            <v>81039.215697280248</v>
          </cell>
          <cell r="J292">
            <v>81039.215697280248</v>
          </cell>
          <cell r="K292">
            <v>81039.215697280248</v>
          </cell>
          <cell r="L292">
            <v>81039.215697280248</v>
          </cell>
        </row>
        <row r="293">
          <cell r="A293" t="str">
            <v>Holiday Inn Chevy Chase</v>
          </cell>
          <cell r="B293">
            <v>44298.961566345941</v>
          </cell>
          <cell r="C293">
            <v>44775.618005622957</v>
          </cell>
          <cell r="D293">
            <v>45378.353760309197</v>
          </cell>
          <cell r="E293">
            <v>46060.338110351484</v>
          </cell>
          <cell r="F293">
            <v>46060.338110351484</v>
          </cell>
          <cell r="G293">
            <v>46060.338110351484</v>
          </cell>
          <cell r="H293">
            <v>46060.338110351484</v>
          </cell>
          <cell r="I293">
            <v>46060.338110351484</v>
          </cell>
          <cell r="J293">
            <v>46060.338110351484</v>
          </cell>
          <cell r="K293">
            <v>46060.338110351484</v>
          </cell>
          <cell r="L293">
            <v>46060.338110351484</v>
          </cell>
        </row>
        <row r="294">
          <cell r="A294" t="str">
            <v>Holiday Inn - Bethesda</v>
          </cell>
          <cell r="B294">
            <v>59280.880393311178</v>
          </cell>
          <cell r="C294">
            <v>60018.366742378988</v>
          </cell>
          <cell r="D294">
            <v>60819.830094040022</v>
          </cell>
          <cell r="E294">
            <v>61703.224337557869</v>
          </cell>
          <cell r="F294">
            <v>61703.224337557869</v>
          </cell>
          <cell r="G294">
            <v>61703.224337557869</v>
          </cell>
          <cell r="H294">
            <v>61703.224337557869</v>
          </cell>
          <cell r="I294">
            <v>61703.224337557869</v>
          </cell>
          <cell r="J294">
            <v>61703.224337557869</v>
          </cell>
          <cell r="K294">
            <v>61703.224337557869</v>
          </cell>
          <cell r="L294">
            <v>61703.224337557869</v>
          </cell>
        </row>
        <row r="295">
          <cell r="A295" t="str">
            <v>Ramada Inn - Bethesda</v>
          </cell>
          <cell r="B295">
            <v>37858.314453014886</v>
          </cell>
          <cell r="C295">
            <v>38426.574557955435</v>
          </cell>
          <cell r="D295">
            <v>38941.392796798762</v>
          </cell>
          <cell r="E295">
            <v>39478.431222839296</v>
          </cell>
          <cell r="F295">
            <v>39478.431222839296</v>
          </cell>
          <cell r="G295">
            <v>39478.431222839296</v>
          </cell>
          <cell r="H295">
            <v>39478.431222839296</v>
          </cell>
          <cell r="I295">
            <v>39478.431222839296</v>
          </cell>
          <cell r="J295">
            <v>39478.431222839296</v>
          </cell>
          <cell r="K295">
            <v>39478.431222839296</v>
          </cell>
          <cell r="L295">
            <v>39478.431222839296</v>
          </cell>
        </row>
        <row r="296">
          <cell r="A296" t="str">
            <v>Hyatt Regency - Bethesda</v>
          </cell>
          <cell r="B296">
            <v>99967.282754553045</v>
          </cell>
          <cell r="C296">
            <v>100977.86822439278</v>
          </cell>
          <cell r="D296">
            <v>102705.45986942112</v>
          </cell>
          <cell r="E296">
            <v>104502.17229955504</v>
          </cell>
          <cell r="F296">
            <v>104502.17229955504</v>
          </cell>
          <cell r="G296">
            <v>104502.17229955504</v>
          </cell>
          <cell r="H296">
            <v>104502.17229955504</v>
          </cell>
          <cell r="I296">
            <v>104502.17229955504</v>
          </cell>
          <cell r="J296">
            <v>104502.17229955504</v>
          </cell>
          <cell r="K296">
            <v>104502.17229955504</v>
          </cell>
          <cell r="L296">
            <v>104502.17229955504</v>
          </cell>
        </row>
        <row r="297">
          <cell r="A297" t="str">
            <v>Proposed Marriott White Flint</v>
          </cell>
          <cell r="B297">
            <v>55959.025300032445</v>
          </cell>
          <cell r="C297">
            <v>56729.783642976792</v>
          </cell>
          <cell r="D297">
            <v>57648.997820609453</v>
          </cell>
          <cell r="E297">
            <v>58616.381959307852</v>
          </cell>
          <cell r="F297">
            <v>58616.381959307852</v>
          </cell>
          <cell r="G297">
            <v>58616.381959307852</v>
          </cell>
          <cell r="H297">
            <v>58616.381959307852</v>
          </cell>
          <cell r="I297">
            <v>58616.381959307852</v>
          </cell>
          <cell r="J297">
            <v>58616.381959307852</v>
          </cell>
          <cell r="K297">
            <v>58616.381959307852</v>
          </cell>
          <cell r="L297">
            <v>58616.381959307852</v>
          </cell>
        </row>
        <row r="298">
          <cell r="A298" t="str">
            <v>Other Hotel Development</v>
          </cell>
          <cell r="B298">
            <v>55959.025300032445</v>
          </cell>
          <cell r="C298">
            <v>56729.783642976792</v>
          </cell>
          <cell r="D298">
            <v>57648.997820609453</v>
          </cell>
          <cell r="E298">
            <v>58616.381959307852</v>
          </cell>
          <cell r="F298">
            <v>58616.381959307852</v>
          </cell>
          <cell r="G298">
            <v>58616.381959307852</v>
          </cell>
          <cell r="H298">
            <v>58616.381959307852</v>
          </cell>
          <cell r="I298">
            <v>58616.381959307852</v>
          </cell>
          <cell r="J298">
            <v>58616.381959307852</v>
          </cell>
          <cell r="K298">
            <v>58616.381959307852</v>
          </cell>
          <cell r="L298">
            <v>58616.381959307852</v>
          </cell>
        </row>
        <row r="299">
          <cell r="A299" t="str">
            <v>Comp12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Comp13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A301" t="str">
            <v>Comp14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A302" t="str">
            <v>Comp15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A303" t="str">
            <v>Comp16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A304" t="str">
            <v>Comp17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A305" t="str">
            <v>Comp18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A306" t="str">
            <v>Comp19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A307" t="str">
            <v>Comp20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A308" t="str">
            <v>Comp21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A309" t="str">
            <v>Comp22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A310" t="str">
            <v>Comp23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A311" t="str">
            <v>Comp24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A312" t="str">
            <v>Comp25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A313" t="str">
            <v>Addition/Deletion 1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A314" t="str">
            <v>Addition/Deletion 2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A315" t="str">
            <v>Addition/Deletion 3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A316" t="str">
            <v>Addition/Deletion 4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A317" t="str">
            <v>Addition/Deletion 5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20">
          <cell r="A320" t="str">
            <v>Projected Occupancy</v>
          </cell>
          <cell r="B320">
            <v>2001</v>
          </cell>
          <cell r="C320">
            <v>2002</v>
          </cell>
          <cell r="D320">
            <v>2003</v>
          </cell>
          <cell r="E320">
            <v>2004</v>
          </cell>
          <cell r="F320">
            <v>2005</v>
          </cell>
          <cell r="G320">
            <v>2006</v>
          </cell>
          <cell r="H320">
            <v>2007</v>
          </cell>
          <cell r="I320">
            <v>2008</v>
          </cell>
          <cell r="J320">
            <v>2009</v>
          </cell>
          <cell r="K320">
            <v>2010</v>
          </cell>
          <cell r="L320">
            <v>2011</v>
          </cell>
        </row>
        <row r="321">
          <cell r="A321" t="str">
            <v>Proposed Friendship Heights Hotel</v>
          </cell>
          <cell r="B321">
            <v>0.65625680377145557</v>
          </cell>
          <cell r="C321">
            <v>0.71330473342545742</v>
          </cell>
          <cell r="D321">
            <v>0.73134062623578711</v>
          </cell>
          <cell r="E321">
            <v>0.74445261020443532</v>
          </cell>
          <cell r="F321">
            <v>0.74445261020443532</v>
          </cell>
          <cell r="G321">
            <v>0.74445261020443532</v>
          </cell>
          <cell r="H321">
            <v>0.74445261020443532</v>
          </cell>
          <cell r="I321">
            <v>0.74445261020443532</v>
          </cell>
          <cell r="J321">
            <v>0.74445261020443532</v>
          </cell>
          <cell r="K321">
            <v>0.74445261020443532</v>
          </cell>
          <cell r="L321">
            <v>0.74445261020443532</v>
          </cell>
        </row>
        <row r="322">
          <cell r="A322" t="str">
            <v>Embassy Suites - Chevy Chase</v>
          </cell>
          <cell r="B322">
            <v>0.72517512392887917</v>
          </cell>
          <cell r="C322">
            <v>0.73185759341478274</v>
          </cell>
          <cell r="D322">
            <v>0.74416081491655717</v>
          </cell>
          <cell r="E322">
            <v>0.75735791204226544</v>
          </cell>
          <cell r="F322">
            <v>0.75735791204226544</v>
          </cell>
          <cell r="G322">
            <v>0.75735791204226544</v>
          </cell>
          <cell r="H322">
            <v>0.75735791204226544</v>
          </cell>
          <cell r="I322">
            <v>0.75735791204226544</v>
          </cell>
          <cell r="J322">
            <v>0.75735791204226544</v>
          </cell>
          <cell r="K322">
            <v>0.75735791204226544</v>
          </cell>
          <cell r="L322">
            <v>0.75735791204226544</v>
          </cell>
        </row>
        <row r="323">
          <cell r="A323" t="str">
            <v>Marriott Hotel - Pooks Hill</v>
          </cell>
          <cell r="B323">
            <v>0.68753880099917275</v>
          </cell>
          <cell r="C323">
            <v>0.69480020614298088</v>
          </cell>
          <cell r="D323">
            <v>0.70634582843105265</v>
          </cell>
          <cell r="E323">
            <v>0.71835669967882709</v>
          </cell>
          <cell r="F323">
            <v>0.71835669967882709</v>
          </cell>
          <cell r="G323">
            <v>0.71835669967882709</v>
          </cell>
          <cell r="H323">
            <v>0.71835669967882709</v>
          </cell>
          <cell r="I323">
            <v>0.71835669967882709</v>
          </cell>
          <cell r="J323">
            <v>0.71835669967882709</v>
          </cell>
          <cell r="K323">
            <v>0.71835669967882709</v>
          </cell>
          <cell r="L323">
            <v>0.71835669967882709</v>
          </cell>
        </row>
        <row r="324">
          <cell r="A324" t="str">
            <v>Marriott Suites - Bethesda</v>
          </cell>
          <cell r="B324">
            <v>0.75771442309382853</v>
          </cell>
          <cell r="C324">
            <v>0.76546573650775729</v>
          </cell>
          <cell r="D324">
            <v>0.7791128251130075</v>
          </cell>
          <cell r="E324">
            <v>0.79324386911117073</v>
          </cell>
          <cell r="F324">
            <v>0.79324386911117073</v>
          </cell>
          <cell r="G324">
            <v>0.79324386911117073</v>
          </cell>
          <cell r="H324">
            <v>0.79324386911117073</v>
          </cell>
          <cell r="I324">
            <v>0.79324386911117073</v>
          </cell>
          <cell r="J324">
            <v>0.79324386911117073</v>
          </cell>
          <cell r="K324">
            <v>0.79324386911117073</v>
          </cell>
          <cell r="L324">
            <v>0.79324386911117073</v>
          </cell>
        </row>
        <row r="325">
          <cell r="A325" t="str">
            <v>Residence Inn - Bethesda</v>
          </cell>
          <cell r="B325">
            <v>0.76011801211005969</v>
          </cell>
          <cell r="C325">
            <v>0.76980856754862115</v>
          </cell>
          <cell r="D325">
            <v>0.78282023484731678</v>
          </cell>
          <cell r="E325">
            <v>0.79636206501573958</v>
          </cell>
          <cell r="F325">
            <v>0.79636206501573958</v>
          </cell>
          <cell r="G325">
            <v>0.79636206501573958</v>
          </cell>
          <cell r="H325">
            <v>0.79636206501573958</v>
          </cell>
          <cell r="I325">
            <v>0.79636206501573958</v>
          </cell>
          <cell r="J325">
            <v>0.79636206501573958</v>
          </cell>
          <cell r="K325">
            <v>0.79636206501573958</v>
          </cell>
          <cell r="L325">
            <v>0.79636206501573958</v>
          </cell>
        </row>
        <row r="326">
          <cell r="A326" t="str">
            <v>Doubletree Hotel -Rockville</v>
          </cell>
          <cell r="B326">
            <v>0.6746329973334162</v>
          </cell>
          <cell r="C326">
            <v>0.68216041131061345</v>
          </cell>
          <cell r="D326">
            <v>0.69321014381271173</v>
          </cell>
          <cell r="E326">
            <v>0.70484205868475969</v>
          </cell>
          <cell r="F326">
            <v>0.70484205868475969</v>
          </cell>
          <cell r="G326">
            <v>0.70484205868475969</v>
          </cell>
          <cell r="H326">
            <v>0.70484205868475969</v>
          </cell>
          <cell r="I326">
            <v>0.70484205868475969</v>
          </cell>
          <cell r="J326">
            <v>0.70484205868475969</v>
          </cell>
          <cell r="K326">
            <v>0.70484205868475969</v>
          </cell>
          <cell r="L326">
            <v>0.70484205868475969</v>
          </cell>
        </row>
        <row r="327">
          <cell r="A327" t="str">
            <v>Holiday Inn Chevy Chase</v>
          </cell>
          <cell r="B327">
            <v>0.56713559808406022</v>
          </cell>
          <cell r="C327">
            <v>0.57323797216262906</v>
          </cell>
          <cell r="D327">
            <v>0.58095447139046474</v>
          </cell>
          <cell r="E327">
            <v>0.58968554743760704</v>
          </cell>
          <cell r="F327">
            <v>0.58968554743760704</v>
          </cell>
          <cell r="G327">
            <v>0.58968554743760704</v>
          </cell>
          <cell r="H327">
            <v>0.58968554743760704</v>
          </cell>
          <cell r="I327">
            <v>0.58968554743760704</v>
          </cell>
          <cell r="J327">
            <v>0.58968554743760704</v>
          </cell>
          <cell r="K327">
            <v>0.58968554743760704</v>
          </cell>
          <cell r="L327">
            <v>0.58968554743760704</v>
          </cell>
        </row>
        <row r="328">
          <cell r="A328" t="str">
            <v>Holiday Inn - Bethesda</v>
          </cell>
          <cell r="B328">
            <v>0.60153100348362432</v>
          </cell>
          <cell r="C328">
            <v>0.60901437587396234</v>
          </cell>
          <cell r="D328">
            <v>0.61714693144637267</v>
          </cell>
          <cell r="E328">
            <v>0.62611085071088657</v>
          </cell>
          <cell r="F328">
            <v>0.62611085071088657</v>
          </cell>
          <cell r="G328">
            <v>0.62611085071088657</v>
          </cell>
          <cell r="H328">
            <v>0.62611085071088657</v>
          </cell>
          <cell r="I328">
            <v>0.62611085071088657</v>
          </cell>
          <cell r="J328">
            <v>0.62611085071088657</v>
          </cell>
          <cell r="K328">
            <v>0.62611085071088657</v>
          </cell>
          <cell r="L328">
            <v>0.62611085071088657</v>
          </cell>
        </row>
        <row r="329">
          <cell r="A329" t="str">
            <v>Ramada Inn - Bethesda</v>
          </cell>
          <cell r="B329">
            <v>0.63632766540070407</v>
          </cell>
          <cell r="C329">
            <v>0.64587905803774159</v>
          </cell>
          <cell r="D329">
            <v>0.65453219256742179</v>
          </cell>
          <cell r="E329">
            <v>0.66355880700629122</v>
          </cell>
          <cell r="F329">
            <v>0.66355880700629122</v>
          </cell>
          <cell r="G329">
            <v>0.66355880700629122</v>
          </cell>
          <cell r="H329">
            <v>0.66355880700629122</v>
          </cell>
          <cell r="I329">
            <v>0.66355880700629122</v>
          </cell>
          <cell r="J329">
            <v>0.66355880700629122</v>
          </cell>
          <cell r="K329">
            <v>0.66355880700629122</v>
          </cell>
          <cell r="L329">
            <v>0.66355880700629122</v>
          </cell>
        </row>
        <row r="330">
          <cell r="A330" t="str">
            <v>Hyatt Regency - Bethesda</v>
          </cell>
          <cell r="B330">
            <v>0.71885293031713982</v>
          </cell>
          <cell r="C330">
            <v>0.72611993114293871</v>
          </cell>
          <cell r="D330">
            <v>0.73854283874030935</v>
          </cell>
          <cell r="E330">
            <v>0.75146278574447223</v>
          </cell>
          <cell r="F330">
            <v>0.75146278574447223</v>
          </cell>
          <cell r="G330">
            <v>0.75146278574447223</v>
          </cell>
          <cell r="H330">
            <v>0.75146278574447223</v>
          </cell>
          <cell r="I330">
            <v>0.75146278574447223</v>
          </cell>
          <cell r="J330">
            <v>0.75146278574447223</v>
          </cell>
          <cell r="K330">
            <v>0.75146278574447223</v>
          </cell>
          <cell r="L330">
            <v>0.75146278574447223</v>
          </cell>
        </row>
        <row r="331">
          <cell r="A331" t="str">
            <v>Proposed Marriott White Flint</v>
          </cell>
          <cell r="B331">
            <v>0.68138843592124743</v>
          </cell>
          <cell r="C331">
            <v>0.69077362122346175</v>
          </cell>
          <cell r="D331">
            <v>0.70196648792218508</v>
          </cell>
          <cell r="E331">
            <v>0.71374589904788865</v>
          </cell>
          <cell r="F331">
            <v>0.71374589904788865</v>
          </cell>
          <cell r="G331">
            <v>0.71374589904788865</v>
          </cell>
          <cell r="H331">
            <v>0.71374589904788865</v>
          </cell>
          <cell r="I331">
            <v>0.71374589904788865</v>
          </cell>
          <cell r="J331">
            <v>0.71374589904788865</v>
          </cell>
          <cell r="K331">
            <v>0.71374589904788865</v>
          </cell>
          <cell r="L331">
            <v>0.71374589904788865</v>
          </cell>
        </row>
        <row r="332">
          <cell r="A332" t="str">
            <v>Other Hotel Development</v>
          </cell>
          <cell r="B332">
            <v>0.68138843592124743</v>
          </cell>
          <cell r="C332">
            <v>0.69077362122346175</v>
          </cell>
          <cell r="D332">
            <v>0.70196648792218508</v>
          </cell>
          <cell r="E332">
            <v>0.71374589904788865</v>
          </cell>
          <cell r="F332">
            <v>0.71374589904788865</v>
          </cell>
          <cell r="G332">
            <v>0.71374589904788865</v>
          </cell>
          <cell r="H332">
            <v>0.71374589904788865</v>
          </cell>
          <cell r="I332">
            <v>0.71374589904788865</v>
          </cell>
          <cell r="J332">
            <v>0.71374589904788865</v>
          </cell>
          <cell r="K332">
            <v>0.71374589904788865</v>
          </cell>
          <cell r="L332">
            <v>0.71374589904788865</v>
          </cell>
        </row>
        <row r="333">
          <cell r="A333" t="str">
            <v>Comp12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A334" t="str">
            <v>Comp13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A335" t="str">
            <v>Comp14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A336" t="str">
            <v>Comp15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A337" t="str">
            <v>Comp16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A338" t="str">
            <v>Comp17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A339" t="str">
            <v>Comp18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A340" t="str">
            <v>Comp19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A341" t="str">
            <v>Comp20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A342" t="str">
            <v>Comp21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A343" t="str">
            <v>Comp22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A344" t="str">
            <v>Comp23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A345" t="str">
            <v>Comp24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A346" t="str">
            <v>Comp25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A347" t="str">
            <v>Addition/Deletion 1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A348" t="str">
            <v>Addition/Deletion 2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A349" t="str">
            <v>Addition/Deletion 3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A350" t="str">
            <v>Addition/Deletion 4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A351" t="str">
            <v>Addition/Deletion 5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4">
          <cell r="A354" t="str">
            <v>Projected Penetration</v>
          </cell>
          <cell r="B354">
            <v>2001</v>
          </cell>
          <cell r="C354">
            <v>2002</v>
          </cell>
          <cell r="D354">
            <v>2003</v>
          </cell>
          <cell r="E354">
            <v>2004</v>
          </cell>
          <cell r="F354">
            <v>2005</v>
          </cell>
          <cell r="G354">
            <v>2006</v>
          </cell>
          <cell r="H354">
            <v>2007</v>
          </cell>
          <cell r="I354">
            <v>2008</v>
          </cell>
          <cell r="J354">
            <v>2009</v>
          </cell>
          <cell r="K354">
            <v>2010</v>
          </cell>
          <cell r="L354">
            <v>2011</v>
          </cell>
        </row>
        <row r="355">
          <cell r="A355" t="str">
            <v>Proposed Friendship Heights Hotel</v>
          </cell>
          <cell r="B355">
            <v>0.96311702573024527</v>
          </cell>
          <cell r="C355">
            <v>1.0295683443086816</v>
          </cell>
          <cell r="D355">
            <v>1.0381712847618627</v>
          </cell>
          <cell r="E355">
            <v>1.039321914460184</v>
          </cell>
          <cell r="F355">
            <v>1.039321914460184</v>
          </cell>
          <cell r="G355">
            <v>1.039321914460184</v>
          </cell>
          <cell r="H355">
            <v>1.039321914460184</v>
          </cell>
          <cell r="I355">
            <v>1.039321914460184</v>
          </cell>
          <cell r="J355">
            <v>1.039321914460184</v>
          </cell>
          <cell r="K355">
            <v>1.039321914460184</v>
          </cell>
          <cell r="L355">
            <v>1.039321914460184</v>
          </cell>
        </row>
        <row r="356">
          <cell r="A356" t="str">
            <v>Embassy Suites - Chevy Chase</v>
          </cell>
          <cell r="B356">
            <v>1.0642609790529123</v>
          </cell>
          <cell r="C356">
            <v>1.0563471338586554</v>
          </cell>
          <cell r="D356">
            <v>1.0563701257343778</v>
          </cell>
          <cell r="E356">
            <v>1.0573388611790584</v>
          </cell>
          <cell r="F356">
            <v>1.0573388611790584</v>
          </cell>
          <cell r="G356">
            <v>1.0573388611790584</v>
          </cell>
          <cell r="H356">
            <v>1.0573388611790584</v>
          </cell>
          <cell r="I356">
            <v>1.0573388611790584</v>
          </cell>
          <cell r="J356">
            <v>1.0573388611790584</v>
          </cell>
          <cell r="K356">
            <v>1.0573388611790584</v>
          </cell>
          <cell r="L356">
            <v>1.0573388611790584</v>
          </cell>
        </row>
        <row r="357">
          <cell r="A357" t="str">
            <v>Marriott Hotel - Pooks Hill</v>
          </cell>
          <cell r="B357">
            <v>1.0090262246226855</v>
          </cell>
          <cell r="C357">
            <v>1.0028593171234228</v>
          </cell>
          <cell r="D357">
            <v>1.0026900323626038</v>
          </cell>
          <cell r="E357">
            <v>1.0028897073387546</v>
          </cell>
          <cell r="F357">
            <v>1.0028897073387546</v>
          </cell>
          <cell r="G357">
            <v>1.0028897073387546</v>
          </cell>
          <cell r="H357">
            <v>1.0028897073387546</v>
          </cell>
          <cell r="I357">
            <v>1.0028897073387546</v>
          </cell>
          <cell r="J357">
            <v>1.0028897073387546</v>
          </cell>
          <cell r="K357">
            <v>1.0028897073387546</v>
          </cell>
          <cell r="L357">
            <v>1.0028897073387546</v>
          </cell>
        </row>
        <row r="358">
          <cell r="A358" t="str">
            <v>Marriott Suites - Bethesda</v>
          </cell>
          <cell r="B358">
            <v>1.1120153838087776</v>
          </cell>
          <cell r="C358">
            <v>1.1048563875031063</v>
          </cell>
          <cell r="D358">
            <v>1.1059860940382631</v>
          </cell>
          <cell r="E358">
            <v>1.1074388421474217</v>
          </cell>
          <cell r="F358">
            <v>1.1074388421474217</v>
          </cell>
          <cell r="G358">
            <v>1.1074388421474217</v>
          </cell>
          <cell r="H358">
            <v>1.1074388421474217</v>
          </cell>
          <cell r="I358">
            <v>1.1074388421474217</v>
          </cell>
          <cell r="J358">
            <v>1.1074388421474217</v>
          </cell>
          <cell r="K358">
            <v>1.1074388421474217</v>
          </cell>
          <cell r="L358">
            <v>1.1074388421474217</v>
          </cell>
        </row>
        <row r="359">
          <cell r="A359" t="str">
            <v>Residence Inn - Bethesda</v>
          </cell>
          <cell r="B359">
            <v>1.1155428710532325</v>
          </cell>
          <cell r="C359">
            <v>1.1111247341925818</v>
          </cell>
          <cell r="D359">
            <v>1.1112489307916609</v>
          </cell>
          <cell r="E359">
            <v>1.111792120371953</v>
          </cell>
          <cell r="F359">
            <v>1.111792120371953</v>
          </cell>
          <cell r="G359">
            <v>1.111792120371953</v>
          </cell>
          <cell r="H359">
            <v>1.111792120371953</v>
          </cell>
          <cell r="I359">
            <v>1.111792120371953</v>
          </cell>
          <cell r="J359">
            <v>1.111792120371953</v>
          </cell>
          <cell r="K359">
            <v>1.111792120371953</v>
          </cell>
          <cell r="L359">
            <v>1.111792120371953</v>
          </cell>
        </row>
        <row r="360">
          <cell r="A360" t="str">
            <v>Doubletree Hotel -Rockville</v>
          </cell>
          <cell r="B360">
            <v>0.99008577452786128</v>
          </cell>
          <cell r="C360">
            <v>0.98461531560745374</v>
          </cell>
          <cell r="D360">
            <v>0.98404333055603266</v>
          </cell>
          <cell r="E360">
            <v>0.98402206907855827</v>
          </cell>
          <cell r="F360">
            <v>0.98402206907855827</v>
          </cell>
          <cell r="G360">
            <v>0.98402206907855827</v>
          </cell>
          <cell r="H360">
            <v>0.98402206907855827</v>
          </cell>
          <cell r="I360">
            <v>0.98402206907855827</v>
          </cell>
          <cell r="J360">
            <v>0.98402206907855827</v>
          </cell>
          <cell r="K360">
            <v>0.98402206907855827</v>
          </cell>
          <cell r="L360">
            <v>0.98402206907855827</v>
          </cell>
        </row>
        <row r="361">
          <cell r="A361" t="str">
            <v>Holiday Inn Chevy Chase</v>
          </cell>
          <cell r="B361">
            <v>0.83232348567419456</v>
          </cell>
          <cell r="C361">
            <v>0.82739906555803122</v>
          </cell>
          <cell r="D361">
            <v>0.82469129748186043</v>
          </cell>
          <cell r="E361">
            <v>0.82325335916822617</v>
          </cell>
          <cell r="F361">
            <v>0.82325335916822617</v>
          </cell>
          <cell r="G361">
            <v>0.82325335916822617</v>
          </cell>
          <cell r="H361">
            <v>0.82325335916822617</v>
          </cell>
          <cell r="I361">
            <v>0.82325335916822617</v>
          </cell>
          <cell r="J361">
            <v>0.82325335916822617</v>
          </cell>
          <cell r="K361">
            <v>0.82325335916822617</v>
          </cell>
          <cell r="L361">
            <v>0.82325335916822617</v>
          </cell>
        </row>
        <row r="362">
          <cell r="A362" t="str">
            <v>Holiday Inn - Bethesda</v>
          </cell>
          <cell r="B362">
            <v>0.88280189649879437</v>
          </cell>
          <cell r="C362">
            <v>0.87903793883104275</v>
          </cell>
          <cell r="D362">
            <v>0.87606814078445083</v>
          </cell>
          <cell r="E362">
            <v>0.87410631530519445</v>
          </cell>
          <cell r="F362">
            <v>0.87410631530519445</v>
          </cell>
          <cell r="G362">
            <v>0.87410631530519445</v>
          </cell>
          <cell r="H362">
            <v>0.87410631530519445</v>
          </cell>
          <cell r="I362">
            <v>0.87410631530519445</v>
          </cell>
          <cell r="J362">
            <v>0.87410631530519445</v>
          </cell>
          <cell r="K362">
            <v>0.87410631530519445</v>
          </cell>
          <cell r="L362">
            <v>0.87410631530519445</v>
          </cell>
        </row>
        <row r="363">
          <cell r="A363" t="str">
            <v>Ramada Inn - Bethesda</v>
          </cell>
          <cell r="B363">
            <v>0.9338691880503952</v>
          </cell>
          <cell r="C363">
            <v>0.93224760925697758</v>
          </cell>
          <cell r="D363">
            <v>0.92913821945485697</v>
          </cell>
          <cell r="E363">
            <v>0.92638698582211731</v>
          </cell>
          <cell r="F363">
            <v>0.92638698582211731</v>
          </cell>
          <cell r="G363">
            <v>0.92638698582211731</v>
          </cell>
          <cell r="H363">
            <v>0.92638698582211731</v>
          </cell>
          <cell r="I363">
            <v>0.92638698582211731</v>
          </cell>
          <cell r="J363">
            <v>0.92638698582211731</v>
          </cell>
          <cell r="K363">
            <v>0.92638698582211731</v>
          </cell>
          <cell r="L363">
            <v>0.92638698582211731</v>
          </cell>
        </row>
        <row r="364">
          <cell r="A364" t="str">
            <v>Hyatt Regency - Bethesda</v>
          </cell>
          <cell r="B364">
            <v>1.0549825803034651</v>
          </cell>
          <cell r="C364">
            <v>1.0480655184864196</v>
          </cell>
          <cell r="D364">
            <v>1.0483951530124653</v>
          </cell>
          <cell r="E364">
            <v>1.0491087416713514</v>
          </cell>
          <cell r="F364">
            <v>1.0491087416713514</v>
          </cell>
          <cell r="G364">
            <v>1.0491087416713514</v>
          </cell>
          <cell r="H364">
            <v>1.0491087416713514</v>
          </cell>
          <cell r="I364">
            <v>1.0491087416713514</v>
          </cell>
          <cell r="J364">
            <v>1.0491087416713514</v>
          </cell>
          <cell r="K364">
            <v>1.0491087416713514</v>
          </cell>
          <cell r="L364">
            <v>1.0491087416713514</v>
          </cell>
        </row>
        <row r="365">
          <cell r="A365" t="str">
            <v>Proposed Marriott White Flint</v>
          </cell>
          <cell r="B365">
            <v>1.0000000000000002</v>
          </cell>
          <cell r="C365">
            <v>0.99704743312133681</v>
          </cell>
          <cell r="D365">
            <v>0.99647335931122205</v>
          </cell>
          <cell r="E365">
            <v>0.9964526204466484</v>
          </cell>
          <cell r="F365">
            <v>0.9964526204466484</v>
          </cell>
          <cell r="G365">
            <v>0.9964526204466484</v>
          </cell>
          <cell r="H365">
            <v>0.9964526204466484</v>
          </cell>
          <cell r="I365">
            <v>0.9964526204466484</v>
          </cell>
          <cell r="J365">
            <v>0.9964526204466484</v>
          </cell>
          <cell r="K365">
            <v>0.9964526204466484</v>
          </cell>
          <cell r="L365">
            <v>0.9964526204466484</v>
          </cell>
        </row>
        <row r="366">
          <cell r="A366" t="str">
            <v>Other Hotel Development</v>
          </cell>
          <cell r="B366">
            <v>1.0000000000000002</v>
          </cell>
          <cell r="C366">
            <v>0.99704743312133681</v>
          </cell>
          <cell r="D366">
            <v>0.99647335931122205</v>
          </cell>
          <cell r="E366">
            <v>0.9964526204466484</v>
          </cell>
          <cell r="F366">
            <v>0.9964526204466484</v>
          </cell>
          <cell r="G366">
            <v>0.9964526204466484</v>
          </cell>
          <cell r="H366">
            <v>0.9964526204466484</v>
          </cell>
          <cell r="I366">
            <v>0.9964526204466484</v>
          </cell>
          <cell r="J366">
            <v>0.9964526204466484</v>
          </cell>
          <cell r="K366">
            <v>0.9964526204466484</v>
          </cell>
          <cell r="L366">
            <v>0.9964526204466484</v>
          </cell>
        </row>
        <row r="367">
          <cell r="A367" t="str">
            <v>Comp12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A368" t="str">
            <v>Comp13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A369" t="str">
            <v>Comp14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A370" t="str">
            <v>Comp15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A371" t="str">
            <v>Comp16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A372" t="str">
            <v>Comp17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A373" t="str">
            <v>Comp18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A374" t="str">
            <v>Comp19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A375" t="str">
            <v>Comp20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A376" t="str">
            <v>Comp21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A377" t="str">
            <v>Comp22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A378" t="str">
            <v>Comp23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A379" t="str">
            <v>Comp24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A380" t="str">
            <v>Comp25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A381" t="str">
            <v>Addition/Deletion 1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A382" t="str">
            <v>Addition/Deletion 2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A383" t="str">
            <v>Addition/Deletion 3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A384" t="str">
            <v>Addition/Deletion 4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A385" t="str">
            <v>Addition/Deletion 5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34">
          <cell r="BW534" t="str">
            <v>Forecast of Income &amp; Expense ($,000)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Base Year is 1997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KPMG Theme(Excel)">
  <a:themeElements>
    <a:clrScheme name="KPMG (Excel)">
      <a:dk1>
        <a:srgbClr val="646464"/>
      </a:dk1>
      <a:lt1>
        <a:srgbClr val="FFFFFF"/>
      </a:lt1>
      <a:dk2>
        <a:srgbClr val="02348D"/>
      </a:dk2>
      <a:lt2>
        <a:srgbClr val="F0F0F0"/>
      </a:lt2>
      <a:accent1>
        <a:srgbClr val="89DAFF"/>
      </a:accent1>
      <a:accent2>
        <a:srgbClr val="00A3A1"/>
      </a:accent2>
      <a:accent3>
        <a:srgbClr val="43B02A"/>
      </a:accent3>
      <a:accent4>
        <a:srgbClr val="F68D2E"/>
      </a:accent4>
      <a:accent5>
        <a:srgbClr val="F04C3E"/>
      </a:accent5>
      <a:accent6>
        <a:srgbClr val="FFF27F"/>
      </a:accent6>
      <a:hlink>
        <a:srgbClr val="336699"/>
      </a:hlink>
      <a:folHlink>
        <a:srgbClr val="7030A0"/>
      </a:folHlink>
    </a:clrScheme>
    <a:fontScheme name="Custom 1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9525">
          <a:solidFill>
            <a:schemeClr val="accent1"/>
          </a:solidFill>
        </a:ln>
      </a:spPr>
      <a:bodyPr rtlCol="0" anchor="t" anchorCtr="0"/>
      <a:lstStyle>
        <a:defPPr algn="ctr">
          <a:defRPr sz="1200" dirty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1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36576" rIns="0" bIns="0" rtlCol="0">
        <a:spAutoFit/>
      </a:bodyPr>
      <a:lstStyle>
        <a:defPPr marL="285750" indent="-285750">
          <a:lnSpc>
            <a:spcPct val="85000"/>
          </a:lnSpc>
          <a:spcAft>
            <a:spcPts val="600"/>
          </a:spcAft>
          <a:buClr>
            <a:schemeClr val="accent2"/>
          </a:buClr>
          <a:buSzPct val="70000"/>
          <a:buFont typeface="Arial" pitchFamily="34" charset="0"/>
          <a:buChar char="►"/>
          <a:defRPr sz="1200" dirty="0" smtClean="0"/>
        </a:defPPr>
      </a:lstStyle>
    </a:txDef>
  </a:objectDefaults>
  <a:extraClrSchemeLst/>
  <a:custClrLst>
    <a:custClr name="KPMG Teriary Green">
      <a:srgbClr val="009A44"/>
    </a:custClr>
    <a:custClr name="KPMG Teriary Lime">
      <a:srgbClr val="43B02A"/>
    </a:custClr>
    <a:custClr name="KPMG Teriary Gold">
      <a:srgbClr val="EAAA00"/>
    </a:custClr>
    <a:custClr name="KPMG Teriary Orange">
      <a:srgbClr val="F68D2E"/>
    </a:custClr>
    <a:custClr name="KPMG Teriary Red">
      <a:srgbClr val="BC204B"/>
    </a:custClr>
    <a:custClr name="KPMG Teriary Pink">
      <a:srgbClr val="C6007E"/>
    </a:custClr>
    <a:custClr name="EY Special Use Lilac">
      <a:srgbClr val="AC98DB"/>
    </a:custClr>
    <a:custClr name="EY Special Use Lilac 50%">
      <a:srgbClr val="D8D2E0"/>
    </a:custClr>
    <a:custClr name="EY Yellow 50%">
      <a:srgbClr val="FFF27F"/>
    </a:custClr>
    <a:custClr name="EY Gold Accent 2">
      <a:srgbClr val="FFF7CC"/>
    </a:custClr>
  </a:custClr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346"/>
  <sheetViews>
    <sheetView showGridLines="0" tabSelected="1" topLeftCell="A46" workbookViewId="0">
      <selection activeCell="B93" sqref="B93"/>
    </sheetView>
  </sheetViews>
  <sheetFormatPr defaultRowHeight="12"/>
  <cols>
    <col min="2" max="2" width="8.5703125" customWidth="1"/>
    <col min="3" max="3" width="32" customWidth="1"/>
    <col min="4" max="4" width="13.7109375" customWidth="1"/>
    <col min="5" max="6" width="9.7109375" customWidth="1"/>
    <col min="7" max="7" width="13.42578125" customWidth="1"/>
    <col min="8" max="8" width="14" bestFit="1" customWidth="1"/>
    <col min="9" max="9" width="10.28515625" customWidth="1"/>
    <col min="10" max="12" width="10.140625" bestFit="1" customWidth="1"/>
  </cols>
  <sheetData>
    <row r="2" spans="2:8" ht="12.75" thickBot="1"/>
    <row r="3" spans="2:8" ht="12.75" thickBot="1">
      <c r="B3" s="542"/>
      <c r="C3" s="541" t="str">
        <f>'A&amp;R'!C38</f>
        <v>원금</v>
      </c>
      <c r="D3" s="551" t="str">
        <f>'A&amp;R'!D38</f>
        <v>이자율</v>
      </c>
      <c r="E3" s="541" t="str">
        <f>'A&amp;R'!E38</f>
        <v>연이자</v>
      </c>
      <c r="F3" s="541" t="str">
        <f>'A&amp;R'!F38</f>
        <v>LTP</v>
      </c>
      <c r="G3" s="541" t="str">
        <f>'A&amp;R'!G38</f>
        <v>Debt Yield</v>
      </c>
      <c r="H3" s="543" t="str">
        <f>'A&amp;R'!H38</f>
        <v>DSCR</v>
      </c>
    </row>
    <row r="4" spans="2:8" ht="12.75" thickBot="1">
      <c r="B4" s="549" t="str">
        <f>'A&amp;R'!B39</f>
        <v>Senior Loan</v>
      </c>
      <c r="C4" s="545">
        <f>'A&amp;R'!C39</f>
        <v>37000000</v>
      </c>
      <c r="D4" s="550">
        <f>'A&amp;R'!D39</f>
        <v>0.04</v>
      </c>
      <c r="E4" s="545">
        <f>'A&amp;R'!E39</f>
        <v>1500555.5555555555</v>
      </c>
      <c r="F4" s="546">
        <f>'A&amp;R'!F39</f>
        <v>0.53857350800582238</v>
      </c>
      <c r="G4" s="547">
        <f ca="1">'A&amp;R'!G39</f>
        <v>0.13149418139378038</v>
      </c>
      <c r="H4" s="548">
        <f ca="1">'A&amp;R'!H39</f>
        <v>3.2423222809425303</v>
      </c>
    </row>
    <row r="5" spans="2:8" ht="12.75" thickBot="1"/>
    <row r="6" spans="2:8" ht="12.75" thickBot="1">
      <c r="B6" s="557" t="s">
        <v>364</v>
      </c>
      <c r="C6" s="553" t="s">
        <v>365</v>
      </c>
    </row>
    <row r="7" spans="2:8" ht="12.75" thickBot="1">
      <c r="B7" s="554" t="s">
        <v>323</v>
      </c>
      <c r="C7" s="555" t="s">
        <v>324</v>
      </c>
      <c r="H7" t="s">
        <v>335</v>
      </c>
    </row>
    <row r="8" spans="2:8" ht="12.75" thickBot="1">
      <c r="B8" s="554" t="s">
        <v>355</v>
      </c>
      <c r="C8" s="555" t="s">
        <v>356</v>
      </c>
      <c r="H8" t="s">
        <v>336</v>
      </c>
    </row>
    <row r="9" spans="2:8" ht="12.75" thickBot="1">
      <c r="B9" s="554" t="s">
        <v>357</v>
      </c>
      <c r="C9" s="555" t="s">
        <v>358</v>
      </c>
      <c r="H9" t="s">
        <v>337</v>
      </c>
    </row>
    <row r="10" spans="2:8" ht="36.75" thickBot="1">
      <c r="B10" s="554" t="s">
        <v>359</v>
      </c>
      <c r="C10" s="555" t="s">
        <v>360</v>
      </c>
      <c r="H10" t="s">
        <v>338</v>
      </c>
    </row>
    <row r="11" spans="2:8" ht="36.75" thickBot="1">
      <c r="B11" s="554" t="s">
        <v>361</v>
      </c>
      <c r="C11" s="555" t="s">
        <v>362</v>
      </c>
      <c r="H11" t="s">
        <v>322</v>
      </c>
    </row>
    <row r="12" spans="2:8" ht="12.75" thickBot="1">
      <c r="B12" s="554" t="s">
        <v>363</v>
      </c>
      <c r="C12" s="556">
        <v>1</v>
      </c>
      <c r="H12" t="s">
        <v>339</v>
      </c>
    </row>
    <row r="13" spans="2:8">
      <c r="H13" t="s">
        <v>325</v>
      </c>
    </row>
    <row r="14" spans="2:8">
      <c r="H14" t="s">
        <v>340</v>
      </c>
    </row>
    <row r="15" spans="2:8">
      <c r="H15" t="s">
        <v>326</v>
      </c>
    </row>
    <row r="16" spans="2:8" ht="12.75" thickBot="1">
      <c r="H16" t="s">
        <v>341</v>
      </c>
    </row>
    <row r="17" spans="2:8" ht="12.75" thickBot="1">
      <c r="B17" s="557" t="s">
        <v>364</v>
      </c>
      <c r="C17" s="543" t="s">
        <v>365</v>
      </c>
      <c r="H17" t="s">
        <v>327</v>
      </c>
    </row>
    <row r="18" spans="2:8" ht="12.75" thickBot="1">
      <c r="B18" s="554" t="s">
        <v>366</v>
      </c>
      <c r="C18" s="559" t="s">
        <v>368</v>
      </c>
      <c r="H18" t="s">
        <v>342</v>
      </c>
    </row>
    <row r="19" spans="2:8" ht="12.75" thickBot="1">
      <c r="B19" s="554" t="s">
        <v>367</v>
      </c>
      <c r="C19" s="559" t="s">
        <v>369</v>
      </c>
      <c r="H19" t="s">
        <v>328</v>
      </c>
    </row>
    <row r="20" spans="2:8" ht="12.75" thickBot="1">
      <c r="B20" s="554" t="s">
        <v>370</v>
      </c>
      <c r="C20" s="560">
        <f>'A&amp;R'!C39</f>
        <v>37000000</v>
      </c>
      <c r="H20" t="s">
        <v>343</v>
      </c>
    </row>
    <row r="21" spans="2:8" ht="12.75" thickBot="1">
      <c r="B21" s="554" t="s">
        <v>371</v>
      </c>
      <c r="C21" s="559" t="s">
        <v>372</v>
      </c>
      <c r="H21" t="s">
        <v>344</v>
      </c>
    </row>
    <row r="22" spans="2:8" ht="12.75" thickBot="1">
      <c r="B22" s="554" t="s">
        <v>373</v>
      </c>
      <c r="C22" s="561" t="s">
        <v>374</v>
      </c>
      <c r="H22" t="s">
        <v>345</v>
      </c>
    </row>
    <row r="23" spans="2:8" ht="12.75" thickBot="1">
      <c r="B23" s="554" t="s">
        <v>375</v>
      </c>
      <c r="C23" s="559" t="s">
        <v>376</v>
      </c>
      <c r="H23" t="s">
        <v>329</v>
      </c>
    </row>
    <row r="24" spans="2:8" ht="12.75" thickBot="1">
      <c r="B24" s="554" t="s">
        <v>377</v>
      </c>
      <c r="C24" s="559" t="s">
        <v>378</v>
      </c>
      <c r="H24" t="s">
        <v>346</v>
      </c>
    </row>
    <row r="25" spans="2:8" ht="12.75" thickBot="1">
      <c r="B25" s="554" t="s">
        <v>379</v>
      </c>
      <c r="C25" s="559" t="s">
        <v>380</v>
      </c>
      <c r="H25" t="s">
        <v>347</v>
      </c>
    </row>
    <row r="26" spans="2:8">
      <c r="H26" t="s">
        <v>348</v>
      </c>
    </row>
    <row r="27" spans="2:8">
      <c r="H27" t="s">
        <v>349</v>
      </c>
    </row>
    <row r="28" spans="2:8">
      <c r="H28" t="s">
        <v>330</v>
      </c>
    </row>
    <row r="29" spans="2:8">
      <c r="H29" t="s">
        <v>350</v>
      </c>
    </row>
    <row r="30" spans="2:8">
      <c r="H30" t="s">
        <v>351</v>
      </c>
    </row>
    <row r="31" spans="2:8">
      <c r="H31" t="s">
        <v>331</v>
      </c>
    </row>
    <row r="32" spans="2:8">
      <c r="H32" s="360">
        <v>1E-3</v>
      </c>
    </row>
    <row r="33" spans="2:8">
      <c r="H33" t="s">
        <v>332</v>
      </c>
    </row>
    <row r="34" spans="2:8">
      <c r="H34" t="s">
        <v>352</v>
      </c>
    </row>
    <row r="35" spans="2:8">
      <c r="H35" t="s">
        <v>333</v>
      </c>
    </row>
    <row r="36" spans="2:8">
      <c r="H36" t="s">
        <v>353</v>
      </c>
    </row>
    <row r="37" spans="2:8">
      <c r="H37" t="s">
        <v>334</v>
      </c>
    </row>
    <row r="38" spans="2:8">
      <c r="H38" t="s">
        <v>354</v>
      </c>
    </row>
    <row r="42" spans="2:8" ht="12.75" thickBot="1">
      <c r="H42" s="2" t="s">
        <v>335</v>
      </c>
    </row>
    <row r="43" spans="2:8" ht="12.75" thickBot="1">
      <c r="B43" s="557" t="s">
        <v>364</v>
      </c>
      <c r="C43" s="543" t="s">
        <v>365</v>
      </c>
      <c r="H43" s="2" t="s">
        <v>336</v>
      </c>
    </row>
    <row r="44" spans="2:8" ht="12.75" thickBot="1">
      <c r="B44" s="554" t="s">
        <v>402</v>
      </c>
      <c r="C44" s="559" t="s">
        <v>405</v>
      </c>
      <c r="H44" s="2" t="s">
        <v>329</v>
      </c>
    </row>
    <row r="45" spans="2:8" ht="12.75" thickBot="1">
      <c r="B45" s="554" t="s">
        <v>403</v>
      </c>
      <c r="C45" s="559" t="s">
        <v>406</v>
      </c>
      <c r="H45" s="2" t="s">
        <v>401</v>
      </c>
    </row>
    <row r="46" spans="2:8" ht="12.75" thickBot="1">
      <c r="B46" s="554" t="s">
        <v>404</v>
      </c>
      <c r="C46" s="560" t="s">
        <v>407</v>
      </c>
      <c r="H46" s="2" t="s">
        <v>400</v>
      </c>
    </row>
    <row r="47" spans="2:8" ht="12.75" thickBot="1">
      <c r="B47" s="554" t="s">
        <v>359</v>
      </c>
      <c r="C47" s="562">
        <v>10348.5</v>
      </c>
      <c r="H47" s="2" t="s">
        <v>399</v>
      </c>
    </row>
    <row r="48" spans="2:8" ht="12.75" thickBot="1">
      <c r="B48" s="554" t="s">
        <v>408</v>
      </c>
      <c r="C48" s="562"/>
      <c r="H48" s="2" t="s">
        <v>398</v>
      </c>
    </row>
    <row r="49" spans="2:8" ht="12.75" thickBot="1">
      <c r="B49" s="554" t="s">
        <v>409</v>
      </c>
      <c r="C49" s="561" t="s">
        <v>410</v>
      </c>
      <c r="H49" s="2" t="s">
        <v>397</v>
      </c>
    </row>
    <row r="50" spans="2:8" ht="72.75" thickBot="1">
      <c r="B50" s="554" t="s">
        <v>411</v>
      </c>
      <c r="C50" s="563" t="s">
        <v>412</v>
      </c>
      <c r="H50" s="2" t="s">
        <v>396</v>
      </c>
    </row>
    <row r="51" spans="2:8" ht="12.75" thickBot="1">
      <c r="B51" s="554"/>
      <c r="C51" s="559"/>
      <c r="H51" s="2" t="s">
        <v>395</v>
      </c>
    </row>
    <row r="52" spans="2:8" ht="12.75" thickBot="1">
      <c r="B52" s="554"/>
      <c r="C52" s="559"/>
      <c r="H52" s="2" t="s">
        <v>394</v>
      </c>
    </row>
    <row r="53" spans="2:8">
      <c r="H53" s="2" t="s">
        <v>393</v>
      </c>
    </row>
    <row r="54" spans="2:8">
      <c r="H54" s="2" t="s">
        <v>392</v>
      </c>
    </row>
    <row r="55" spans="2:8">
      <c r="H55" s="2" t="s">
        <v>391</v>
      </c>
    </row>
    <row r="56" spans="2:8">
      <c r="H56" s="2" t="s">
        <v>390</v>
      </c>
    </row>
    <row r="57" spans="2:8">
      <c r="H57" s="2" t="s">
        <v>389</v>
      </c>
    </row>
    <row r="58" spans="2:8">
      <c r="H58" s="2" t="s">
        <v>388</v>
      </c>
    </row>
    <row r="59" spans="2:8">
      <c r="H59" s="2" t="s">
        <v>387</v>
      </c>
    </row>
    <row r="60" spans="2:8">
      <c r="H60" s="2" t="s">
        <v>386</v>
      </c>
    </row>
    <row r="61" spans="2:8">
      <c r="H61" s="2" t="s">
        <v>385</v>
      </c>
    </row>
    <row r="62" spans="2:8">
      <c r="H62" s="2" t="s">
        <v>384</v>
      </c>
    </row>
    <row r="63" spans="2:8">
      <c r="H63" s="2" t="s">
        <v>383</v>
      </c>
    </row>
    <row r="64" spans="2:8">
      <c r="H64" s="2" t="s">
        <v>382</v>
      </c>
    </row>
    <row r="65" spans="2:12">
      <c r="H65" s="2" t="s">
        <v>381</v>
      </c>
    </row>
    <row r="68" spans="2:12">
      <c r="I68" s="348">
        <v>5153112</v>
      </c>
      <c r="J68" s="348">
        <v>10348.5</v>
      </c>
      <c r="K68" s="348">
        <f>I68/J68</f>
        <v>497.95738512827944</v>
      </c>
    </row>
    <row r="69" spans="2:12">
      <c r="J69">
        <f>SUM(Rentroll!D3,Rentroll!D6)</f>
        <v>10609.5</v>
      </c>
      <c r="K69" s="348">
        <f>I68/J69</f>
        <v>485.70733776332531</v>
      </c>
    </row>
    <row r="70" spans="2:12">
      <c r="L70" s="348"/>
    </row>
    <row r="73" spans="2:12" ht="12.75" thickBot="1"/>
    <row r="74" spans="2:12" ht="12.75" thickBot="1">
      <c r="B74" s="557" t="s">
        <v>364</v>
      </c>
      <c r="C74" s="541" t="str">
        <f>'A&amp;R'!G49</f>
        <v>AUD($)</v>
      </c>
      <c r="D74" s="543" t="str">
        <f>'A&amp;R'!H49</f>
        <v>KRW(\000)</v>
      </c>
      <c r="E74" s="2"/>
      <c r="F74" s="2"/>
    </row>
    <row r="75" spans="2:12" ht="12.75" thickBot="1">
      <c r="B75" s="564" t="str">
        <f>'A&amp;R'!B50</f>
        <v>대출금액</v>
      </c>
      <c r="C75" s="565">
        <f>'A&amp;R'!G50</f>
        <v>37000000</v>
      </c>
      <c r="D75" s="566">
        <f>'A&amp;R'!H50</f>
        <v>30340000</v>
      </c>
      <c r="E75" s="2"/>
      <c r="F75" s="2"/>
    </row>
    <row r="76" spans="2:12" ht="12.75" thickBot="1">
      <c r="B76" s="564" t="s">
        <v>416</v>
      </c>
      <c r="C76" s="565">
        <f>'A&amp;R'!G51</f>
        <v>304731.70731707313</v>
      </c>
      <c r="D76" s="566">
        <f>'A&amp;R'!H51</f>
        <v>249880</v>
      </c>
      <c r="E76" s="2"/>
      <c r="F76" s="2"/>
    </row>
    <row r="77" spans="2:12" ht="12.75" thickBot="1">
      <c r="B77" s="567" t="s">
        <v>419</v>
      </c>
      <c r="C77" s="545">
        <f>'A&amp;R'!G52</f>
        <v>80000</v>
      </c>
      <c r="D77" s="558">
        <f>'A&amp;R'!H52</f>
        <v>65600</v>
      </c>
      <c r="E77" s="2"/>
      <c r="F77" s="2"/>
    </row>
    <row r="78" spans="2:12" ht="12.75" thickBot="1">
      <c r="B78" s="567" t="s">
        <v>417</v>
      </c>
      <c r="C78" s="545">
        <f>'A&amp;R'!G53</f>
        <v>9000</v>
      </c>
      <c r="D78" s="558">
        <f>'A&amp;R'!H53</f>
        <v>7380</v>
      </c>
      <c r="E78" s="2"/>
      <c r="F78" s="2"/>
    </row>
    <row r="79" spans="2:12" ht="12.75" thickBot="1">
      <c r="B79" s="567" t="s">
        <v>418</v>
      </c>
      <c r="C79" s="545">
        <f>'A&amp;R'!G54</f>
        <v>20000</v>
      </c>
      <c r="D79" s="558">
        <f>'A&amp;R'!H54</f>
        <v>16400</v>
      </c>
      <c r="E79" s="2"/>
      <c r="F79" s="2"/>
    </row>
    <row r="80" spans="2:12" ht="12.75" thickBot="1">
      <c r="B80" s="567" t="s">
        <v>243</v>
      </c>
      <c r="C80" s="545">
        <f>'A&amp;R'!G55</f>
        <v>25000</v>
      </c>
      <c r="D80" s="558">
        <f>'A&amp;R'!H55</f>
        <v>20500</v>
      </c>
      <c r="E80" s="2"/>
      <c r="F80" s="2"/>
    </row>
    <row r="81" spans="2:6" ht="12.75" thickBot="1">
      <c r="B81" s="567" t="s">
        <v>420</v>
      </c>
      <c r="C81" s="545">
        <f>'A&amp;R'!G56</f>
        <v>60975.609756097561</v>
      </c>
      <c r="D81" s="558">
        <f>'A&amp;R'!H56</f>
        <v>50000</v>
      </c>
      <c r="E81" s="2"/>
      <c r="F81" s="2"/>
    </row>
    <row r="82" spans="2:6" ht="12.75" thickBot="1">
      <c r="B82" s="567" t="s">
        <v>421</v>
      </c>
      <c r="C82" s="545">
        <f>'A&amp;R'!G57</f>
        <v>109756.0975609756</v>
      </c>
      <c r="D82" s="558">
        <f>'A&amp;R'!H57</f>
        <v>90000</v>
      </c>
      <c r="E82" s="2"/>
      <c r="F82" s="2"/>
    </row>
    <row r="83" spans="2:6" ht="12.75" hidden="1" thickBot="1">
      <c r="B83" s="549" t="s">
        <v>414</v>
      </c>
      <c r="C83" s="545">
        <f>'A&amp;R'!G58</f>
        <v>0</v>
      </c>
      <c r="D83" s="558">
        <f>'A&amp;R'!H58</f>
        <v>0</v>
      </c>
      <c r="E83" s="2"/>
      <c r="F83" s="2"/>
    </row>
    <row r="84" spans="2:6" ht="12.75" hidden="1" thickBot="1">
      <c r="B84" s="549" t="s">
        <v>414</v>
      </c>
      <c r="C84" s="545">
        <f>'A&amp;R'!G59</f>
        <v>0</v>
      </c>
      <c r="D84" s="558">
        <f>'A&amp;R'!H59</f>
        <v>0</v>
      </c>
      <c r="E84" s="2"/>
      <c r="F84" s="2"/>
    </row>
    <row r="85" spans="2:6" ht="12.75" hidden="1" thickBot="1">
      <c r="B85" s="549" t="s">
        <v>414</v>
      </c>
      <c r="C85" s="545">
        <f>'A&amp;R'!G60</f>
        <v>0</v>
      </c>
      <c r="D85" s="558">
        <f>'A&amp;R'!H60</f>
        <v>0</v>
      </c>
      <c r="E85" s="2"/>
      <c r="F85" s="2"/>
    </row>
    <row r="86" spans="2:6" ht="12.75" thickBot="1">
      <c r="B86" s="564" t="s">
        <v>415</v>
      </c>
      <c r="C86" s="565">
        <f>'A&amp;R'!G61</f>
        <v>36695268.292682923</v>
      </c>
      <c r="D86" s="566">
        <f>'A&amp;R'!H61</f>
        <v>30090120</v>
      </c>
      <c r="E86" s="2"/>
      <c r="F86" s="2"/>
    </row>
    <row r="87" spans="2:6">
      <c r="E87" s="2"/>
      <c r="F87" s="2"/>
    </row>
    <row r="88" spans="2:6">
      <c r="E88" s="2"/>
      <c r="F88" s="2"/>
    </row>
    <row r="89" spans="2:6">
      <c r="E89" s="2"/>
      <c r="F89" s="2"/>
    </row>
    <row r="90" spans="2:6">
      <c r="E90" s="2"/>
      <c r="F90" s="2"/>
    </row>
    <row r="91" spans="2:6">
      <c r="E91" s="2"/>
      <c r="F91" s="2"/>
    </row>
    <row r="92" spans="2:6" ht="12.75" thickBot="1">
      <c r="C92">
        <f>'A&amp;R'!H11</f>
        <v>820</v>
      </c>
      <c r="E92" s="2"/>
      <c r="F92" s="2"/>
    </row>
    <row r="93" spans="2:6" ht="12.75" thickBot="1">
      <c r="B93" s="557" t="s">
        <v>364</v>
      </c>
      <c r="C93" s="541" t="str">
        <f t="shared" ref="C93:D93" si="0">C74</f>
        <v>AUD($)</v>
      </c>
      <c r="D93" s="543" t="str">
        <f t="shared" si="0"/>
        <v>KRW(\000)</v>
      </c>
      <c r="E93" s="543" t="s">
        <v>423</v>
      </c>
      <c r="F93" s="2"/>
    </row>
    <row r="94" spans="2:6" ht="12.75" thickBot="1">
      <c r="B94" s="554" t="s">
        <v>422</v>
      </c>
      <c r="C94" s="568">
        <f>'A&amp;R'!E39</f>
        <v>1500555.5555555555</v>
      </c>
      <c r="D94" s="560">
        <f>C94*C92/1000</f>
        <v>1230455.5555555555</v>
      </c>
      <c r="E94" s="566"/>
    </row>
    <row r="95" spans="2:6" ht="12.75" thickBot="1">
      <c r="B95" s="554" t="s">
        <v>424</v>
      </c>
      <c r="C95" s="568">
        <f>'A&amp;R'!N43</f>
        <v>60000</v>
      </c>
      <c r="D95" s="560">
        <f>C92*C95/1000</f>
        <v>49200</v>
      </c>
      <c r="E95" s="566"/>
    </row>
    <row r="104" spans="2:7" ht="12.75" thickBot="1"/>
    <row r="105" spans="2:7">
      <c r="B105" s="570"/>
      <c r="C105" s="991" t="s">
        <v>426</v>
      </c>
      <c r="D105" s="571" t="s">
        <v>425</v>
      </c>
      <c r="E105" s="571">
        <f>'A&amp;R'!W31</f>
        <v>1</v>
      </c>
      <c r="F105" s="571">
        <f>'A&amp;R'!X31</f>
        <v>2</v>
      </c>
      <c r="G105" s="572">
        <f>'A&amp;R'!Y31</f>
        <v>3</v>
      </c>
    </row>
    <row r="106" spans="2:7" ht="12.75" thickBot="1">
      <c r="B106" s="569"/>
      <c r="C106" s="992"/>
      <c r="D106" s="600">
        <f>'A&amp;R'!V32</f>
        <v>43373</v>
      </c>
      <c r="E106" s="600">
        <f>'A&amp;R'!W32</f>
        <v>43738</v>
      </c>
      <c r="F106" s="600">
        <f>'A&amp;R'!X32</f>
        <v>44104</v>
      </c>
      <c r="G106" s="601">
        <f>'A&amp;R'!Y32</f>
        <v>44469</v>
      </c>
    </row>
    <row r="107" spans="2:7">
      <c r="B107" s="579" t="str">
        <f>'A&amp;R'!R33</f>
        <v>이자비용</v>
      </c>
      <c r="C107" s="580">
        <f ca="1">'A&amp;R'!U33</f>
        <v>-4505777.777777778</v>
      </c>
      <c r="D107" s="581">
        <f ca="1">'A&amp;R'!V33</f>
        <v>0</v>
      </c>
      <c r="E107" s="581">
        <f ca="1">'A&amp;R'!W33</f>
        <v>-1500555.5555555555</v>
      </c>
      <c r="F107" s="581">
        <f ca="1">'A&amp;R'!X33</f>
        <v>-1504666.6666666665</v>
      </c>
      <c r="G107" s="582">
        <f ca="1">'A&amp;R'!Y33</f>
        <v>-1500555.5555555555</v>
      </c>
    </row>
    <row r="108" spans="2:7">
      <c r="B108" s="583" t="str">
        <f>'A&amp;R'!R34</f>
        <v>Service Bank Fee</v>
      </c>
      <c r="C108" s="584">
        <f ca="1">'A&amp;R'!U34</f>
        <v>-180164.38356164383</v>
      </c>
      <c r="D108" s="585">
        <f ca="1">'A&amp;R'!V34</f>
        <v>0</v>
      </c>
      <c r="E108" s="585">
        <f ca="1">'A&amp;R'!W34</f>
        <v>-60000</v>
      </c>
      <c r="F108" s="585">
        <f ca="1">'A&amp;R'!X34</f>
        <v>-60164.38356164383</v>
      </c>
      <c r="G108" s="586">
        <f ca="1">'A&amp;R'!Y34</f>
        <v>-60000</v>
      </c>
    </row>
    <row r="109" spans="2:7" ht="12.75" thickBot="1">
      <c r="B109" s="587" t="str">
        <f>'A&amp;R'!R35</f>
        <v>대출부대비용</v>
      </c>
      <c r="C109" s="584">
        <f ca="1">'A&amp;R'!U35</f>
        <v>-304731.70731707313</v>
      </c>
      <c r="D109" s="585">
        <f ca="1">'A&amp;R'!V35</f>
        <v>-304731.70731707313</v>
      </c>
      <c r="E109" s="585">
        <f ca="1">'A&amp;R'!W35</f>
        <v>0</v>
      </c>
      <c r="F109" s="585">
        <f ca="1">'A&amp;R'!X35</f>
        <v>0</v>
      </c>
      <c r="G109" s="586">
        <f ca="1">'A&amp;R'!Y35</f>
        <v>0</v>
      </c>
    </row>
    <row r="110" spans="2:7" ht="12.75" thickBot="1">
      <c r="B110" s="588" t="str">
        <f>'A&amp;R'!R36</f>
        <v>금융비용</v>
      </c>
      <c r="C110" s="593">
        <f ca="1">'A&amp;R'!U36</f>
        <v>-4990673.8686564937</v>
      </c>
      <c r="D110" s="595">
        <f ca="1">'A&amp;R'!V36</f>
        <v>-304731.70731707313</v>
      </c>
      <c r="E110" s="595">
        <f ca="1">'A&amp;R'!W36</f>
        <v>-1560555.5555555555</v>
      </c>
      <c r="F110" s="595">
        <f ca="1">'A&amp;R'!X36</f>
        <v>-1564831.0502283103</v>
      </c>
      <c r="G110" s="598">
        <f ca="1">'A&amp;R'!Y36</f>
        <v>-1560555.5555555555</v>
      </c>
    </row>
    <row r="111" spans="2:7">
      <c r="B111" s="592" t="str">
        <f>'A&amp;R'!R37</f>
        <v>대출실행</v>
      </c>
      <c r="C111" s="594">
        <f ca="1">'A&amp;R'!U37</f>
        <v>37000000</v>
      </c>
      <c r="D111" s="596">
        <f ca="1">'A&amp;R'!V37</f>
        <v>37000000</v>
      </c>
      <c r="E111" s="596">
        <f ca="1">'A&amp;R'!W37</f>
        <v>0</v>
      </c>
      <c r="F111" s="596">
        <f ca="1">'A&amp;R'!X37</f>
        <v>0</v>
      </c>
      <c r="G111" s="597">
        <f ca="1">'A&amp;R'!Y37</f>
        <v>0</v>
      </c>
    </row>
    <row r="112" spans="2:7" ht="12.75" thickBot="1">
      <c r="B112" s="599" t="str">
        <f>'A&amp;R'!R38</f>
        <v>대출상환</v>
      </c>
      <c r="C112" s="584">
        <f ca="1">'A&amp;R'!U38</f>
        <v>-37000000</v>
      </c>
      <c r="D112" s="585">
        <f ca="1">'A&amp;R'!V38</f>
        <v>0</v>
      </c>
      <c r="E112" s="585">
        <f ca="1">'A&amp;R'!W38</f>
        <v>0</v>
      </c>
      <c r="F112" s="585">
        <f ca="1">'A&amp;R'!X38</f>
        <v>0</v>
      </c>
      <c r="G112" s="586">
        <f ca="1">'A&amp;R'!Y38</f>
        <v>-37000000</v>
      </c>
    </row>
    <row r="113" spans="2:7" ht="12.75" thickBot="1">
      <c r="B113" s="588" t="str">
        <f>'A&amp;R'!R39</f>
        <v>차입자 현금흐름</v>
      </c>
      <c r="C113" s="589">
        <f ca="1">'A&amp;R'!U39</f>
        <v>-4990673.8686564937</v>
      </c>
      <c r="D113" s="590">
        <f ca="1">'A&amp;R'!V39</f>
        <v>36695268.292682923</v>
      </c>
      <c r="E113" s="590">
        <f ca="1">'A&amp;R'!W39</f>
        <v>-1560555.5555555555</v>
      </c>
      <c r="F113" s="590">
        <f ca="1">'A&amp;R'!X39</f>
        <v>-1564831.0502283103</v>
      </c>
      <c r="G113" s="591">
        <f ca="1">'A&amp;R'!Y39</f>
        <v>-38560555.555555552</v>
      </c>
    </row>
    <row r="118" spans="2:7" ht="12.75" thickBot="1"/>
    <row r="119" spans="2:7">
      <c r="B119" s="995" t="s">
        <v>364</v>
      </c>
      <c r="C119" s="993" t="str">
        <f t="shared" ref="C119:G120" si="1">C105</f>
        <v>합계</v>
      </c>
      <c r="D119" s="571" t="s">
        <v>510</v>
      </c>
      <c r="E119" s="571">
        <f t="shared" si="1"/>
        <v>1</v>
      </c>
      <c r="F119" s="571">
        <f t="shared" si="1"/>
        <v>2</v>
      </c>
      <c r="G119" s="572">
        <f t="shared" si="1"/>
        <v>3</v>
      </c>
    </row>
    <row r="120" spans="2:7" ht="12.75" thickBot="1">
      <c r="B120" s="996"/>
      <c r="C120" s="994"/>
      <c r="D120" s="600">
        <f t="shared" si="1"/>
        <v>43373</v>
      </c>
      <c r="E120" s="600">
        <f t="shared" si="1"/>
        <v>43738</v>
      </c>
      <c r="F120" s="600">
        <f t="shared" si="1"/>
        <v>44104</v>
      </c>
      <c r="G120" s="601">
        <f t="shared" si="1"/>
        <v>44469</v>
      </c>
    </row>
    <row r="121" spans="2:7">
      <c r="B121" s="647" t="str">
        <f>'A&amp;R'!R48</f>
        <v>현지이자수입</v>
      </c>
      <c r="C121" s="580">
        <f ca="1">'A&amp;R'!U48</f>
        <v>4505777.777777778</v>
      </c>
      <c r="D121" s="581">
        <f ca="1">'A&amp;R'!V48</f>
        <v>0</v>
      </c>
      <c r="E121" s="581">
        <f ca="1">'A&amp;R'!W48</f>
        <v>1500555.5555555555</v>
      </c>
      <c r="F121" s="581">
        <f ca="1">'A&amp;R'!X48</f>
        <v>1504666.6666666665</v>
      </c>
      <c r="G121" s="582">
        <f ca="1">'A&amp;R'!Y48</f>
        <v>1500555.5555555555</v>
      </c>
    </row>
    <row r="122" spans="2:7" ht="12.75" thickBot="1">
      <c r="B122" s="648" t="str">
        <f>'A&amp;R'!R49</f>
        <v>현지원천징수</v>
      </c>
      <c r="C122" s="584">
        <f ca="1">'A&amp;R'!U49</f>
        <v>-450577.77777777781</v>
      </c>
      <c r="D122" s="585">
        <f ca="1">'A&amp;R'!V49</f>
        <v>0</v>
      </c>
      <c r="E122" s="585">
        <f ca="1">'A&amp;R'!W49</f>
        <v>-150055.55555555556</v>
      </c>
      <c r="F122" s="585">
        <f ca="1">'A&amp;R'!X49</f>
        <v>-150466.66666666669</v>
      </c>
      <c r="G122" s="586">
        <f ca="1">'A&amp;R'!Y49</f>
        <v>-150055.55555555556</v>
      </c>
    </row>
    <row r="123" spans="2:7">
      <c r="B123" s="645" t="str">
        <f>'A&amp;R'!R50</f>
        <v>원천징수 후 이자수입</v>
      </c>
      <c r="C123" s="593">
        <f ca="1">'A&amp;R'!U50</f>
        <v>4055200</v>
      </c>
      <c r="D123" s="595">
        <f ca="1">'A&amp;R'!V50</f>
        <v>0</v>
      </c>
      <c r="E123" s="595">
        <f ca="1">'A&amp;R'!W50</f>
        <v>1350500</v>
      </c>
      <c r="F123" s="595">
        <f ca="1">'A&amp;R'!X50</f>
        <v>1354199.9999999998</v>
      </c>
      <c r="G123" s="598">
        <f ca="1">'A&amp;R'!Y50</f>
        <v>1350500</v>
      </c>
    </row>
    <row r="124" spans="2:7" ht="12.75" thickBot="1">
      <c r="B124" s="646" t="str">
        <f>'A&amp;R'!R51</f>
        <v>외국납부세액공제</v>
      </c>
      <c r="C124" s="609">
        <f ca="1">'A&amp;R'!U51</f>
        <v>450577.77777777781</v>
      </c>
      <c r="D124" s="575">
        <f ca="1">'A&amp;R'!V51</f>
        <v>0</v>
      </c>
      <c r="E124" s="575">
        <f ca="1">'A&amp;R'!W51</f>
        <v>150055.55555555556</v>
      </c>
      <c r="F124" s="575">
        <f ca="1">'A&amp;R'!X51</f>
        <v>150466.66666666669</v>
      </c>
      <c r="G124" s="576">
        <f ca="1">'A&amp;R'!Y51</f>
        <v>150055.55555555556</v>
      </c>
    </row>
    <row r="125" spans="2:7" ht="12.75" thickBot="1">
      <c r="B125" s="607" t="str">
        <f>'A&amp;R'!R52</f>
        <v>이자수입</v>
      </c>
      <c r="C125" s="573">
        <f ca="1">'A&amp;R'!U52</f>
        <v>4505777.777777778</v>
      </c>
      <c r="D125" s="573">
        <f ca="1">'A&amp;R'!V52</f>
        <v>0</v>
      </c>
      <c r="E125" s="573">
        <f ca="1">'A&amp;R'!W52</f>
        <v>1500555.5555555555</v>
      </c>
      <c r="F125" s="573">
        <f ca="1">'A&amp;R'!X52</f>
        <v>1504666.6666666665</v>
      </c>
      <c r="G125" s="574">
        <f ca="1">'A&amp;R'!Y52</f>
        <v>1500555.5555555555</v>
      </c>
    </row>
    <row r="126" spans="2:7">
      <c r="B126" s="610" t="str">
        <f>'A&amp;R'!R53</f>
        <v>대출실행</v>
      </c>
      <c r="C126" s="611">
        <f ca="1">'A&amp;R'!U53</f>
        <v>-37000000</v>
      </c>
      <c r="D126" s="577">
        <f ca="1">'A&amp;R'!V53</f>
        <v>-37000000</v>
      </c>
      <c r="E126" s="577">
        <f ca="1">'A&amp;R'!W53</f>
        <v>0</v>
      </c>
      <c r="F126" s="577">
        <f ca="1">'A&amp;R'!X53</f>
        <v>0</v>
      </c>
      <c r="G126" s="578">
        <f ca="1">'A&amp;R'!Y53</f>
        <v>0</v>
      </c>
    </row>
    <row r="127" spans="2:7" ht="12.75" thickBot="1">
      <c r="B127" s="608" t="str">
        <f>'A&amp;R'!R54</f>
        <v>대출상환</v>
      </c>
      <c r="C127" s="609">
        <f ca="1">'A&amp;R'!U54</f>
        <v>37000000</v>
      </c>
      <c r="D127" s="575">
        <f ca="1">'A&amp;R'!V54</f>
        <v>0</v>
      </c>
      <c r="E127" s="575">
        <f ca="1">'A&amp;R'!W54</f>
        <v>0</v>
      </c>
      <c r="F127" s="575">
        <f ca="1">'A&amp;R'!X54</f>
        <v>0</v>
      </c>
      <c r="G127" s="576">
        <f ca="1">'A&amp;R'!Y54</f>
        <v>37000000</v>
      </c>
    </row>
    <row r="128" spans="2:7" ht="12.75" thickBot="1">
      <c r="B128" s="607" t="str">
        <f>'A&amp;R'!R55</f>
        <v>대출자 현금흐름</v>
      </c>
      <c r="C128" s="573">
        <f ca="1">'A&amp;R'!U55</f>
        <v>4505777.7777777687</v>
      </c>
      <c r="D128" s="573">
        <f ca="1">'A&amp;R'!V55</f>
        <v>-37000000</v>
      </c>
      <c r="E128" s="573">
        <f ca="1">'A&amp;R'!W55</f>
        <v>1500555.5555555555</v>
      </c>
      <c r="F128" s="573">
        <f ca="1">'A&amp;R'!X55</f>
        <v>1504666.6666666665</v>
      </c>
      <c r="G128" s="574">
        <f ca="1">'A&amp;R'!Y55</f>
        <v>38500555.555555552</v>
      </c>
    </row>
    <row r="129" spans="2:11"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2:11"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6" spans="2:11" ht="12.75" thickBot="1"/>
    <row r="137" spans="2:11" ht="12.75" thickBot="1">
      <c r="C137" s="997" t="s">
        <v>367</v>
      </c>
      <c r="D137" s="998"/>
      <c r="E137" s="999" t="s">
        <v>427</v>
      </c>
      <c r="F137" s="1000"/>
    </row>
    <row r="138" spans="2:11" ht="12.75" thickBot="1">
      <c r="C138" s="557" t="str">
        <f>E138</f>
        <v>CoC Yield</v>
      </c>
      <c r="D138" s="612" t="str">
        <f>F138</f>
        <v>IRR</v>
      </c>
      <c r="E138" s="612" t="str">
        <f>'A&amp;R'!O5</f>
        <v>CoC Yield</v>
      </c>
      <c r="F138" s="613" t="str">
        <f>'A&amp;R'!P5</f>
        <v>IRR</v>
      </c>
    </row>
    <row r="139" spans="2:11" ht="12.75" thickBot="1">
      <c r="C139" s="614">
        <f ca="1">'A&amp;R'!O7</f>
        <v>4.0555555555555553E-2</v>
      </c>
      <c r="D139" s="547">
        <f>'A&amp;R'!P7</f>
        <v>4.1176310181617742E-2</v>
      </c>
      <c r="E139" s="547">
        <f ca="1">'A&amp;R'!O6</f>
        <v>4.4920003009953149E-2</v>
      </c>
      <c r="F139" s="606">
        <f>'A&amp;R'!P6</f>
        <v>4.5894578099250793E-2</v>
      </c>
    </row>
    <row r="140" spans="2:11">
      <c r="G140" s="1"/>
    </row>
    <row r="146" spans="2:9" ht="12.75" thickBot="1"/>
    <row r="147" spans="2:9" ht="24.75" thickBot="1">
      <c r="B147" s="542"/>
      <c r="C147" s="622" t="s">
        <v>501</v>
      </c>
      <c r="D147" s="622" t="s">
        <v>500</v>
      </c>
      <c r="E147" s="622" t="s">
        <v>439</v>
      </c>
      <c r="F147" s="622" t="s">
        <v>499</v>
      </c>
      <c r="G147" s="622" t="s">
        <v>498</v>
      </c>
      <c r="H147" s="621" t="s">
        <v>437</v>
      </c>
      <c r="I147" s="2"/>
    </row>
    <row r="148" spans="2:9" ht="12.75" thickBot="1">
      <c r="B148" s="549" t="s">
        <v>497</v>
      </c>
      <c r="C148" s="544"/>
      <c r="D148" s="544"/>
      <c r="E148" s="544"/>
      <c r="F148" s="544"/>
      <c r="G148" s="544"/>
      <c r="H148" s="552"/>
      <c r="I148" s="2"/>
    </row>
    <row r="149" spans="2:9" ht="12.75" thickBot="1">
      <c r="B149" s="549" t="s">
        <v>471</v>
      </c>
      <c r="C149" s="631" t="s">
        <v>496</v>
      </c>
      <c r="D149" s="631" t="s">
        <v>495</v>
      </c>
      <c r="E149" s="631" t="s">
        <v>494</v>
      </c>
      <c r="F149" s="631" t="s">
        <v>493</v>
      </c>
      <c r="G149" s="631" t="s">
        <v>492</v>
      </c>
      <c r="H149" s="630" t="s">
        <v>491</v>
      </c>
      <c r="I149" s="2"/>
    </row>
    <row r="150" spans="2:9" ht="12.75" thickBot="1">
      <c r="B150" s="549" t="s">
        <v>490</v>
      </c>
      <c r="C150" s="629">
        <v>1975</v>
      </c>
      <c r="D150" s="629">
        <v>2017</v>
      </c>
      <c r="E150" s="629">
        <v>1964</v>
      </c>
      <c r="F150" s="629">
        <v>1965</v>
      </c>
      <c r="G150" s="629">
        <v>1966</v>
      </c>
      <c r="H150" s="628">
        <v>1996</v>
      </c>
      <c r="I150" s="2"/>
    </row>
    <row r="151" spans="2:9" ht="12.75" thickBot="1">
      <c r="B151" s="549" t="s">
        <v>489</v>
      </c>
      <c r="C151" s="629">
        <v>2012</v>
      </c>
      <c r="D151" s="629">
        <v>2017</v>
      </c>
      <c r="E151" s="629">
        <v>1988</v>
      </c>
      <c r="F151" s="629">
        <v>1995</v>
      </c>
      <c r="G151" s="629">
        <v>2013</v>
      </c>
      <c r="H151" s="628">
        <v>1996</v>
      </c>
      <c r="I151" s="2"/>
    </row>
    <row r="152" spans="2:9" ht="12.75" thickBot="1">
      <c r="B152" s="549" t="s">
        <v>488</v>
      </c>
      <c r="C152" s="629">
        <v>15</v>
      </c>
      <c r="D152" s="629">
        <v>10</v>
      </c>
      <c r="E152" s="629">
        <v>35</v>
      </c>
      <c r="F152" s="629">
        <v>30</v>
      </c>
      <c r="G152" s="629">
        <v>15</v>
      </c>
      <c r="H152" s="628">
        <v>30</v>
      </c>
      <c r="I152" s="627"/>
    </row>
    <row r="153" spans="2:9" ht="12.75" thickBot="1">
      <c r="B153" s="549" t="s">
        <v>487</v>
      </c>
      <c r="C153" s="626">
        <v>1843</v>
      </c>
      <c r="D153" s="626">
        <v>2909</v>
      </c>
      <c r="E153" s="626" t="s">
        <v>470</v>
      </c>
      <c r="F153" s="626" t="s">
        <v>486</v>
      </c>
      <c r="G153" s="626" t="s">
        <v>486</v>
      </c>
      <c r="H153" s="625">
        <v>1960</v>
      </c>
      <c r="I153" s="2"/>
    </row>
    <row r="154" spans="2:9" ht="12.75" thickBot="1">
      <c r="B154" s="549" t="s">
        <v>485</v>
      </c>
      <c r="C154" s="626">
        <v>489</v>
      </c>
      <c r="D154" s="626">
        <v>380</v>
      </c>
      <c r="E154" s="626">
        <v>435</v>
      </c>
      <c r="F154" s="626">
        <v>364</v>
      </c>
      <c r="G154" s="626">
        <v>495</v>
      </c>
      <c r="H154" s="625">
        <v>433</v>
      </c>
      <c r="I154" s="2"/>
    </row>
    <row r="155" spans="2:9" ht="84.75" thickBot="1">
      <c r="B155" s="549" t="s">
        <v>214</v>
      </c>
      <c r="C155" s="624" t="s">
        <v>484</v>
      </c>
      <c r="D155" s="624" t="s">
        <v>414</v>
      </c>
      <c r="E155" s="624" t="s">
        <v>483</v>
      </c>
      <c r="F155" s="624" t="s">
        <v>482</v>
      </c>
      <c r="G155" s="624" t="s">
        <v>481</v>
      </c>
      <c r="H155" s="623" t="s">
        <v>480</v>
      </c>
      <c r="I155" s="2"/>
    </row>
    <row r="156" spans="2:9">
      <c r="B156" s="2"/>
      <c r="C156" s="2"/>
      <c r="D156" s="2"/>
      <c r="E156" s="2"/>
      <c r="F156" s="2"/>
      <c r="G156" s="2"/>
      <c r="H156" s="2"/>
      <c r="I156" s="2"/>
    </row>
    <row r="157" spans="2:9">
      <c r="B157" s="2"/>
      <c r="C157" s="2"/>
      <c r="D157" s="2"/>
      <c r="E157" s="2"/>
      <c r="F157" s="2"/>
      <c r="G157" s="2"/>
      <c r="H157" s="2"/>
      <c r="I157" s="2"/>
    </row>
    <row r="158" spans="2:9">
      <c r="B158" s="2"/>
      <c r="C158" s="2"/>
      <c r="D158" s="2"/>
      <c r="E158" s="2"/>
      <c r="F158" s="2"/>
      <c r="G158" s="2"/>
      <c r="H158" s="2"/>
      <c r="I158" s="2"/>
    </row>
    <row r="159" spans="2:9">
      <c r="B159" s="2"/>
      <c r="C159" s="2"/>
      <c r="D159" s="2"/>
      <c r="E159" s="2"/>
      <c r="F159" s="2"/>
      <c r="G159" s="2"/>
      <c r="H159" s="2"/>
      <c r="I159" s="2"/>
    </row>
    <row r="160" spans="2:9">
      <c r="B160" s="2"/>
      <c r="C160" s="2"/>
      <c r="D160" s="2"/>
      <c r="E160" s="2"/>
      <c r="F160" s="2"/>
      <c r="G160" s="2"/>
      <c r="H160" s="2"/>
      <c r="I160" s="2"/>
    </row>
    <row r="161" spans="2:9">
      <c r="B161" s="2"/>
      <c r="C161" s="2"/>
      <c r="D161" s="2"/>
      <c r="E161" s="2"/>
      <c r="F161" s="2"/>
      <c r="G161" s="2"/>
      <c r="H161" s="2"/>
      <c r="I161" s="2"/>
    </row>
    <row r="162" spans="2:9" ht="12.75" thickBot="1">
      <c r="B162" s="2"/>
      <c r="C162" s="2"/>
      <c r="D162" s="2"/>
      <c r="E162" s="2"/>
      <c r="F162" s="2"/>
      <c r="G162" s="2"/>
      <c r="H162" s="2"/>
      <c r="I162" s="2"/>
    </row>
    <row r="163" spans="2:9" ht="24.75" thickBot="1">
      <c r="B163" s="557" t="s">
        <v>479</v>
      </c>
      <c r="C163" s="622" t="s">
        <v>478</v>
      </c>
      <c r="D163" s="622" t="s">
        <v>477</v>
      </c>
      <c r="E163" s="622" t="s">
        <v>476</v>
      </c>
      <c r="F163" s="622" t="s">
        <v>475</v>
      </c>
      <c r="G163" s="622" t="s">
        <v>474</v>
      </c>
      <c r="H163" s="622" t="s">
        <v>473</v>
      </c>
      <c r="I163" s="621" t="s">
        <v>472</v>
      </c>
    </row>
    <row r="164" spans="2:9" ht="12.75" thickBot="1">
      <c r="B164" s="549" t="s">
        <v>471</v>
      </c>
      <c r="C164" s="620">
        <v>21034</v>
      </c>
      <c r="D164" s="620">
        <v>19100</v>
      </c>
      <c r="E164" s="620">
        <v>12600</v>
      </c>
      <c r="F164" s="620" t="s">
        <v>470</v>
      </c>
      <c r="G164" s="620">
        <v>14286</v>
      </c>
      <c r="H164" s="620">
        <v>15704</v>
      </c>
      <c r="I164" s="619">
        <v>7865</v>
      </c>
    </row>
    <row r="165" spans="2:9" ht="12.75" thickBot="1">
      <c r="B165" s="549" t="s">
        <v>469</v>
      </c>
      <c r="C165" s="618">
        <v>1992</v>
      </c>
      <c r="D165" s="618">
        <v>1985</v>
      </c>
      <c r="E165" s="618">
        <v>1975</v>
      </c>
      <c r="F165" s="618">
        <v>1965</v>
      </c>
      <c r="G165" s="618">
        <v>1992</v>
      </c>
      <c r="H165" s="618">
        <v>1992</v>
      </c>
      <c r="I165" s="617">
        <v>1966</v>
      </c>
    </row>
    <row r="166" spans="2:9" ht="12.75" thickBot="1">
      <c r="B166" s="549" t="s">
        <v>468</v>
      </c>
      <c r="C166" s="618">
        <v>1992</v>
      </c>
      <c r="D166" s="618">
        <v>2015</v>
      </c>
      <c r="E166" s="618">
        <v>2015</v>
      </c>
      <c r="F166" s="618">
        <v>1995</v>
      </c>
      <c r="G166" s="618">
        <v>1992</v>
      </c>
      <c r="H166" s="618">
        <v>1992</v>
      </c>
      <c r="I166" s="617">
        <v>1992</v>
      </c>
    </row>
    <row r="167" spans="2:9" ht="12.75" thickBot="1">
      <c r="B167" s="549" t="s">
        <v>467</v>
      </c>
      <c r="C167" s="618">
        <v>28</v>
      </c>
      <c r="D167" s="618">
        <v>15</v>
      </c>
      <c r="E167" s="618">
        <v>15</v>
      </c>
      <c r="F167" s="618">
        <v>26</v>
      </c>
      <c r="G167" s="618">
        <v>29</v>
      </c>
      <c r="H167" s="618">
        <v>28</v>
      </c>
      <c r="I167" s="617">
        <v>28</v>
      </c>
    </row>
    <row r="168" spans="2:9" ht="12.75" thickBot="1">
      <c r="B168" s="549" t="s">
        <v>466</v>
      </c>
      <c r="C168" s="616">
        <v>0</v>
      </c>
      <c r="D168" s="616">
        <v>1026</v>
      </c>
      <c r="E168" s="616">
        <v>1556</v>
      </c>
      <c r="F168" s="616">
        <v>0</v>
      </c>
      <c r="G168" s="616">
        <v>0</v>
      </c>
      <c r="H168" s="616">
        <v>0</v>
      </c>
      <c r="I168" s="615">
        <v>0</v>
      </c>
    </row>
    <row r="169" spans="2:9" ht="12.75" thickBot="1">
      <c r="B169" s="549" t="s">
        <v>465</v>
      </c>
      <c r="C169" s="616">
        <v>439</v>
      </c>
      <c r="D169" s="616">
        <v>509</v>
      </c>
      <c r="E169" s="616">
        <v>433</v>
      </c>
      <c r="F169" s="616" t="s">
        <v>414</v>
      </c>
      <c r="G169" s="616">
        <v>378</v>
      </c>
      <c r="H169" s="616">
        <v>456</v>
      </c>
      <c r="I169" s="615">
        <v>355</v>
      </c>
    </row>
    <row r="170" spans="2:9">
      <c r="B170" s="2"/>
      <c r="C170" s="2"/>
      <c r="D170" s="2"/>
      <c r="E170" s="2"/>
      <c r="F170" s="2"/>
      <c r="G170" s="2"/>
      <c r="H170" s="2"/>
      <c r="I170" s="2"/>
    </row>
    <row r="171" spans="2:9">
      <c r="B171" s="2"/>
      <c r="C171" s="2"/>
      <c r="D171" s="2"/>
      <c r="E171" s="2"/>
      <c r="F171" s="2"/>
      <c r="G171" s="2"/>
      <c r="H171" s="2"/>
      <c r="I171" s="2"/>
    </row>
    <row r="172" spans="2:9">
      <c r="B172" s="2"/>
      <c r="C172" s="2"/>
      <c r="D172" s="2"/>
      <c r="E172" s="2"/>
      <c r="F172" s="2"/>
      <c r="G172" s="2"/>
      <c r="H172" s="2"/>
      <c r="I172" s="2"/>
    </row>
    <row r="173" spans="2:9">
      <c r="B173" s="2"/>
      <c r="C173" s="2"/>
      <c r="D173" s="2"/>
      <c r="E173" s="2"/>
      <c r="F173" s="2"/>
      <c r="G173" s="2"/>
      <c r="H173" s="2"/>
      <c r="I173" s="2"/>
    </row>
    <row r="174" spans="2:9">
      <c r="B174" s="2"/>
      <c r="C174" s="2"/>
      <c r="D174" s="2"/>
      <c r="E174" s="2"/>
      <c r="F174" s="2"/>
      <c r="G174" s="2"/>
      <c r="H174" s="2"/>
      <c r="I174" s="2"/>
    </row>
    <row r="175" spans="2:9" ht="12.75" thickBot="1">
      <c r="B175" s="2"/>
      <c r="C175" s="2"/>
      <c r="D175" s="2"/>
      <c r="E175" s="2"/>
      <c r="F175" s="2"/>
      <c r="G175" s="2"/>
      <c r="H175" s="2"/>
      <c r="I175" s="2"/>
    </row>
    <row r="176" spans="2:9" ht="12.75" thickBot="1">
      <c r="B176" s="542" t="s">
        <v>464</v>
      </c>
      <c r="C176" s="541" t="s">
        <v>463</v>
      </c>
      <c r="D176" s="541" t="s">
        <v>462</v>
      </c>
      <c r="E176" s="541" t="s">
        <v>461</v>
      </c>
      <c r="F176" s="543" t="s">
        <v>460</v>
      </c>
      <c r="G176" s="2"/>
      <c r="H176" s="2"/>
      <c r="I176" s="2"/>
    </row>
    <row r="177" spans="2:9" ht="12.75" thickBot="1">
      <c r="B177" s="549" t="s">
        <v>459</v>
      </c>
      <c r="C177" s="544" t="s">
        <v>446</v>
      </c>
      <c r="D177" s="544" t="s">
        <v>456</v>
      </c>
      <c r="E177" s="544" t="s">
        <v>430</v>
      </c>
      <c r="F177" s="552" t="s">
        <v>458</v>
      </c>
      <c r="G177" s="2"/>
      <c r="H177" s="2"/>
      <c r="I177" s="2"/>
    </row>
    <row r="178" spans="2:9" ht="12.75" thickBot="1">
      <c r="B178" s="549" t="s">
        <v>457</v>
      </c>
      <c r="C178" s="544" t="s">
        <v>446</v>
      </c>
      <c r="D178" s="544" t="s">
        <v>456</v>
      </c>
      <c r="E178" s="544" t="s">
        <v>430</v>
      </c>
      <c r="F178" s="552" t="s">
        <v>436</v>
      </c>
      <c r="G178" s="2"/>
      <c r="H178" s="2"/>
      <c r="I178" s="2"/>
    </row>
    <row r="179" spans="2:9" ht="12.75" thickBot="1">
      <c r="B179" s="549" t="s">
        <v>455</v>
      </c>
      <c r="C179" s="544" t="s">
        <v>446</v>
      </c>
      <c r="D179" s="544" t="s">
        <v>454</v>
      </c>
      <c r="E179" s="544" t="s">
        <v>430</v>
      </c>
      <c r="F179" s="552" t="s">
        <v>436</v>
      </c>
      <c r="G179" s="2"/>
      <c r="H179" s="2"/>
      <c r="I179" s="2"/>
    </row>
    <row r="180" spans="2:9" ht="12.75" thickBot="1">
      <c r="B180" s="549" t="s">
        <v>453</v>
      </c>
      <c r="C180" s="544" t="s">
        <v>439</v>
      </c>
      <c r="D180" s="544" t="s">
        <v>431</v>
      </c>
      <c r="E180" s="544" t="s">
        <v>430</v>
      </c>
      <c r="F180" s="552" t="s">
        <v>452</v>
      </c>
      <c r="G180" s="2"/>
      <c r="H180" s="2"/>
      <c r="I180" s="2"/>
    </row>
    <row r="181" spans="2:9" ht="12.75" thickBot="1">
      <c r="B181" s="549" t="s">
        <v>451</v>
      </c>
      <c r="C181" s="544" t="s">
        <v>450</v>
      </c>
      <c r="D181" s="544" t="s">
        <v>449</v>
      </c>
      <c r="E181" s="544" t="s">
        <v>430</v>
      </c>
      <c r="F181" s="552" t="s">
        <v>448</v>
      </c>
      <c r="G181" s="2"/>
      <c r="H181" s="2"/>
      <c r="I181" s="2"/>
    </row>
    <row r="182" spans="2:9" ht="12.75" thickBot="1">
      <c r="B182" s="549" t="s">
        <v>447</v>
      </c>
      <c r="C182" s="544" t="s">
        <v>446</v>
      </c>
      <c r="D182" s="544" t="s">
        <v>445</v>
      </c>
      <c r="E182" s="544" t="s">
        <v>430</v>
      </c>
      <c r="F182" s="552" t="s">
        <v>441</v>
      </c>
      <c r="G182" s="2"/>
      <c r="H182" s="2"/>
      <c r="I182" s="2"/>
    </row>
    <row r="183" spans="2:9" ht="12.75" thickBot="1">
      <c r="B183" s="549" t="s">
        <v>444</v>
      </c>
      <c r="C183" s="544" t="s">
        <v>443</v>
      </c>
      <c r="D183" s="544" t="s">
        <v>442</v>
      </c>
      <c r="E183" s="544" t="s">
        <v>430</v>
      </c>
      <c r="F183" s="552" t="s">
        <v>441</v>
      </c>
      <c r="G183" s="2"/>
      <c r="H183" s="2"/>
      <c r="I183" s="2"/>
    </row>
    <row r="184" spans="2:9" ht="12.75" thickBot="1">
      <c r="B184" s="549" t="s">
        <v>440</v>
      </c>
      <c r="C184" s="544" t="s">
        <v>439</v>
      </c>
      <c r="D184" s="544" t="s">
        <v>431</v>
      </c>
      <c r="E184" s="544" t="s">
        <v>430</v>
      </c>
      <c r="F184" s="552" t="s">
        <v>436</v>
      </c>
      <c r="G184" s="2"/>
      <c r="H184" s="2"/>
      <c r="I184" s="2"/>
    </row>
    <row r="185" spans="2:9" ht="12.75" thickBot="1">
      <c r="B185" s="549" t="s">
        <v>438</v>
      </c>
      <c r="C185" s="544" t="s">
        <v>437</v>
      </c>
      <c r="D185" s="544" t="s">
        <v>431</v>
      </c>
      <c r="E185" s="544" t="s">
        <v>430</v>
      </c>
      <c r="F185" s="552" t="s">
        <v>436</v>
      </c>
      <c r="G185" s="2"/>
      <c r="H185" s="2"/>
      <c r="I185" s="2"/>
    </row>
    <row r="186" spans="2:9" ht="12.75" thickBot="1">
      <c r="B186" s="549" t="s">
        <v>435</v>
      </c>
      <c r="C186" s="544" t="s">
        <v>434</v>
      </c>
      <c r="D186" s="544" t="s">
        <v>431</v>
      </c>
      <c r="E186" s="544" t="s">
        <v>430</v>
      </c>
      <c r="F186" s="552" t="s">
        <v>429</v>
      </c>
      <c r="G186" s="2"/>
      <c r="H186" s="2"/>
      <c r="I186" s="2"/>
    </row>
    <row r="187" spans="2:9" ht="12.75" thickBot="1">
      <c r="B187" s="549" t="s">
        <v>433</v>
      </c>
      <c r="C187" s="544" t="s">
        <v>432</v>
      </c>
      <c r="D187" s="544" t="s">
        <v>431</v>
      </c>
      <c r="E187" s="544" t="s">
        <v>430</v>
      </c>
      <c r="F187" s="552" t="s">
        <v>429</v>
      </c>
      <c r="G187" s="2"/>
      <c r="H187" s="2"/>
      <c r="I187" s="2"/>
    </row>
    <row r="188" spans="2:9">
      <c r="B188" s="2"/>
      <c r="C188" s="2"/>
      <c r="D188" s="2"/>
      <c r="E188" s="2"/>
      <c r="F188" s="2"/>
      <c r="G188" s="2"/>
      <c r="H188" s="2"/>
      <c r="I188" s="2"/>
    </row>
    <row r="192" spans="2:9" ht="12.75" thickBot="1"/>
    <row r="193" spans="2:7" ht="12.75" thickBot="1">
      <c r="B193" s="650"/>
      <c r="C193" s="649"/>
      <c r="D193" s="653" t="s">
        <v>509</v>
      </c>
      <c r="E193" s="654" t="str">
        <f>'A&amp;R'!AJ7</f>
        <v>이자수입</v>
      </c>
      <c r="F193" s="654" t="s">
        <v>513</v>
      </c>
      <c r="G193" s="655" t="str">
        <f>'A&amp;R'!AK7</f>
        <v>CoC</v>
      </c>
    </row>
    <row r="194" spans="2:7" ht="12.75" thickBot="1">
      <c r="B194" s="661">
        <f>'A&amp;R'!AH8</f>
        <v>43465</v>
      </c>
      <c r="C194" s="663">
        <f>'A&amp;R'!AI8</f>
        <v>1</v>
      </c>
      <c r="D194" s="581">
        <f ca="1">'A&amp;R'!V53</f>
        <v>-37000000</v>
      </c>
      <c r="E194" s="581">
        <f ca="1">'A&amp;R'!AJ8</f>
        <v>378222.22222222225</v>
      </c>
      <c r="F194" s="581">
        <f t="shared" ref="F194:F205" ca="1" si="2">SUM(D194:E194)</f>
        <v>-36621777.777777776</v>
      </c>
      <c r="G194" s="656">
        <f ca="1">'A&amp;R'!AK8</f>
        <v>4.055555555555556E-2</v>
      </c>
    </row>
    <row r="195" spans="2:7" ht="12.75" thickBot="1">
      <c r="B195" s="661">
        <f>'A&amp;R'!AH9</f>
        <v>43555</v>
      </c>
      <c r="C195" s="663">
        <f>'A&amp;R'!AI9</f>
        <v>2</v>
      </c>
      <c r="D195" s="596">
        <v>0</v>
      </c>
      <c r="E195" s="596">
        <f ca="1">'A&amp;R'!AJ9</f>
        <v>370000</v>
      </c>
      <c r="F195" s="596">
        <f t="shared" ca="1" si="2"/>
        <v>370000</v>
      </c>
      <c r="G195" s="657">
        <f ca="1">'A&amp;R'!AK9</f>
        <v>4.0555555555555553E-2</v>
      </c>
    </row>
    <row r="196" spans="2:7" ht="12.75" thickBot="1">
      <c r="B196" s="661">
        <f>'A&amp;R'!AH10</f>
        <v>43646</v>
      </c>
      <c r="C196" s="663">
        <f>'A&amp;R'!AI10</f>
        <v>3</v>
      </c>
      <c r="D196" s="596">
        <v>0</v>
      </c>
      <c r="E196" s="596">
        <f ca="1">'A&amp;R'!AJ10</f>
        <v>374111.11111111107</v>
      </c>
      <c r="F196" s="596">
        <f t="shared" ca="1" si="2"/>
        <v>374111.11111111107</v>
      </c>
      <c r="G196" s="657">
        <f ca="1">'A&amp;R'!AK10</f>
        <v>4.0555555555555553E-2</v>
      </c>
    </row>
    <row r="197" spans="2:7" ht="12.75" thickBot="1">
      <c r="B197" s="661">
        <f>'A&amp;R'!AH11</f>
        <v>43738</v>
      </c>
      <c r="C197" s="663">
        <f>'A&amp;R'!AI11</f>
        <v>4</v>
      </c>
      <c r="D197" s="596">
        <v>0</v>
      </c>
      <c r="E197" s="596">
        <f ca="1">'A&amp;R'!AJ11</f>
        <v>378222.22222222225</v>
      </c>
      <c r="F197" s="596">
        <f t="shared" ca="1" si="2"/>
        <v>378222.22222222225</v>
      </c>
      <c r="G197" s="657">
        <f ca="1">'A&amp;R'!AK11</f>
        <v>4.055555555555556E-2</v>
      </c>
    </row>
    <row r="198" spans="2:7" ht="12.75" thickBot="1">
      <c r="B198" s="661">
        <f>'A&amp;R'!AH12</f>
        <v>43830</v>
      </c>
      <c r="C198" s="663">
        <f>'A&amp;R'!AI12</f>
        <v>5</v>
      </c>
      <c r="D198" s="596">
        <v>0</v>
      </c>
      <c r="E198" s="596">
        <f ca="1">'A&amp;R'!AJ12</f>
        <v>378222.22222222225</v>
      </c>
      <c r="F198" s="596">
        <f t="shared" ca="1" si="2"/>
        <v>378222.22222222225</v>
      </c>
      <c r="G198" s="657">
        <f ca="1">'A&amp;R'!AK12</f>
        <v>4.055555555555556E-2</v>
      </c>
    </row>
    <row r="199" spans="2:7" ht="12.75" thickBot="1">
      <c r="B199" s="661">
        <f>'A&amp;R'!AH13</f>
        <v>43921</v>
      </c>
      <c r="C199" s="663">
        <f>'A&amp;R'!AI13</f>
        <v>6</v>
      </c>
      <c r="D199" s="596">
        <v>0</v>
      </c>
      <c r="E199" s="596">
        <f ca="1">'A&amp;R'!AJ13</f>
        <v>374111.11111111112</v>
      </c>
      <c r="F199" s="596">
        <f t="shared" ca="1" si="2"/>
        <v>374111.11111111112</v>
      </c>
      <c r="G199" s="657">
        <f ca="1">'A&amp;R'!AK13</f>
        <v>4.0555555555555553E-2</v>
      </c>
    </row>
    <row r="200" spans="2:7" ht="12.75" thickBot="1">
      <c r="B200" s="661">
        <f>'A&amp;R'!AH14</f>
        <v>44012</v>
      </c>
      <c r="C200" s="663">
        <f>'A&amp;R'!AI14</f>
        <v>7</v>
      </c>
      <c r="D200" s="596">
        <v>0</v>
      </c>
      <c r="E200" s="596">
        <f ca="1">'A&amp;R'!AJ14</f>
        <v>374111.11111111107</v>
      </c>
      <c r="F200" s="596">
        <f t="shared" ca="1" si="2"/>
        <v>374111.11111111107</v>
      </c>
      <c r="G200" s="657">
        <f ca="1">'A&amp;R'!AK14</f>
        <v>4.0555555555555553E-2</v>
      </c>
    </row>
    <row r="201" spans="2:7" ht="12.75" thickBot="1">
      <c r="B201" s="661">
        <f>'A&amp;R'!AH15</f>
        <v>44104</v>
      </c>
      <c r="C201" s="663">
        <f>'A&amp;R'!AI15</f>
        <v>8</v>
      </c>
      <c r="D201" s="596">
        <v>0</v>
      </c>
      <c r="E201" s="596">
        <f ca="1">'A&amp;R'!AJ15</f>
        <v>378222.22222222225</v>
      </c>
      <c r="F201" s="596">
        <f t="shared" ca="1" si="2"/>
        <v>378222.22222222225</v>
      </c>
      <c r="G201" s="657">
        <f ca="1">'A&amp;R'!AK15</f>
        <v>4.055555555555556E-2</v>
      </c>
    </row>
    <row r="202" spans="2:7" ht="12.75" thickBot="1">
      <c r="B202" s="661">
        <f>'A&amp;R'!AH16</f>
        <v>44196</v>
      </c>
      <c r="C202" s="663">
        <f>'A&amp;R'!AI16</f>
        <v>9</v>
      </c>
      <c r="D202" s="596">
        <v>0</v>
      </c>
      <c r="E202" s="596">
        <f ca="1">'A&amp;R'!AJ16</f>
        <v>378222.22222222225</v>
      </c>
      <c r="F202" s="596">
        <f t="shared" ca="1" si="2"/>
        <v>378222.22222222225</v>
      </c>
      <c r="G202" s="657">
        <f ca="1">'A&amp;R'!AK16</f>
        <v>4.055555555555556E-2</v>
      </c>
    </row>
    <row r="203" spans="2:7" ht="12.75" thickBot="1">
      <c r="B203" s="661">
        <f>'A&amp;R'!AH17</f>
        <v>44286</v>
      </c>
      <c r="C203" s="663">
        <f>'A&amp;R'!AI17</f>
        <v>10</v>
      </c>
      <c r="D203" s="596">
        <v>0</v>
      </c>
      <c r="E203" s="596">
        <f ca="1">'A&amp;R'!AJ17</f>
        <v>370000</v>
      </c>
      <c r="F203" s="596">
        <f t="shared" ca="1" si="2"/>
        <v>370000</v>
      </c>
      <c r="G203" s="657">
        <f ca="1">'A&amp;R'!AK17</f>
        <v>4.0555555555555553E-2</v>
      </c>
    </row>
    <row r="204" spans="2:7" ht="12.75" thickBot="1">
      <c r="B204" s="661">
        <f>'A&amp;R'!AH18</f>
        <v>44377</v>
      </c>
      <c r="C204" s="663">
        <f>'A&amp;R'!AI18</f>
        <v>11</v>
      </c>
      <c r="D204" s="596">
        <v>0</v>
      </c>
      <c r="E204" s="596">
        <f ca="1">'A&amp;R'!AJ18</f>
        <v>374111.11111111107</v>
      </c>
      <c r="F204" s="596">
        <f t="shared" ca="1" si="2"/>
        <v>374111.11111111107</v>
      </c>
      <c r="G204" s="657">
        <f ca="1">'A&amp;R'!AK18</f>
        <v>4.0555555555555553E-2</v>
      </c>
    </row>
    <row r="205" spans="2:7" ht="12.75" thickBot="1">
      <c r="B205" s="661">
        <f>'A&amp;R'!AH19</f>
        <v>44469</v>
      </c>
      <c r="C205" s="663">
        <f>'A&amp;R'!AI19</f>
        <v>12</v>
      </c>
      <c r="D205" s="596">
        <f ca="1">-D194</f>
        <v>37000000</v>
      </c>
      <c r="E205" s="596">
        <f ca="1">'A&amp;R'!AJ19</f>
        <v>378222.22222222225</v>
      </c>
      <c r="F205" s="596">
        <f t="shared" ca="1" si="2"/>
        <v>37378222.222222224</v>
      </c>
      <c r="G205" s="657">
        <f ca="1">'A&amp;R'!AK19</f>
        <v>4.055555555555556E-2</v>
      </c>
    </row>
    <row r="206" spans="2:7" ht="12.75" hidden="1" thickBot="1">
      <c r="B206" s="661">
        <f>'A&amp;R'!AH20</f>
        <v>44561</v>
      </c>
      <c r="C206" s="652">
        <f>'A&amp;R'!AI20</f>
        <v>13</v>
      </c>
      <c r="D206" s="596">
        <v>0</v>
      </c>
      <c r="E206" s="596">
        <f ca="1">'A&amp;R'!AJ20</f>
        <v>0</v>
      </c>
      <c r="F206" s="596">
        <v>0</v>
      </c>
      <c r="G206" s="657">
        <f ca="1">'A&amp;R'!AK20</f>
        <v>0</v>
      </c>
    </row>
    <row r="207" spans="2:7" ht="12.75" hidden="1" thickBot="1">
      <c r="B207" s="661">
        <f>'A&amp;R'!AH21</f>
        <v>44651</v>
      </c>
      <c r="C207" s="652">
        <f>'A&amp;R'!AI21</f>
        <v>14</v>
      </c>
      <c r="D207" s="596">
        <v>0</v>
      </c>
      <c r="E207" s="596">
        <f ca="1">'A&amp;R'!AJ21</f>
        <v>0</v>
      </c>
      <c r="F207" s="596">
        <v>0</v>
      </c>
      <c r="G207" s="657">
        <f ca="1">'A&amp;R'!AK21</f>
        <v>0</v>
      </c>
    </row>
    <row r="208" spans="2:7" ht="12.75" hidden="1" thickBot="1">
      <c r="B208" s="661">
        <f>'A&amp;R'!AH22</f>
        <v>44742</v>
      </c>
      <c r="C208" s="652">
        <f>'A&amp;R'!AI22</f>
        <v>15</v>
      </c>
      <c r="D208" s="596">
        <v>0</v>
      </c>
      <c r="E208" s="596">
        <f ca="1">'A&amp;R'!AJ22</f>
        <v>0</v>
      </c>
      <c r="F208" s="596">
        <v>0</v>
      </c>
      <c r="G208" s="657">
        <f ca="1">'A&amp;R'!AK22</f>
        <v>0</v>
      </c>
    </row>
    <row r="209" spans="2:7" ht="12.75" hidden="1" thickBot="1">
      <c r="B209" s="661">
        <f>'A&amp;R'!AH23</f>
        <v>44834</v>
      </c>
      <c r="C209" s="652">
        <f>'A&amp;R'!AI23</f>
        <v>16</v>
      </c>
      <c r="D209" s="596">
        <v>0</v>
      </c>
      <c r="E209" s="596">
        <f ca="1">'A&amp;R'!AJ23</f>
        <v>0</v>
      </c>
      <c r="F209" s="596">
        <v>0</v>
      </c>
      <c r="G209" s="657">
        <f ca="1">'A&amp;R'!AK23</f>
        <v>0</v>
      </c>
    </row>
    <row r="210" spans="2:7" ht="12.75" hidden="1" thickBot="1">
      <c r="B210" s="661">
        <f>'A&amp;R'!AH24</f>
        <v>44926</v>
      </c>
      <c r="C210" s="652">
        <f>'A&amp;R'!AI24</f>
        <v>17</v>
      </c>
      <c r="D210" s="596">
        <v>0</v>
      </c>
      <c r="E210" s="596">
        <f ca="1">'A&amp;R'!AJ24</f>
        <v>0</v>
      </c>
      <c r="F210" s="596">
        <v>0</v>
      </c>
      <c r="G210" s="657">
        <f ca="1">'A&amp;R'!AK24</f>
        <v>0</v>
      </c>
    </row>
    <row r="211" spans="2:7" ht="12.75" hidden="1" thickBot="1">
      <c r="B211" s="661">
        <f>'A&amp;R'!AH25</f>
        <v>45016</v>
      </c>
      <c r="C211" s="652">
        <f>'A&amp;R'!AI25</f>
        <v>18</v>
      </c>
      <c r="D211" s="596">
        <v>0</v>
      </c>
      <c r="E211" s="596">
        <f ca="1">'A&amp;R'!AJ25</f>
        <v>0</v>
      </c>
      <c r="F211" s="596">
        <v>0</v>
      </c>
      <c r="G211" s="657">
        <f ca="1">'A&amp;R'!AK25</f>
        <v>0</v>
      </c>
    </row>
    <row r="212" spans="2:7" ht="12.75" hidden="1" thickBot="1">
      <c r="B212" s="661">
        <f>'A&amp;R'!AH26</f>
        <v>45107</v>
      </c>
      <c r="C212" s="652">
        <f>'A&amp;R'!AI26</f>
        <v>19</v>
      </c>
      <c r="D212" s="596">
        <v>0</v>
      </c>
      <c r="E212" s="596">
        <f ca="1">'A&amp;R'!AJ26</f>
        <v>0</v>
      </c>
      <c r="F212" s="596">
        <v>0</v>
      </c>
      <c r="G212" s="657">
        <f ca="1">'A&amp;R'!AK26</f>
        <v>0</v>
      </c>
    </row>
    <row r="213" spans="2:7" ht="12.75" hidden="1" thickBot="1">
      <c r="B213" s="661">
        <f>'A&amp;R'!AH27</f>
        <v>45199</v>
      </c>
      <c r="C213" s="652">
        <f>'A&amp;R'!AI27</f>
        <v>20</v>
      </c>
      <c r="D213" s="596">
        <v>0</v>
      </c>
      <c r="E213" s="596">
        <f ca="1">'A&amp;R'!AJ27</f>
        <v>0</v>
      </c>
      <c r="F213" s="596">
        <v>0</v>
      </c>
      <c r="G213" s="657">
        <f ca="1">'A&amp;R'!AK27</f>
        <v>0</v>
      </c>
    </row>
    <row r="214" spans="2:7" ht="12.75" hidden="1" thickBot="1">
      <c r="B214" s="661">
        <f>'A&amp;R'!AH28</f>
        <v>45291</v>
      </c>
      <c r="C214" s="652">
        <f>'A&amp;R'!AI28</f>
        <v>21</v>
      </c>
      <c r="D214" s="596">
        <v>0</v>
      </c>
      <c r="E214" s="596">
        <f ca="1">'A&amp;R'!AJ28</f>
        <v>0</v>
      </c>
      <c r="F214" s="596">
        <v>0</v>
      </c>
      <c r="G214" s="657">
        <f ca="1">'A&amp;R'!AK28</f>
        <v>0</v>
      </c>
    </row>
    <row r="215" spans="2:7" ht="12.75" hidden="1" thickBot="1">
      <c r="B215" s="661">
        <f>'A&amp;R'!AH29</f>
        <v>45382</v>
      </c>
      <c r="C215" s="652">
        <f>'A&amp;R'!AI29</f>
        <v>22</v>
      </c>
      <c r="D215" s="596">
        <v>0</v>
      </c>
      <c r="E215" s="596">
        <f ca="1">'A&amp;R'!AJ29</f>
        <v>0</v>
      </c>
      <c r="F215" s="596">
        <v>0</v>
      </c>
      <c r="G215" s="657">
        <f ca="1">'A&amp;R'!AK29</f>
        <v>0</v>
      </c>
    </row>
    <row r="216" spans="2:7" ht="12.75" hidden="1" thickBot="1">
      <c r="B216" s="661">
        <f>'A&amp;R'!AH30</f>
        <v>45473</v>
      </c>
      <c r="C216" s="652">
        <f>'A&amp;R'!AI30</f>
        <v>23</v>
      </c>
      <c r="D216" s="596">
        <v>0</v>
      </c>
      <c r="E216" s="596">
        <f ca="1">'A&amp;R'!AJ30</f>
        <v>0</v>
      </c>
      <c r="F216" s="596">
        <v>0</v>
      </c>
      <c r="G216" s="657">
        <f ca="1">'A&amp;R'!AK30</f>
        <v>0</v>
      </c>
    </row>
    <row r="217" spans="2:7" ht="12.75" hidden="1" thickBot="1">
      <c r="B217" s="661">
        <f>'A&amp;R'!AH31</f>
        <v>45565</v>
      </c>
      <c r="C217" s="652">
        <f>'A&amp;R'!AI31</f>
        <v>24</v>
      </c>
      <c r="D217" s="596">
        <v>0</v>
      </c>
      <c r="E217" s="596">
        <f ca="1">'A&amp;R'!AJ31</f>
        <v>0</v>
      </c>
      <c r="F217" s="596">
        <v>0</v>
      </c>
      <c r="G217" s="657">
        <f ca="1">'A&amp;R'!AK31</f>
        <v>0</v>
      </c>
    </row>
    <row r="218" spans="2:7" ht="12.75" hidden="1" thickBot="1">
      <c r="B218" s="661">
        <f>'A&amp;R'!AH32</f>
        <v>45657</v>
      </c>
      <c r="C218" s="652">
        <f>'A&amp;R'!AI32</f>
        <v>25</v>
      </c>
      <c r="D218" s="596">
        <v>0</v>
      </c>
      <c r="E218" s="596">
        <f ca="1">'A&amp;R'!AJ32</f>
        <v>0</v>
      </c>
      <c r="F218" s="596">
        <v>0</v>
      </c>
      <c r="G218" s="657">
        <f ca="1">'A&amp;R'!AK32</f>
        <v>0</v>
      </c>
    </row>
    <row r="219" spans="2:7" ht="12.75" hidden="1" thickBot="1">
      <c r="B219" s="661">
        <f>'A&amp;R'!AH33</f>
        <v>45747</v>
      </c>
      <c r="C219" s="652">
        <f>'A&amp;R'!AI33</f>
        <v>26</v>
      </c>
      <c r="D219" s="596">
        <v>0</v>
      </c>
      <c r="E219" s="596">
        <f ca="1">'A&amp;R'!AJ33</f>
        <v>0</v>
      </c>
      <c r="F219" s="596">
        <v>0</v>
      </c>
      <c r="G219" s="657">
        <f ca="1">'A&amp;R'!AK33</f>
        <v>0</v>
      </c>
    </row>
    <row r="220" spans="2:7" ht="12.75" hidden="1" thickBot="1">
      <c r="B220" s="661">
        <f>'A&amp;R'!AH34</f>
        <v>45838</v>
      </c>
      <c r="C220" s="652">
        <f>'A&amp;R'!AI34</f>
        <v>27</v>
      </c>
      <c r="D220" s="596">
        <v>0</v>
      </c>
      <c r="E220" s="596">
        <f ca="1">'A&amp;R'!AJ34</f>
        <v>0</v>
      </c>
      <c r="F220" s="596">
        <v>0</v>
      </c>
      <c r="G220" s="657">
        <f ca="1">'A&amp;R'!AK34</f>
        <v>0</v>
      </c>
    </row>
    <row r="221" spans="2:7" ht="12.75" hidden="1" thickBot="1">
      <c r="B221" s="661">
        <f>'A&amp;R'!AH35</f>
        <v>45930</v>
      </c>
      <c r="C221" s="652">
        <f>'A&amp;R'!AI35</f>
        <v>28</v>
      </c>
      <c r="D221" s="596">
        <v>0</v>
      </c>
      <c r="E221" s="596">
        <f ca="1">'A&amp;R'!AJ35</f>
        <v>0</v>
      </c>
      <c r="F221" s="596">
        <v>0</v>
      </c>
      <c r="G221" s="657">
        <f ca="1">'A&amp;R'!AK35</f>
        <v>0</v>
      </c>
    </row>
    <row r="222" spans="2:7" ht="12.75" hidden="1" thickBot="1">
      <c r="B222" s="661">
        <f>'A&amp;R'!AH36</f>
        <v>46022</v>
      </c>
      <c r="C222" s="652">
        <f>'A&amp;R'!AI36</f>
        <v>29</v>
      </c>
      <c r="D222" s="596">
        <v>0</v>
      </c>
      <c r="E222" s="596">
        <f ca="1">'A&amp;R'!AJ36</f>
        <v>0</v>
      </c>
      <c r="F222" s="596">
        <v>0</v>
      </c>
      <c r="G222" s="657">
        <f ca="1">'A&amp;R'!AK36</f>
        <v>0</v>
      </c>
    </row>
    <row r="223" spans="2:7" ht="12.75" hidden="1" thickBot="1">
      <c r="B223" s="661">
        <f>'A&amp;R'!AH37</f>
        <v>46112</v>
      </c>
      <c r="C223" s="652">
        <f>'A&amp;R'!AI37</f>
        <v>30</v>
      </c>
      <c r="D223" s="596">
        <v>0</v>
      </c>
      <c r="E223" s="596">
        <f ca="1">'A&amp;R'!AJ37</f>
        <v>0</v>
      </c>
      <c r="F223" s="596">
        <v>0</v>
      </c>
      <c r="G223" s="657">
        <f ca="1">'A&amp;R'!AK37</f>
        <v>0</v>
      </c>
    </row>
    <row r="224" spans="2:7" ht="12.75" hidden="1" thickBot="1">
      <c r="B224" s="661">
        <f>'A&amp;R'!AH38</f>
        <v>46203</v>
      </c>
      <c r="C224" s="652">
        <f>'A&amp;R'!AI38</f>
        <v>31</v>
      </c>
      <c r="D224" s="596">
        <v>0</v>
      </c>
      <c r="E224" s="596">
        <f ca="1">'A&amp;R'!AJ38</f>
        <v>0</v>
      </c>
      <c r="F224" s="596">
        <v>0</v>
      </c>
      <c r="G224" s="657">
        <f ca="1">'A&amp;R'!AK38</f>
        <v>0</v>
      </c>
    </row>
    <row r="225" spans="2:7" ht="12.75" hidden="1" thickBot="1">
      <c r="B225" s="661">
        <f>'A&amp;R'!AH39</f>
        <v>46295</v>
      </c>
      <c r="C225" s="652">
        <f>'A&amp;R'!AI39</f>
        <v>32</v>
      </c>
      <c r="D225" s="596">
        <v>0</v>
      </c>
      <c r="E225" s="596">
        <f ca="1">'A&amp;R'!AJ39</f>
        <v>0</v>
      </c>
      <c r="F225" s="596">
        <v>0</v>
      </c>
      <c r="G225" s="657">
        <f ca="1">'A&amp;R'!AK39</f>
        <v>0</v>
      </c>
    </row>
    <row r="226" spans="2:7" ht="12.75" hidden="1" thickBot="1">
      <c r="B226" s="661">
        <f>'A&amp;R'!AH40</f>
        <v>46387</v>
      </c>
      <c r="C226" s="652">
        <f>'A&amp;R'!AI40</f>
        <v>33</v>
      </c>
      <c r="D226" s="596">
        <v>0</v>
      </c>
      <c r="E226" s="596">
        <f ca="1">'A&amp;R'!AJ40</f>
        <v>0</v>
      </c>
      <c r="F226" s="596">
        <v>0</v>
      </c>
      <c r="G226" s="657">
        <f ca="1">'A&amp;R'!AK40</f>
        <v>0</v>
      </c>
    </row>
    <row r="227" spans="2:7" ht="12.75" hidden="1" thickBot="1">
      <c r="B227" s="661">
        <f>'A&amp;R'!AH41</f>
        <v>46477</v>
      </c>
      <c r="C227" s="652">
        <f>'A&amp;R'!AI41</f>
        <v>34</v>
      </c>
      <c r="D227" s="596">
        <v>0</v>
      </c>
      <c r="E227" s="596">
        <f ca="1">'A&amp;R'!AJ41</f>
        <v>0</v>
      </c>
      <c r="F227" s="596">
        <v>0</v>
      </c>
      <c r="G227" s="657">
        <f ca="1">'A&amp;R'!AK41</f>
        <v>0</v>
      </c>
    </row>
    <row r="228" spans="2:7" ht="12.75" hidden="1" thickBot="1">
      <c r="B228" s="661">
        <f>'A&amp;R'!AH42</f>
        <v>46568</v>
      </c>
      <c r="C228" s="652">
        <f>'A&amp;R'!AI42</f>
        <v>35</v>
      </c>
      <c r="D228" s="596">
        <v>0</v>
      </c>
      <c r="E228" s="596">
        <f ca="1">'A&amp;R'!AJ42</f>
        <v>0</v>
      </c>
      <c r="F228" s="596">
        <v>0</v>
      </c>
      <c r="G228" s="657">
        <f ca="1">'A&amp;R'!AK42</f>
        <v>0</v>
      </c>
    </row>
    <row r="229" spans="2:7" ht="12.75" hidden="1" thickBot="1">
      <c r="B229" s="661">
        <f>'A&amp;R'!AH43</f>
        <v>46660</v>
      </c>
      <c r="C229" s="652">
        <f>'A&amp;R'!AI43</f>
        <v>36</v>
      </c>
      <c r="D229" s="596">
        <v>0</v>
      </c>
      <c r="E229" s="596">
        <f ca="1">'A&amp;R'!AJ43</f>
        <v>0</v>
      </c>
      <c r="F229" s="596">
        <v>0</v>
      </c>
      <c r="G229" s="657">
        <f ca="1">'A&amp;R'!AK43</f>
        <v>0</v>
      </c>
    </row>
    <row r="230" spans="2:7" ht="12.75" hidden="1" thickBot="1">
      <c r="B230" s="661">
        <f>'A&amp;R'!AH44</f>
        <v>46752</v>
      </c>
      <c r="C230" s="652">
        <f>'A&amp;R'!AI44</f>
        <v>37</v>
      </c>
      <c r="D230" s="596">
        <v>0</v>
      </c>
      <c r="E230" s="596">
        <f ca="1">'A&amp;R'!AJ44</f>
        <v>0</v>
      </c>
      <c r="F230" s="596">
        <v>0</v>
      </c>
      <c r="G230" s="657">
        <f ca="1">'A&amp;R'!AK44</f>
        <v>0</v>
      </c>
    </row>
    <row r="231" spans="2:7" ht="12.75" hidden="1" thickBot="1">
      <c r="B231" s="661">
        <f>'A&amp;R'!AH45</f>
        <v>46843</v>
      </c>
      <c r="C231" s="652">
        <f>'A&amp;R'!AI45</f>
        <v>38</v>
      </c>
      <c r="D231" s="596">
        <v>0</v>
      </c>
      <c r="E231" s="596">
        <f ca="1">'A&amp;R'!AJ45</f>
        <v>0</v>
      </c>
      <c r="F231" s="596">
        <v>0</v>
      </c>
      <c r="G231" s="657">
        <f ca="1">'A&amp;R'!AK45</f>
        <v>0</v>
      </c>
    </row>
    <row r="232" spans="2:7" ht="12.75" hidden="1" thickBot="1">
      <c r="B232" s="661">
        <f>'A&amp;R'!AH46</f>
        <v>46934</v>
      </c>
      <c r="C232" s="652">
        <f>'A&amp;R'!AI46</f>
        <v>39</v>
      </c>
      <c r="D232" s="596">
        <v>0</v>
      </c>
      <c r="E232" s="596">
        <f ca="1">'A&amp;R'!AJ46</f>
        <v>0</v>
      </c>
      <c r="F232" s="596">
        <v>0</v>
      </c>
      <c r="G232" s="657">
        <f ca="1">'A&amp;R'!AK46</f>
        <v>0</v>
      </c>
    </row>
    <row r="233" spans="2:7" ht="12.75" hidden="1" thickBot="1">
      <c r="B233" s="661">
        <f>'A&amp;R'!AH47</f>
        <v>47026</v>
      </c>
      <c r="C233" s="652">
        <f>'A&amp;R'!AI47</f>
        <v>40</v>
      </c>
      <c r="D233" s="596">
        <v>0</v>
      </c>
      <c r="E233" s="596">
        <f ca="1">'A&amp;R'!AJ47</f>
        <v>0</v>
      </c>
      <c r="F233" s="596">
        <v>0</v>
      </c>
      <c r="G233" s="657">
        <f ca="1">'A&amp;R'!AK47</f>
        <v>0</v>
      </c>
    </row>
    <row r="234" spans="2:7" ht="12.75" thickBot="1">
      <c r="B234" s="662" t="str">
        <f>'A&amp;R'!AH48</f>
        <v>합계</v>
      </c>
      <c r="C234" s="659"/>
      <c r="D234" s="590">
        <f ca="1">SUM(D194:D233)</f>
        <v>0</v>
      </c>
      <c r="E234" s="590">
        <f ca="1">'A&amp;R'!AJ48</f>
        <v>4505777.7777777771</v>
      </c>
      <c r="F234" s="590">
        <f ca="1">SUM(F194:F233)</f>
        <v>4505777.777777791</v>
      </c>
      <c r="G234" s="660">
        <f ca="1">'A&amp;R'!AK48</f>
        <v>4.0555555555555553E-2</v>
      </c>
    </row>
    <row r="246" spans="12:14">
      <c r="L246" s="348">
        <v>217668.601046</v>
      </c>
      <c r="M246" s="348">
        <v>56811</v>
      </c>
      <c r="N246" s="665">
        <f>M246/$M$248</f>
        <v>0.24173350637193369</v>
      </c>
    </row>
    <row r="247" spans="12:14">
      <c r="M247" s="348">
        <v>178204</v>
      </c>
      <c r="N247" s="665">
        <f>M247/$M$248</f>
        <v>0.75826649362806631</v>
      </c>
    </row>
    <row r="248" spans="12:14">
      <c r="M248" s="348">
        <f>SUM(M246:M247)</f>
        <v>235015</v>
      </c>
    </row>
    <row r="249" spans="12:14" ht="12.75" thickBot="1"/>
    <row r="250" spans="12:14">
      <c r="L250" s="348">
        <v>145880.47167999999</v>
      </c>
      <c r="M250" s="644">
        <v>87508</v>
      </c>
      <c r="N250" s="665">
        <f>M250/$M$253</f>
        <v>0.63544208202625774</v>
      </c>
    </row>
    <row r="251" spans="12:14" ht="12.75" thickBot="1">
      <c r="M251" s="642">
        <v>50204</v>
      </c>
      <c r="N251" s="665">
        <f>M251/$M$253</f>
        <v>0.36455791797374232</v>
      </c>
    </row>
    <row r="252" spans="12:14" s="2" customFormat="1">
      <c r="M252" s="709"/>
      <c r="N252" s="665"/>
    </row>
    <row r="253" spans="12:14">
      <c r="M253" s="348">
        <f>SUM(M250:M251)</f>
        <v>137712</v>
      </c>
    </row>
    <row r="258" spans="3:7" ht="12.75" thickBot="1"/>
    <row r="259" spans="3:7" ht="12.75" thickBot="1">
      <c r="C259" s="632" t="s">
        <v>532</v>
      </c>
      <c r="D259" s="541" t="s">
        <v>533</v>
      </c>
      <c r="E259" s="541" t="s">
        <v>534</v>
      </c>
      <c r="F259" s="541" t="s">
        <v>535</v>
      </c>
      <c r="G259" s="543" t="s">
        <v>531</v>
      </c>
    </row>
    <row r="260" spans="3:7">
      <c r="C260" s="687" t="s">
        <v>540</v>
      </c>
      <c r="D260" s="688">
        <f ca="1">'Property(Y)'!N20</f>
        <v>143164.66331475004</v>
      </c>
      <c r="E260" s="688">
        <f ca="1">'Property(Y)'!O20</f>
        <v>150322.89184550001</v>
      </c>
      <c r="F260" s="688">
        <f ca="1">'Property(Y)'!P20</f>
        <v>157839.03814186313</v>
      </c>
      <c r="G260" s="686" t="s">
        <v>536</v>
      </c>
    </row>
    <row r="261" spans="3:7">
      <c r="C261" s="691" t="s">
        <v>547</v>
      </c>
      <c r="D261" s="674">
        <f ca="1">'Property(Y)'!N21</f>
        <v>64702.758738250006</v>
      </c>
      <c r="E261" s="674">
        <f ca="1">'Property(Y)'!O21</f>
        <v>67937.894580249995</v>
      </c>
      <c r="F261" s="674">
        <f ca="1">'Property(Y)'!P21</f>
        <v>71334.790080129373</v>
      </c>
      <c r="G261" s="686"/>
    </row>
    <row r="262" spans="3:7">
      <c r="C262" s="691" t="s">
        <v>548</v>
      </c>
      <c r="D262" s="674">
        <f ca="1">'Property(Y)'!N22</f>
        <v>3870.0179545000001</v>
      </c>
      <c r="E262" s="674">
        <f ca="1">'Property(Y)'!O22</f>
        <v>4063.5187269999997</v>
      </c>
      <c r="F262" s="674">
        <f ca="1">'Property(Y)'!P22</f>
        <v>4266.6947090137501</v>
      </c>
      <c r="G262" s="686"/>
    </row>
    <row r="263" spans="3:7">
      <c r="C263" s="691" t="s">
        <v>549</v>
      </c>
      <c r="D263" s="674">
        <f ca="1">'Property(Y)'!N23</f>
        <v>59017.652305249983</v>
      </c>
      <c r="E263" s="674">
        <f ca="1">'Property(Y)'!O23</f>
        <v>61968.533009749997</v>
      </c>
      <c r="F263" s="674">
        <f ca="1">'Property(Y)'!P23</f>
        <v>65066.960362861879</v>
      </c>
      <c r="G263" s="686"/>
    </row>
    <row r="264" spans="3:7" ht="12.75" thickBot="1">
      <c r="C264" s="692" t="s">
        <v>550</v>
      </c>
      <c r="D264" s="642">
        <f ca="1">'Property(Y)'!N24</f>
        <v>15574.234316749998</v>
      </c>
      <c r="E264" s="642">
        <f ca="1">'Property(Y)'!O24</f>
        <v>16352.9455285</v>
      </c>
      <c r="F264" s="642">
        <f ca="1">'Property(Y)'!P24</f>
        <v>17170.592989858127</v>
      </c>
      <c r="G264" s="643"/>
    </row>
    <row r="265" spans="3:7" ht="12.75" thickBot="1">
      <c r="C265" s="549" t="s">
        <v>542</v>
      </c>
      <c r="D265" s="545">
        <f ca="1">'Property(Y)'!N25</f>
        <v>26200.575037000002</v>
      </c>
      <c r="E265" s="545">
        <f ca="1">'Property(Y)'!O25</f>
        <v>28820.633025500007</v>
      </c>
      <c r="F265" s="545">
        <f ca="1">'Property(Y)'!P25</f>
        <v>31702.697465185014</v>
      </c>
      <c r="G265" s="558" t="s">
        <v>537</v>
      </c>
    </row>
    <row r="266" spans="3:7" ht="12.75" thickBot="1">
      <c r="C266" s="549" t="s">
        <v>543</v>
      </c>
      <c r="D266" s="545">
        <f ca="1">'Property(Y)'!N26</f>
        <v>647577.3524999998</v>
      </c>
      <c r="E266" s="545">
        <f ca="1">'Property(Y)'!O26</f>
        <v>667085.32352075004</v>
      </c>
      <c r="F266" s="545">
        <f ca="1">'Property(Y)'!P26</f>
        <v>687339.94863862265</v>
      </c>
      <c r="G266" s="558" t="s">
        <v>538</v>
      </c>
    </row>
    <row r="267" spans="3:7" ht="12.75" thickBot="1">
      <c r="C267" s="549" t="s">
        <v>544</v>
      </c>
      <c r="D267" s="545">
        <f ca="1">'Property(Y)'!N27</f>
        <v>45074.422112249995</v>
      </c>
      <c r="E267" s="545">
        <f ca="1">'Property(Y)'!O27</f>
        <v>46950.948639000002</v>
      </c>
      <c r="F267" s="545">
        <f ca="1">'Property(Y)'!P27</f>
        <v>48651.644035842393</v>
      </c>
      <c r="G267" s="558"/>
    </row>
    <row r="268" spans="3:7" ht="12.75" thickBot="1">
      <c r="C268" s="549" t="s">
        <v>545</v>
      </c>
      <c r="D268" s="545">
        <f ca="1">'Property(Y)'!N28</f>
        <v>10288.822650749997</v>
      </c>
      <c r="E268" s="545">
        <f ca="1">'Property(Y)'!O28</f>
        <v>10530.698596999999</v>
      </c>
      <c r="F268" s="545">
        <f ca="1">'Property(Y)'!P28</f>
        <v>10793.966001902187</v>
      </c>
      <c r="G268" s="558"/>
    </row>
    <row r="269" spans="3:7" ht="12.75" thickBot="1">
      <c r="C269" s="549" t="s">
        <v>541</v>
      </c>
      <c r="D269" s="545">
        <f ca="1">'Property(Y)'!N29</f>
        <v>972.97198850000007</v>
      </c>
      <c r="E269" s="545">
        <f ca="1">'Property(Y)'!O29</f>
        <v>1021.6205562500002</v>
      </c>
      <c r="F269" s="545">
        <f ca="1">'Property(Y)'!P29</f>
        <v>1072.70159550375</v>
      </c>
      <c r="G269" s="558"/>
    </row>
    <row r="270" spans="3:7" ht="12.75" thickBot="1">
      <c r="C270" s="549" t="s">
        <v>546</v>
      </c>
      <c r="D270" s="545">
        <f ca="1">'Property(Y)'!N30</f>
        <v>4559.9349412500005</v>
      </c>
      <c r="E270" s="545">
        <f ca="1">'Property(Y)'!O30</f>
        <v>4763.9515742499998</v>
      </c>
      <c r="F270" s="545">
        <f ca="1">'Property(Y)'!P30</f>
        <v>19055.806296999999</v>
      </c>
      <c r="G270" s="558"/>
    </row>
    <row r="271" spans="3:7" ht="12.75" thickBot="1">
      <c r="C271" s="684" t="s">
        <v>539</v>
      </c>
      <c r="D271" s="565">
        <f ca="1">SUM(D260,D265:D270)</f>
        <v>877838.74254449992</v>
      </c>
      <c r="E271" s="565">
        <f ca="1">SUM(E260,E265:E270)</f>
        <v>909496.06775825005</v>
      </c>
      <c r="F271" s="565">
        <f ca="1">SUM(F260,F265:F270)</f>
        <v>956455.80217591918</v>
      </c>
      <c r="G271" s="558"/>
    </row>
    <row r="274" spans="3:7">
      <c r="C274" s="311"/>
      <c r="D274" s="312"/>
      <c r="E274" s="311"/>
      <c r="F274" s="311"/>
    </row>
    <row r="278" spans="3:7">
      <c r="D278" s="348">
        <f ca="1">'Property(Y)'!N31</f>
        <v>877838.74254449992</v>
      </c>
      <c r="E278" s="348">
        <f ca="1">'Property(Y)'!O31</f>
        <v>909496.06775825005</v>
      </c>
      <c r="F278" s="348">
        <f ca="1">'Property(Y)'!P31</f>
        <v>956455.80217591918</v>
      </c>
    </row>
    <row r="279" spans="3:7">
      <c r="D279" s="348">
        <f ca="1">D278-D271</f>
        <v>0</v>
      </c>
      <c r="E279" s="348">
        <f ca="1">E278-E271</f>
        <v>0</v>
      </c>
      <c r="F279" s="348">
        <f ca="1">F278-F271</f>
        <v>0</v>
      </c>
    </row>
    <row r="283" spans="3:7" ht="12.75" thickBot="1"/>
    <row r="284" spans="3:7" ht="12.75" thickBot="1">
      <c r="C284" s="632" t="s">
        <v>532</v>
      </c>
      <c r="D284" s="541" t="s">
        <v>533</v>
      </c>
      <c r="E284" s="541" t="s">
        <v>534</v>
      </c>
      <c r="F284" s="541" t="s">
        <v>535</v>
      </c>
      <c r="G284" s="543" t="s">
        <v>531</v>
      </c>
    </row>
    <row r="285" spans="3:7" ht="12.75" thickBot="1">
      <c r="C285" s="549" t="s">
        <v>652</v>
      </c>
      <c r="D285" s="545">
        <f ca="1">'Property(Y)'!N36</f>
        <v>15226.169765000004</v>
      </c>
      <c r="E285" s="545">
        <f ca="1">'Property(Y)'!O36</f>
        <v>0</v>
      </c>
      <c r="F285" s="545">
        <f ca="1">'Property(Y)'!P36</f>
        <v>48037.393272000008</v>
      </c>
      <c r="G285" s="552" t="s">
        <v>656</v>
      </c>
    </row>
    <row r="286" spans="3:7" s="2" customFormat="1" ht="12.75" thickBot="1">
      <c r="C286" s="549" t="s">
        <v>653</v>
      </c>
      <c r="D286" s="545">
        <f ca="1">'Property(Y)'!N37</f>
        <v>1394054</v>
      </c>
      <c r="E286" s="545">
        <f ca="1">'Property(Y)'!O37</f>
        <v>49999.999999999993</v>
      </c>
      <c r="F286" s="545">
        <f ca="1">'Property(Y)'!P37</f>
        <v>119556</v>
      </c>
      <c r="G286" s="552" t="s">
        <v>655</v>
      </c>
    </row>
    <row r="287" spans="3:7" s="2" customFormat="1" ht="12.75" thickBot="1">
      <c r="C287" s="564" t="s">
        <v>654</v>
      </c>
      <c r="D287" s="565">
        <f ca="1">SUM(D285:D286)</f>
        <v>1409280.169765</v>
      </c>
      <c r="E287" s="565">
        <f t="shared" ref="E287:F287" ca="1" si="3">SUM(E285:E286)</f>
        <v>49999.999999999993</v>
      </c>
      <c r="F287" s="565">
        <f t="shared" ca="1" si="3"/>
        <v>167593.39327200002</v>
      </c>
      <c r="G287" s="552"/>
    </row>
    <row r="294" spans="3:13" ht="12.75" thickBot="1"/>
    <row r="295" spans="3:13" ht="12.75" thickBot="1">
      <c r="C295" s="632" t="s">
        <v>532</v>
      </c>
      <c r="D295" s="921" t="s">
        <v>911</v>
      </c>
      <c r="E295" s="921" t="s">
        <v>912</v>
      </c>
      <c r="F295" s="922" t="s">
        <v>913</v>
      </c>
      <c r="G295" s="541" t="s">
        <v>533</v>
      </c>
      <c r="H295" s="541" t="s">
        <v>534</v>
      </c>
      <c r="I295" s="543" t="s">
        <v>535</v>
      </c>
    </row>
    <row r="296" spans="3:13" ht="12.75" thickBot="1">
      <c r="C296" s="564" t="s">
        <v>553</v>
      </c>
      <c r="D296" s="573">
        <f ca="1">D297+D303</f>
        <v>5236374.5720833326</v>
      </c>
      <c r="E296" s="573">
        <f ca="1">E297+E303</f>
        <v>5408865.9399999995</v>
      </c>
      <c r="F296" s="573">
        <f ca="1">F297+F303</f>
        <v>5583108.1742820004</v>
      </c>
      <c r="G296" s="573">
        <f ca="1">G297+G303</f>
        <v>5743123.4541143747</v>
      </c>
      <c r="H296" s="573">
        <f t="shared" ref="H296:I296" ca="1" si="4">H297+H303</f>
        <v>5932805.0908525465</v>
      </c>
      <c r="I296" s="574">
        <f t="shared" ca="1" si="4"/>
        <v>6056499.635318215</v>
      </c>
      <c r="J296" s="701">
        <f ca="1">AVERAGE(G296:I296)</f>
        <v>5910809.3934283787</v>
      </c>
    </row>
    <row r="297" spans="3:13" s="2" customFormat="1">
      <c r="C297" s="693" t="s">
        <v>551</v>
      </c>
      <c r="D297" s="577">
        <f t="shared" ref="D297" ca="1" si="5">SUM(D298:D302)</f>
        <v>5158838.084999999</v>
      </c>
      <c r="E297" s="577">
        <f t="shared" ref="E297" ca="1" si="6">SUM(E298:E302)</f>
        <v>5336151.63</v>
      </c>
      <c r="F297" s="577">
        <f t="shared" ref="F297" ca="1" si="7">SUM(F298:F302)</f>
        <v>5519883.1562120002</v>
      </c>
      <c r="G297" s="577">
        <f t="shared" ref="G297:I297" ca="1" si="8">SUM(G298:G302)</f>
        <v>5672022.1655796245</v>
      </c>
      <c r="H297" s="577">
        <f t="shared" ca="1" si="8"/>
        <v>5855445.8350412967</v>
      </c>
      <c r="I297" s="578">
        <f t="shared" ca="1" si="8"/>
        <v>5975040.6996937692</v>
      </c>
    </row>
    <row r="298" spans="3:13">
      <c r="C298" s="694" t="s">
        <v>558</v>
      </c>
      <c r="D298" s="696">
        <f ca="1">'Property(Y)'!K12</f>
        <v>4746040.9349999996</v>
      </c>
      <c r="E298" s="696">
        <f ca="1">'Property(Y)'!L12</f>
        <v>4912152.4799999995</v>
      </c>
      <c r="F298" s="696">
        <f ca="1">'Property(Y)'!M12</f>
        <v>5084077.5748340003</v>
      </c>
      <c r="G298" s="696">
        <f ca="1">'Property(Y)'!N12</f>
        <v>5262020.5526280003</v>
      </c>
      <c r="H298" s="696">
        <f ca="1">'Property(Y)'!O12</f>
        <v>5446191.2719699806</v>
      </c>
      <c r="I298" s="697">
        <f ca="1">'Property(Y)'!P12</f>
        <v>5636807.9664889285</v>
      </c>
    </row>
    <row r="299" spans="3:13">
      <c r="C299" s="694" t="s">
        <v>559</v>
      </c>
      <c r="D299" s="696">
        <f ca="1">'Property(Y)'!K13</f>
        <v>227336.33999999997</v>
      </c>
      <c r="E299" s="696">
        <f ca="1">'Property(Y)'!L13</f>
        <v>234086.06999999998</v>
      </c>
      <c r="F299" s="696">
        <f ca="1">'Property(Y)'!M13</f>
        <v>241291.36500000002</v>
      </c>
      <c r="G299" s="696">
        <f ca="1">'Property(Y)'!N13</f>
        <v>221014.19649824995</v>
      </c>
      <c r="H299" s="696">
        <f ca="1">'Property(Y)'!O13</f>
        <v>243919.81167274996</v>
      </c>
      <c r="I299" s="697">
        <f ca="1">'Property(Y)'!P13</f>
        <v>208369.00126399993</v>
      </c>
    </row>
    <row r="300" spans="3:13">
      <c r="C300" s="694" t="s">
        <v>560</v>
      </c>
      <c r="D300" s="696">
        <f ca="1">'Property(Y)'!K14</f>
        <v>52200</v>
      </c>
      <c r="E300" s="696">
        <f ca="1">'Property(Y)'!L14</f>
        <v>52200</v>
      </c>
      <c r="F300" s="696">
        <f ca="1">'Property(Y)'!M14</f>
        <v>52200</v>
      </c>
      <c r="G300" s="696">
        <f ca="1">'Property(Y)'!N14</f>
        <v>52200</v>
      </c>
      <c r="H300" s="696">
        <f ca="1">'Property(Y)'!O14</f>
        <v>52200</v>
      </c>
      <c r="I300" s="697">
        <f ca="1">'Property(Y)'!P14</f>
        <v>52200</v>
      </c>
    </row>
    <row r="301" spans="3:13" s="2" customFormat="1">
      <c r="C301" s="694" t="s">
        <v>561</v>
      </c>
      <c r="D301" s="696">
        <f ca="1">'Property(Y)'!K11</f>
        <v>133260.81000000003</v>
      </c>
      <c r="E301" s="696">
        <f ca="1">'Property(Y)'!L11</f>
        <v>137713.07999999999</v>
      </c>
      <c r="F301" s="696">
        <f ca="1">'Property(Y)'!M11</f>
        <v>142314.21637800001</v>
      </c>
      <c r="G301" s="696">
        <f ca="1">'Property(Y)'!N11</f>
        <v>147070.05046262496</v>
      </c>
      <c r="H301" s="696">
        <f ca="1">'Property(Y)'!O11</f>
        <v>151984.27854756685</v>
      </c>
      <c r="I301" s="697">
        <f ca="1">'Property(Y)'!P11</f>
        <v>157062.9248458411</v>
      </c>
    </row>
    <row r="302" spans="3:13">
      <c r="C302" s="694" t="s">
        <v>562</v>
      </c>
      <c r="D302" s="696">
        <f ca="1">'Property(Y)'!K15</f>
        <v>0</v>
      </c>
      <c r="E302" s="696">
        <f ca="1">'Property(Y)'!L15</f>
        <v>0</v>
      </c>
      <c r="F302" s="696">
        <f ca="1">'Property(Y)'!M15</f>
        <v>0</v>
      </c>
      <c r="G302" s="696">
        <f ca="1">'Property(Y)'!N15</f>
        <v>-10282.634009250003</v>
      </c>
      <c r="H302" s="696">
        <f ca="1">'Property(Y)'!O15</f>
        <v>-38849.527149000001</v>
      </c>
      <c r="I302" s="697">
        <f ca="1">'Property(Y)'!P15</f>
        <v>-79399.192905000004</v>
      </c>
    </row>
    <row r="303" spans="3:13" ht="12.75" thickBot="1">
      <c r="C303" s="690" t="s">
        <v>552</v>
      </c>
      <c r="D303" s="575">
        <f ca="1">'Property(Y)'!K17</f>
        <v>77536.487083333326</v>
      </c>
      <c r="E303" s="575">
        <f ca="1">'Property(Y)'!L17</f>
        <v>72714.31</v>
      </c>
      <c r="F303" s="575">
        <f ca="1">'Property(Y)'!M17</f>
        <v>63225.018070000006</v>
      </c>
      <c r="G303" s="575">
        <f ca="1">'Property(Y)'!N17</f>
        <v>71101.288534749998</v>
      </c>
      <c r="H303" s="575">
        <f ca="1">'Property(Y)'!O17</f>
        <v>77359.255811249997</v>
      </c>
      <c r="I303" s="576">
        <f ca="1">'Property(Y)'!P17</f>
        <v>81458.935624445337</v>
      </c>
    </row>
    <row r="304" spans="3:13" ht="12.75" thickBot="1">
      <c r="C304" s="564" t="s">
        <v>554</v>
      </c>
      <c r="D304" s="573">
        <f t="shared" ref="D304:I304" ca="1" si="9">SUM(D305:D311)</f>
        <v>844175.26333333319</v>
      </c>
      <c r="E304" s="573">
        <f t="shared" ca="1" si="9"/>
        <v>818651.69000000006</v>
      </c>
      <c r="F304" s="573">
        <f t="shared" ca="1" si="9"/>
        <v>858511.4641432499</v>
      </c>
      <c r="G304" s="573">
        <f t="shared" ca="1" si="9"/>
        <v>877838.74254449992</v>
      </c>
      <c r="H304" s="573">
        <f t="shared" ca="1" si="9"/>
        <v>909496.06775825005</v>
      </c>
      <c r="I304" s="574">
        <f t="shared" ca="1" si="9"/>
        <v>956455.80217591918</v>
      </c>
      <c r="J304" s="701">
        <f ca="1">AVERAGE(G304:I304)</f>
        <v>914596.87082622305</v>
      </c>
      <c r="L304" s="793">
        <f t="shared" ref="L304:M311" ca="1" si="10">H304/G304-1</f>
        <v>3.6062802516539927E-2</v>
      </c>
      <c r="M304" s="793">
        <f t="shared" ca="1" si="10"/>
        <v>5.1632696481488605E-2</v>
      </c>
    </row>
    <row r="305" spans="3:13">
      <c r="C305" s="693" t="str">
        <f>C260</f>
        <v>Statutory Expenses</v>
      </c>
      <c r="D305" s="577">
        <f ca="1">'Property(Y)'!K20</f>
        <v>133538.51333333331</v>
      </c>
      <c r="E305" s="577">
        <f ca="1">'Property(Y)'!L20</f>
        <v>139303.78</v>
      </c>
      <c r="F305" s="577">
        <f ca="1">'Property(Y)'!M20</f>
        <v>132982.23000000001</v>
      </c>
      <c r="G305" s="577">
        <f ca="1">'Property(Y)'!N20</f>
        <v>143164.66331475004</v>
      </c>
      <c r="H305" s="577">
        <f ca="1">'Property(Y)'!O20</f>
        <v>150322.89184550001</v>
      </c>
      <c r="I305" s="578">
        <f ca="1">'Property(Y)'!P20</f>
        <v>157839.03814186313</v>
      </c>
      <c r="L305" s="793">
        <f t="shared" ca="1" si="10"/>
        <v>4.999996762477954E-2</v>
      </c>
      <c r="M305" s="793">
        <f t="shared" ca="1" si="10"/>
        <v>5.0000011336185146E-2</v>
      </c>
    </row>
    <row r="306" spans="3:13">
      <c r="C306" s="689" t="str">
        <f t="shared" ref="C306:C308" si="11">C265</f>
        <v>Insurance Premiums</v>
      </c>
      <c r="D306" s="696">
        <f ca="1">'Property(Y)'!K25</f>
        <v>40122.720000000001</v>
      </c>
      <c r="E306" s="696">
        <f ca="1">'Property(Y)'!L25</f>
        <v>25646.39</v>
      </c>
      <c r="F306" s="696">
        <f ca="1">'Property(Y)'!M25</f>
        <v>23624.664138500004</v>
      </c>
      <c r="G306" s="696">
        <f ca="1">'Property(Y)'!N25</f>
        <v>26200.575037000002</v>
      </c>
      <c r="H306" s="696">
        <f ca="1">'Property(Y)'!O25</f>
        <v>28820.633025500007</v>
      </c>
      <c r="I306" s="697">
        <f ca="1">'Property(Y)'!P25</f>
        <v>31702.697465185014</v>
      </c>
      <c r="L306" s="793">
        <f t="shared" ca="1" si="10"/>
        <v>0.10000001850341089</v>
      </c>
      <c r="M306" s="793">
        <f t="shared" ca="1" si="10"/>
        <v>0.10000003945558755</v>
      </c>
    </row>
    <row r="307" spans="3:13">
      <c r="C307" s="689" t="str">
        <f t="shared" si="11"/>
        <v>R&amp;M Honeywell Contract</v>
      </c>
      <c r="D307" s="696">
        <f ca="1">'Property(Y)'!K26</f>
        <v>628282.82624999993</v>
      </c>
      <c r="E307" s="696">
        <f ca="1">'Property(Y)'!L26</f>
        <v>606359.4</v>
      </c>
      <c r="F307" s="696">
        <f ca="1">'Property(Y)'!M26</f>
        <v>632076.23249999993</v>
      </c>
      <c r="G307" s="696">
        <f ca="1">'Property(Y)'!N26</f>
        <v>647577.3524999998</v>
      </c>
      <c r="H307" s="696">
        <f ca="1">'Property(Y)'!O26</f>
        <v>667085.32352075004</v>
      </c>
      <c r="I307" s="697">
        <f ca="1">'Property(Y)'!P26</f>
        <v>687339.94863862265</v>
      </c>
      <c r="L307" s="793">
        <f t="shared" ca="1" si="10"/>
        <v>3.0124541794797066E-2</v>
      </c>
      <c r="M307" s="793">
        <f t="shared" ca="1" si="10"/>
        <v>3.0362870241204654E-2</v>
      </c>
    </row>
    <row r="308" spans="3:13">
      <c r="C308" s="689" t="str">
        <f t="shared" si="11"/>
        <v>Admin / Management Fee</v>
      </c>
      <c r="D308" s="696">
        <f ca="1">'Property(Y)'!K27</f>
        <v>39703.913750000007</v>
      </c>
      <c r="E308" s="696">
        <f ca="1">'Property(Y)'!L27</f>
        <v>42133.780000000006</v>
      </c>
      <c r="F308" s="696">
        <f ca="1">'Property(Y)'!M27</f>
        <v>47519.037499999999</v>
      </c>
      <c r="G308" s="696">
        <f ca="1">'Property(Y)'!N27</f>
        <v>45074.422112249995</v>
      </c>
      <c r="H308" s="696">
        <f ca="1">'Property(Y)'!O27</f>
        <v>46950.948639000002</v>
      </c>
      <c r="I308" s="697">
        <f ca="1">'Property(Y)'!P27</f>
        <v>48651.644035842393</v>
      </c>
      <c r="L308" s="793">
        <f t="shared" ca="1" si="10"/>
        <v>4.1631737886219433E-2</v>
      </c>
      <c r="M308" s="793">
        <f t="shared" ca="1" si="10"/>
        <v>3.6222812235783053E-2</v>
      </c>
    </row>
    <row r="309" spans="3:13">
      <c r="C309" s="689" t="str">
        <f>C268</f>
        <v>Misc Consultants</v>
      </c>
      <c r="D309" s="696">
        <f ca="1">'Property(Y)'!K28</f>
        <v>2527.2900000000004</v>
      </c>
      <c r="E309" s="696">
        <f ca="1">'Property(Y)'!L28</f>
        <v>5208.34</v>
      </c>
      <c r="F309" s="696">
        <f ca="1">'Property(Y)'!M28</f>
        <v>22309.300004749999</v>
      </c>
      <c r="G309" s="696">
        <f ca="1">'Property(Y)'!N28</f>
        <v>10288.822650749997</v>
      </c>
      <c r="H309" s="696">
        <f ca="1">'Property(Y)'!O28</f>
        <v>10530.698596999999</v>
      </c>
      <c r="I309" s="697">
        <f ca="1">'Property(Y)'!P28</f>
        <v>10793.966001902187</v>
      </c>
      <c r="L309" s="793">
        <f t="shared" ca="1" si="10"/>
        <v>2.3508612643096782E-2</v>
      </c>
      <c r="M309" s="793">
        <f t="shared" ca="1" si="10"/>
        <v>2.4999994300206163E-2</v>
      </c>
    </row>
    <row r="310" spans="3:13">
      <c r="C310" s="689" t="str">
        <f>C269</f>
        <v>Land Tax</v>
      </c>
      <c r="D310" s="696">
        <f ca="1">'Property(Y)'!K29</f>
        <v>0</v>
      </c>
      <c r="E310" s="696">
        <f ca="1">'Property(Y)'!L29</f>
        <v>0</v>
      </c>
      <c r="F310" s="696">
        <f ca="1">'Property(Y)'!M29</f>
        <v>0</v>
      </c>
      <c r="G310" s="696">
        <f ca="1">'Property(Y)'!N29</f>
        <v>972.97198850000007</v>
      </c>
      <c r="H310" s="696">
        <f ca="1">'Property(Y)'!O29</f>
        <v>1021.6205562500002</v>
      </c>
      <c r="I310" s="697">
        <f ca="1">'Property(Y)'!P29</f>
        <v>1072.70159550375</v>
      </c>
      <c r="L310" s="793">
        <f t="shared" ca="1" si="10"/>
        <v>4.9999967445106153E-2</v>
      </c>
      <c r="M310" s="793">
        <f t="shared" ca="1" si="10"/>
        <v>5.0000011199118566E-2</v>
      </c>
    </row>
    <row r="311" spans="3:13" ht="12.75" thickBot="1">
      <c r="C311" s="690" t="str">
        <f>C270</f>
        <v>Letting Expense</v>
      </c>
      <c r="D311" s="575">
        <f ca="1">'Property(Y)'!K30</f>
        <v>0</v>
      </c>
      <c r="E311" s="575">
        <f ca="1">'Property(Y)'!L30</f>
        <v>0</v>
      </c>
      <c r="F311" s="575">
        <f ca="1">'Property(Y)'!M30</f>
        <v>0</v>
      </c>
      <c r="G311" s="575">
        <f ca="1">'Property(Y)'!N30</f>
        <v>4559.9349412500005</v>
      </c>
      <c r="H311" s="575">
        <f ca="1">'Property(Y)'!O30</f>
        <v>4763.9515742499998</v>
      </c>
      <c r="I311" s="576">
        <f ca="1">'Property(Y)'!P30</f>
        <v>19055.806296999999</v>
      </c>
      <c r="L311" s="793">
        <f t="shared" ca="1" si="10"/>
        <v>4.4741128026724253E-2</v>
      </c>
      <c r="M311" s="793">
        <f t="shared" ca="1" si="10"/>
        <v>3</v>
      </c>
    </row>
    <row r="312" spans="3:13" ht="12.75" thickBot="1">
      <c r="C312" s="564" t="s">
        <v>555</v>
      </c>
      <c r="D312" s="573">
        <f t="shared" ref="D312:I312" ca="1" si="12">D296-D304</f>
        <v>4392199.3087499999</v>
      </c>
      <c r="E312" s="573">
        <f t="shared" ca="1" si="12"/>
        <v>4590214.2499999991</v>
      </c>
      <c r="F312" s="573">
        <f t="shared" ca="1" si="12"/>
        <v>4724596.7101387503</v>
      </c>
      <c r="G312" s="573">
        <f t="shared" ca="1" si="12"/>
        <v>4865284.7115698745</v>
      </c>
      <c r="H312" s="573">
        <f t="shared" ca="1" si="12"/>
        <v>5023309.0230942965</v>
      </c>
      <c r="I312" s="574">
        <f t="shared" ca="1" si="12"/>
        <v>5100043.8331422955</v>
      </c>
      <c r="J312" s="701">
        <f ca="1">AVERAGE(G312:I312)</f>
        <v>4996212.5226021558</v>
      </c>
    </row>
    <row r="313" spans="3:13" s="2" customFormat="1">
      <c r="C313" s="1018" t="s">
        <v>951</v>
      </c>
      <c r="D313" s="611">
        <f ca="1">'Property(Y)'!K33</f>
        <v>298816.07874999999</v>
      </c>
      <c r="E313" s="611">
        <f ca="1">'Property(Y)'!L33</f>
        <v>330126.23</v>
      </c>
      <c r="F313" s="611">
        <f ca="1">'Property(Y)'!M33</f>
        <v>294509.58999999997</v>
      </c>
      <c r="G313" s="611">
        <f ca="1">'Property(Y)'!N33</f>
        <v>311902</v>
      </c>
      <c r="H313" s="611">
        <f ca="1">'Property(Y)'!O33</f>
        <v>327497.09999999992</v>
      </c>
      <c r="I313" s="1019">
        <f ca="1">'Property(Y)'!P33</f>
        <v>343871.95500000007</v>
      </c>
      <c r="J313" s="701"/>
    </row>
    <row r="314" spans="3:13" ht="12.75" thickBot="1">
      <c r="C314" s="690" t="s">
        <v>556</v>
      </c>
      <c r="D314" s="575">
        <f>'Property(Y)'!K41</f>
        <v>1193400</v>
      </c>
      <c r="E314" s="575">
        <f>'Property(Y)'!L41</f>
        <v>1193400</v>
      </c>
      <c r="F314" s="575">
        <f>'Property(Y)'!M41</f>
        <v>1193400</v>
      </c>
      <c r="G314" s="575">
        <f ca="1">'A&amp;R'!W16</f>
        <v>1500555.5555555555</v>
      </c>
      <c r="H314" s="575">
        <f ca="1">'A&amp;R'!X16</f>
        <v>1504666.6666666665</v>
      </c>
      <c r="I314" s="576">
        <f ca="1">'A&amp;R'!Y16</f>
        <v>1500555.5555555555</v>
      </c>
    </row>
    <row r="315" spans="3:13" ht="12.75" thickBot="1">
      <c r="C315" s="564" t="s">
        <v>557</v>
      </c>
      <c r="D315" s="573">
        <f t="shared" ref="D315:I315" ca="1" si="13">D312-D314-D313</f>
        <v>2899983.23</v>
      </c>
      <c r="E315" s="573">
        <f t="shared" ca="1" si="13"/>
        <v>3066688.0199999991</v>
      </c>
      <c r="F315" s="573">
        <f t="shared" ca="1" si="13"/>
        <v>3236687.1201387504</v>
      </c>
      <c r="G315" s="573">
        <f t="shared" ca="1" si="13"/>
        <v>3052827.156014319</v>
      </c>
      <c r="H315" s="573">
        <f t="shared" ca="1" si="13"/>
        <v>3191145.2564276299</v>
      </c>
      <c r="I315" s="574">
        <f t="shared" ca="1" si="13"/>
        <v>3255616.3225867399</v>
      </c>
    </row>
    <row r="316" spans="3:13" ht="12.75" thickBot="1">
      <c r="C316" s="554" t="s">
        <v>657</v>
      </c>
      <c r="D316" s="791">
        <f ca="1">'Property(Y)'!K38</f>
        <v>0</v>
      </c>
      <c r="E316" s="791">
        <f ca="1">'Property(Y)'!L38</f>
        <v>0</v>
      </c>
      <c r="F316" s="791">
        <f ca="1">'Property(Y)'!M38</f>
        <v>0</v>
      </c>
      <c r="G316" s="791">
        <f ca="1">'Property(Y)'!N38</f>
        <v>1409280.169765</v>
      </c>
      <c r="H316" s="791">
        <f ca="1">'Property(Y)'!O38</f>
        <v>49999.999999999993</v>
      </c>
      <c r="I316" s="792">
        <f ca="1">'Property(Y)'!P38</f>
        <v>167593.39327200002</v>
      </c>
    </row>
    <row r="317" spans="3:13" s="2" customFormat="1" ht="12.75" thickBot="1">
      <c r="C317" s="564" t="s">
        <v>658</v>
      </c>
      <c r="D317" s="573">
        <f t="shared" ref="D317:I317" ca="1" si="14">D315-D316</f>
        <v>2899983.23</v>
      </c>
      <c r="E317" s="573">
        <f t="shared" ca="1" si="14"/>
        <v>3066688.0199999991</v>
      </c>
      <c r="F317" s="573">
        <f t="shared" ca="1" si="14"/>
        <v>3236687.1201387504</v>
      </c>
      <c r="G317" s="573">
        <f t="shared" ca="1" si="14"/>
        <v>1643546.986249319</v>
      </c>
      <c r="H317" s="573">
        <f t="shared" ca="1" si="14"/>
        <v>3141145.2564276299</v>
      </c>
      <c r="I317" s="574">
        <f t="shared" ca="1" si="14"/>
        <v>3088022.92931474</v>
      </c>
    </row>
    <row r="319" spans="3:13">
      <c r="G319" s="348">
        <f ca="1">'A&amp;R'!W17</f>
        <v>3052827.15601432</v>
      </c>
      <c r="H319" s="348">
        <f ca="1">'A&amp;R'!X17</f>
        <v>3191145.2564276294</v>
      </c>
      <c r="I319" s="348">
        <f ca="1">'A&amp;R'!Y17</f>
        <v>3255616.3225867399</v>
      </c>
    </row>
    <row r="320" spans="3:13">
      <c r="G320" s="695">
        <f ca="1">G315-G319</f>
        <v>0</v>
      </c>
      <c r="H320" s="695">
        <f ca="1">H315-H319</f>
        <v>0</v>
      </c>
      <c r="I320" s="695">
        <f ca="1">I315-I319</f>
        <v>0</v>
      </c>
    </row>
    <row r="323" spans="3:10" ht="12.75" thickBot="1"/>
    <row r="324" spans="3:10" ht="12.75" thickBot="1">
      <c r="C324" s="632" t="s">
        <v>532</v>
      </c>
      <c r="D324" s="541" t="s">
        <v>564</v>
      </c>
      <c r="E324" s="541" t="s">
        <v>565</v>
      </c>
      <c r="F324" s="541" t="s">
        <v>533</v>
      </c>
      <c r="G324" s="541" t="s">
        <v>534</v>
      </c>
      <c r="H324" s="543" t="s">
        <v>535</v>
      </c>
      <c r="I324" s="698"/>
      <c r="J324" s="698"/>
    </row>
    <row r="325" spans="3:10" ht="12.75" thickBot="1">
      <c r="C325" s="699" t="s">
        <v>563</v>
      </c>
      <c r="D325" s="545"/>
      <c r="E325" s="545"/>
      <c r="F325" s="545">
        <f ca="1">'A&amp;R'!W12</f>
        <v>4865284.7115698755</v>
      </c>
      <c r="G325" s="545">
        <f ca="1">'A&amp;R'!X12</f>
        <v>5023309.0230942955</v>
      </c>
      <c r="H325" s="558">
        <f ca="1">'A&amp;R'!Y12</f>
        <v>5100043.8331422955</v>
      </c>
    </row>
    <row r="326" spans="3:10" ht="12.75" thickBot="1">
      <c r="C326" s="699" t="s">
        <v>556</v>
      </c>
      <c r="D326" s="545"/>
      <c r="E326" s="545"/>
      <c r="F326" s="545">
        <f ca="1">'A&amp;R'!W24</f>
        <v>1500555.5555555555</v>
      </c>
      <c r="G326" s="545">
        <f ca="1">'A&amp;R'!X24</f>
        <v>1504666.6666666665</v>
      </c>
      <c r="H326" s="558">
        <f ca="1">'A&amp;R'!Y24</f>
        <v>1500555.5555555555</v>
      </c>
    </row>
    <row r="327" spans="3:10" ht="12.75" thickBot="1">
      <c r="C327" s="699" t="str">
        <f>'A&amp;R'!R26</f>
        <v>DSCR</v>
      </c>
      <c r="D327" s="700">
        <f ca="1">'A&amp;R'!U26</f>
        <v>3.3265263264935712</v>
      </c>
      <c r="E327" s="700">
        <f ca="1">'A&amp;R'!V26</f>
        <v>3.2423222809425312</v>
      </c>
      <c r="F327" s="700">
        <f ca="1">'A&amp;R'!W26</f>
        <v>3.2423222809425312</v>
      </c>
      <c r="G327" s="700">
        <f ca="1">'A&amp;R'!X26</f>
        <v>3.3384862803019248</v>
      </c>
      <c r="H327" s="548">
        <f ca="1">'A&amp;R'!Y26</f>
        <v>3.3987704182362579</v>
      </c>
    </row>
    <row r="328" spans="3:10" ht="12.75" thickBot="1">
      <c r="C328" s="699" t="str">
        <f>'A&amp;R'!R25</f>
        <v>Debt Yield</v>
      </c>
      <c r="D328" s="546">
        <f ca="1">'A&amp;R'!U25</f>
        <v>0.13503277088113932</v>
      </c>
      <c r="E328" s="546">
        <f ca="1">'A&amp;R'!V25</f>
        <v>0.13149418139378041</v>
      </c>
      <c r="F328" s="546">
        <f ca="1">'A&amp;R'!W25</f>
        <v>0.13149418139378041</v>
      </c>
      <c r="G328" s="546">
        <f ca="1">'A&amp;R'!X25</f>
        <v>0.13576510873227826</v>
      </c>
      <c r="H328" s="667">
        <f ca="1">'A&amp;R'!Y25</f>
        <v>0.13783902251735933</v>
      </c>
    </row>
    <row r="331" spans="3:10">
      <c r="D331" s="348">
        <f t="shared" ref="D331:I331" ca="1" si="15">D334*$J$304</f>
        <v>914596.87082622305</v>
      </c>
      <c r="E331" s="348">
        <f t="shared" ca="1" si="15"/>
        <v>1006056.5579088455</v>
      </c>
      <c r="F331" s="348">
        <f t="shared" ca="1" si="15"/>
        <v>1097516.2449914678</v>
      </c>
      <c r="G331" s="348">
        <f t="shared" ca="1" si="15"/>
        <v>1188975.9320740902</v>
      </c>
      <c r="H331" s="348">
        <f t="shared" ca="1" si="15"/>
        <v>1280435.6191567127</v>
      </c>
      <c r="I331" s="348">
        <f t="shared" ca="1" si="15"/>
        <v>1371895.3062393349</v>
      </c>
    </row>
    <row r="332" spans="3:10" ht="12.75" thickBot="1"/>
    <row r="333" spans="3:10" ht="12.75" thickBot="1">
      <c r="C333" s="707"/>
      <c r="D333" s="989" t="s">
        <v>554</v>
      </c>
      <c r="E333" s="990"/>
      <c r="F333" s="990"/>
      <c r="G333" s="990"/>
      <c r="H333" s="990"/>
      <c r="I333" s="990"/>
    </row>
    <row r="334" spans="3:10" s="2" customFormat="1" ht="12.75" thickBot="1">
      <c r="C334" s="706"/>
      <c r="D334" s="704">
        <v>1</v>
      </c>
      <c r="E334" s="704">
        <f>D334+10%</f>
        <v>1.1000000000000001</v>
      </c>
      <c r="F334" s="704">
        <f t="shared" ref="F334:I334" si="16">E334+10%</f>
        <v>1.2000000000000002</v>
      </c>
      <c r="G334" s="704">
        <f t="shared" si="16"/>
        <v>1.3000000000000003</v>
      </c>
      <c r="H334" s="704">
        <f t="shared" si="16"/>
        <v>1.4000000000000004</v>
      </c>
      <c r="I334" s="705">
        <f t="shared" si="16"/>
        <v>1.5000000000000004</v>
      </c>
    </row>
    <row r="335" spans="3:10" s="2" customFormat="1" ht="12.75" thickBot="1">
      <c r="C335" s="549" t="s">
        <v>659</v>
      </c>
      <c r="D335" s="545">
        <f ca="1">$J$296</f>
        <v>5910809.3934283787</v>
      </c>
      <c r="E335" s="545">
        <f t="shared" ref="E335:I335" ca="1" si="17">D335</f>
        <v>5910809.3934283787</v>
      </c>
      <c r="F335" s="545">
        <f t="shared" ca="1" si="17"/>
        <v>5910809.3934283787</v>
      </c>
      <c r="G335" s="545">
        <f t="shared" ca="1" si="17"/>
        <v>5910809.3934283787</v>
      </c>
      <c r="H335" s="545">
        <f t="shared" ca="1" si="17"/>
        <v>5910809.3934283787</v>
      </c>
      <c r="I335" s="558">
        <f t="shared" ca="1" si="17"/>
        <v>5910809.3934283787</v>
      </c>
    </row>
    <row r="336" spans="3:10" s="2" customFormat="1" ht="12.75" thickBot="1">
      <c r="C336" s="549" t="s">
        <v>660</v>
      </c>
      <c r="D336" s="545">
        <f t="shared" ref="D336:I336" ca="1" si="18">D334*$J$304</f>
        <v>914596.87082622305</v>
      </c>
      <c r="E336" s="545">
        <f t="shared" ca="1" si="18"/>
        <v>1006056.5579088455</v>
      </c>
      <c r="F336" s="545">
        <f t="shared" ca="1" si="18"/>
        <v>1097516.2449914678</v>
      </c>
      <c r="G336" s="545">
        <f t="shared" ca="1" si="18"/>
        <v>1188975.9320740902</v>
      </c>
      <c r="H336" s="545">
        <f t="shared" ca="1" si="18"/>
        <v>1280435.6191567127</v>
      </c>
      <c r="I336" s="558">
        <f t="shared" ca="1" si="18"/>
        <v>1371895.3062393349</v>
      </c>
    </row>
    <row r="337" spans="3:9" ht="12.75" thickBot="1">
      <c r="C337" s="554" t="s">
        <v>555</v>
      </c>
      <c r="D337" s="568">
        <f ca="1">D335-D336</f>
        <v>4996212.5226021558</v>
      </c>
      <c r="E337" s="568">
        <f t="shared" ref="E337:I337" ca="1" si="19">E335-E336</f>
        <v>4904752.8355195336</v>
      </c>
      <c r="F337" s="568">
        <f t="shared" ca="1" si="19"/>
        <v>4813293.1484369114</v>
      </c>
      <c r="G337" s="568">
        <f t="shared" ca="1" si="19"/>
        <v>4721833.4613542883</v>
      </c>
      <c r="H337" s="568">
        <f t="shared" ca="1" si="19"/>
        <v>4630373.7742716661</v>
      </c>
      <c r="I337" s="568">
        <f t="shared" ca="1" si="19"/>
        <v>4538914.0871890439</v>
      </c>
    </row>
    <row r="338" spans="3:9" s="2" customFormat="1" ht="12.75" thickBot="1">
      <c r="C338" s="699" t="s">
        <v>556</v>
      </c>
      <c r="D338" s="545">
        <f ca="1">AVERAGE(F326:H326)</f>
        <v>1501925.9259259261</v>
      </c>
      <c r="E338" s="545">
        <f ca="1">D338</f>
        <v>1501925.9259259261</v>
      </c>
      <c r="F338" s="545">
        <f ca="1">E338</f>
        <v>1501925.9259259261</v>
      </c>
      <c r="G338" s="545">
        <f ca="1">F338</f>
        <v>1501925.9259259261</v>
      </c>
      <c r="H338" s="545">
        <f ca="1">G338</f>
        <v>1501925.9259259261</v>
      </c>
      <c r="I338" s="558">
        <f ca="1">H338</f>
        <v>1501925.9259259261</v>
      </c>
    </row>
    <row r="339" spans="3:9" ht="12.75" thickBot="1">
      <c r="C339" s="549" t="s">
        <v>566</v>
      </c>
      <c r="D339" s="700">
        <f t="shared" ref="D339:I339" ca="1" si="20">D337/D338</f>
        <v>3.3265372388601842</v>
      </c>
      <c r="E339" s="700">
        <f t="shared" ca="1" si="20"/>
        <v>3.2656423002324768</v>
      </c>
      <c r="F339" s="700">
        <f t="shared" ca="1" si="20"/>
        <v>3.204747361604769</v>
      </c>
      <c r="G339" s="700">
        <f t="shared" ca="1" si="20"/>
        <v>3.1438524229770608</v>
      </c>
      <c r="H339" s="700">
        <f t="shared" ca="1" si="20"/>
        <v>3.082957484349353</v>
      </c>
      <c r="I339" s="548">
        <f t="shared" ca="1" si="20"/>
        <v>3.0220625457216457</v>
      </c>
    </row>
    <row r="340" spans="3:9" ht="12.75" thickBot="1">
      <c r="C340" s="549" t="s">
        <v>567</v>
      </c>
      <c r="D340" s="546">
        <f ca="1">D337/$C$341</f>
        <v>0.13503277088113935</v>
      </c>
      <c r="E340" s="546">
        <f t="shared" ref="E340:I340" ca="1" si="21">E337/$C$341</f>
        <v>0.13256088744647387</v>
      </c>
      <c r="F340" s="546">
        <f t="shared" ca="1" si="21"/>
        <v>0.13008900401180842</v>
      </c>
      <c r="G340" s="546">
        <f t="shared" ca="1" si="21"/>
        <v>0.12761712057714292</v>
      </c>
      <c r="H340" s="546">
        <f t="shared" ca="1" si="21"/>
        <v>0.12514523714247747</v>
      </c>
      <c r="I340" s="667">
        <f t="shared" ca="1" si="21"/>
        <v>0.122673353707812</v>
      </c>
    </row>
    <row r="341" spans="3:9">
      <c r="C341" s="348">
        <f>'A&amp;R'!G50</f>
        <v>37000000</v>
      </c>
    </row>
    <row r="343" spans="3:9">
      <c r="D343" s="702">
        <f ca="1">D327-D339</f>
        <v>-1.0912366612991775E-5</v>
      </c>
    </row>
    <row r="346" spans="3:9">
      <c r="D346" s="703">
        <f ca="1">D328-D340</f>
        <v>0</v>
      </c>
    </row>
  </sheetData>
  <mergeCells count="6">
    <mergeCell ref="D333:I333"/>
    <mergeCell ref="C105:C106"/>
    <mergeCell ref="C119:C120"/>
    <mergeCell ref="B119:B120"/>
    <mergeCell ref="C137:D137"/>
    <mergeCell ref="E137:F137"/>
  </mergeCells>
  <phoneticPr fontId="3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M97"/>
  <sheetViews>
    <sheetView view="pageBreakPreview" zoomScaleNormal="100" zoomScaleSheetLayoutView="100" workbookViewId="0"/>
  </sheetViews>
  <sheetFormatPr defaultColWidth="9" defaultRowHeight="11.25"/>
  <cols>
    <col min="1" max="1" width="11.42578125" style="896" customWidth="1"/>
    <col min="2" max="2" width="32.7109375" style="896" bestFit="1" customWidth="1"/>
    <col min="3" max="3" width="18.85546875" style="896" customWidth="1"/>
    <col min="4" max="4" width="16" style="896" customWidth="1"/>
    <col min="5" max="5" width="14.28515625" style="896" customWidth="1"/>
    <col min="6" max="6" width="15.42578125" style="896" customWidth="1"/>
    <col min="7" max="7" width="15.85546875" style="896" customWidth="1"/>
    <col min="8" max="8" width="15.28515625" style="896" customWidth="1"/>
    <col min="9" max="11" width="13.42578125" style="896" bestFit="1" customWidth="1"/>
    <col min="12" max="12" width="13.28515625" style="896" customWidth="1"/>
    <col min="13" max="13" width="14" style="896" bestFit="1" customWidth="1"/>
    <col min="14" max="249" width="9" style="896"/>
    <col min="250" max="250" width="11.42578125" style="896" customWidth="1"/>
    <col min="251" max="251" width="30.42578125" style="896" bestFit="1" customWidth="1"/>
    <col min="252" max="252" width="12" style="896" bestFit="1" customWidth="1"/>
    <col min="253" max="253" width="15.42578125" style="896" customWidth="1"/>
    <col min="254" max="256" width="12.7109375" style="896" customWidth="1"/>
    <col min="257" max="505" width="9" style="896"/>
    <col min="506" max="506" width="11.42578125" style="896" customWidth="1"/>
    <col min="507" max="507" width="30.42578125" style="896" bestFit="1" customWidth="1"/>
    <col min="508" max="508" width="12" style="896" bestFit="1" customWidth="1"/>
    <col min="509" max="509" width="15.42578125" style="896" customWidth="1"/>
    <col min="510" max="512" width="12.7109375" style="896" customWidth="1"/>
    <col min="513" max="761" width="9" style="896"/>
    <col min="762" max="762" width="11.42578125" style="896" customWidth="1"/>
    <col min="763" max="763" width="30.42578125" style="896" bestFit="1" customWidth="1"/>
    <col min="764" max="764" width="12" style="896" bestFit="1" customWidth="1"/>
    <col min="765" max="765" width="15.42578125" style="896" customWidth="1"/>
    <col min="766" max="768" width="12.7109375" style="896" customWidth="1"/>
    <col min="769" max="1017" width="9" style="896"/>
    <col min="1018" max="1018" width="11.42578125" style="896" customWidth="1"/>
    <col min="1019" max="1019" width="30.42578125" style="896" bestFit="1" customWidth="1"/>
    <col min="1020" max="1020" width="12" style="896" bestFit="1" customWidth="1"/>
    <col min="1021" max="1021" width="15.42578125" style="896" customWidth="1"/>
    <col min="1022" max="1024" width="12.7109375" style="896" customWidth="1"/>
    <col min="1025" max="1273" width="9" style="896"/>
    <col min="1274" max="1274" width="11.42578125" style="896" customWidth="1"/>
    <col min="1275" max="1275" width="30.42578125" style="896" bestFit="1" customWidth="1"/>
    <col min="1276" max="1276" width="12" style="896" bestFit="1" customWidth="1"/>
    <col min="1277" max="1277" width="15.42578125" style="896" customWidth="1"/>
    <col min="1278" max="1280" width="12.7109375" style="896" customWidth="1"/>
    <col min="1281" max="1529" width="9" style="896"/>
    <col min="1530" max="1530" width="11.42578125" style="896" customWidth="1"/>
    <col min="1531" max="1531" width="30.42578125" style="896" bestFit="1" customWidth="1"/>
    <col min="1532" max="1532" width="12" style="896" bestFit="1" customWidth="1"/>
    <col min="1533" max="1533" width="15.42578125" style="896" customWidth="1"/>
    <col min="1534" max="1536" width="12.7109375" style="896" customWidth="1"/>
    <col min="1537" max="1785" width="9" style="896"/>
    <col min="1786" max="1786" width="11.42578125" style="896" customWidth="1"/>
    <col min="1787" max="1787" width="30.42578125" style="896" bestFit="1" customWidth="1"/>
    <col min="1788" max="1788" width="12" style="896" bestFit="1" customWidth="1"/>
    <col min="1789" max="1789" width="15.42578125" style="896" customWidth="1"/>
    <col min="1790" max="1792" width="12.7109375" style="896" customWidth="1"/>
    <col min="1793" max="2041" width="9" style="896"/>
    <col min="2042" max="2042" width="11.42578125" style="896" customWidth="1"/>
    <col min="2043" max="2043" width="30.42578125" style="896" bestFit="1" customWidth="1"/>
    <col min="2044" max="2044" width="12" style="896" bestFit="1" customWidth="1"/>
    <col min="2045" max="2045" width="15.42578125" style="896" customWidth="1"/>
    <col min="2046" max="2048" width="12.7109375" style="896" customWidth="1"/>
    <col min="2049" max="2297" width="9" style="896"/>
    <col min="2298" max="2298" width="11.42578125" style="896" customWidth="1"/>
    <col min="2299" max="2299" width="30.42578125" style="896" bestFit="1" customWidth="1"/>
    <col min="2300" max="2300" width="12" style="896" bestFit="1" customWidth="1"/>
    <col min="2301" max="2301" width="15.42578125" style="896" customWidth="1"/>
    <col min="2302" max="2304" width="12.7109375" style="896" customWidth="1"/>
    <col min="2305" max="2553" width="9" style="896"/>
    <col min="2554" max="2554" width="11.42578125" style="896" customWidth="1"/>
    <col min="2555" max="2555" width="30.42578125" style="896" bestFit="1" customWidth="1"/>
    <col min="2556" max="2556" width="12" style="896" bestFit="1" customWidth="1"/>
    <col min="2557" max="2557" width="15.42578125" style="896" customWidth="1"/>
    <col min="2558" max="2560" width="12.7109375" style="896" customWidth="1"/>
    <col min="2561" max="2809" width="9" style="896"/>
    <col min="2810" max="2810" width="11.42578125" style="896" customWidth="1"/>
    <col min="2811" max="2811" width="30.42578125" style="896" bestFit="1" customWidth="1"/>
    <col min="2812" max="2812" width="12" style="896" bestFit="1" customWidth="1"/>
    <col min="2813" max="2813" width="15.42578125" style="896" customWidth="1"/>
    <col min="2814" max="2816" width="12.7109375" style="896" customWidth="1"/>
    <col min="2817" max="3065" width="9" style="896"/>
    <col min="3066" max="3066" width="11.42578125" style="896" customWidth="1"/>
    <col min="3067" max="3067" width="30.42578125" style="896" bestFit="1" customWidth="1"/>
    <col min="3068" max="3068" width="12" style="896" bestFit="1" customWidth="1"/>
    <col min="3069" max="3069" width="15.42578125" style="896" customWidth="1"/>
    <col min="3070" max="3072" width="12.7109375" style="896" customWidth="1"/>
    <col min="3073" max="3321" width="9" style="896"/>
    <col min="3322" max="3322" width="11.42578125" style="896" customWidth="1"/>
    <col min="3323" max="3323" width="30.42578125" style="896" bestFit="1" customWidth="1"/>
    <col min="3324" max="3324" width="12" style="896" bestFit="1" customWidth="1"/>
    <col min="3325" max="3325" width="15.42578125" style="896" customWidth="1"/>
    <col min="3326" max="3328" width="12.7109375" style="896" customWidth="1"/>
    <col min="3329" max="3577" width="9" style="896"/>
    <col min="3578" max="3578" width="11.42578125" style="896" customWidth="1"/>
    <col min="3579" max="3579" width="30.42578125" style="896" bestFit="1" customWidth="1"/>
    <col min="3580" max="3580" width="12" style="896" bestFit="1" customWidth="1"/>
    <col min="3581" max="3581" width="15.42578125" style="896" customWidth="1"/>
    <col min="3582" max="3584" width="12.7109375" style="896" customWidth="1"/>
    <col min="3585" max="3833" width="9" style="896"/>
    <col min="3834" max="3834" width="11.42578125" style="896" customWidth="1"/>
    <col min="3835" max="3835" width="30.42578125" style="896" bestFit="1" customWidth="1"/>
    <col min="3836" max="3836" width="12" style="896" bestFit="1" customWidth="1"/>
    <col min="3837" max="3837" width="15.42578125" style="896" customWidth="1"/>
    <col min="3838" max="3840" width="12.7109375" style="896" customWidth="1"/>
    <col min="3841" max="4089" width="9" style="896"/>
    <col min="4090" max="4090" width="11.42578125" style="896" customWidth="1"/>
    <col min="4091" max="4091" width="30.42578125" style="896" bestFit="1" customWidth="1"/>
    <col min="4092" max="4092" width="12" style="896" bestFit="1" customWidth="1"/>
    <col min="4093" max="4093" width="15.42578125" style="896" customWidth="1"/>
    <col min="4094" max="4096" width="12.7109375" style="896" customWidth="1"/>
    <col min="4097" max="4345" width="9" style="896"/>
    <col min="4346" max="4346" width="11.42578125" style="896" customWidth="1"/>
    <col min="4347" max="4347" width="30.42578125" style="896" bestFit="1" customWidth="1"/>
    <col min="4348" max="4348" width="12" style="896" bestFit="1" customWidth="1"/>
    <col min="4349" max="4349" width="15.42578125" style="896" customWidth="1"/>
    <col min="4350" max="4352" width="12.7109375" style="896" customWidth="1"/>
    <col min="4353" max="4601" width="9" style="896"/>
    <col min="4602" max="4602" width="11.42578125" style="896" customWidth="1"/>
    <col min="4603" max="4603" width="30.42578125" style="896" bestFit="1" customWidth="1"/>
    <col min="4604" max="4604" width="12" style="896" bestFit="1" customWidth="1"/>
    <col min="4605" max="4605" width="15.42578125" style="896" customWidth="1"/>
    <col min="4606" max="4608" width="12.7109375" style="896" customWidth="1"/>
    <col min="4609" max="4857" width="9" style="896"/>
    <col min="4858" max="4858" width="11.42578125" style="896" customWidth="1"/>
    <col min="4859" max="4859" width="30.42578125" style="896" bestFit="1" customWidth="1"/>
    <col min="4860" max="4860" width="12" style="896" bestFit="1" customWidth="1"/>
    <col min="4861" max="4861" width="15.42578125" style="896" customWidth="1"/>
    <col min="4862" max="4864" width="12.7109375" style="896" customWidth="1"/>
    <col min="4865" max="5113" width="9" style="896"/>
    <col min="5114" max="5114" width="11.42578125" style="896" customWidth="1"/>
    <col min="5115" max="5115" width="30.42578125" style="896" bestFit="1" customWidth="1"/>
    <col min="5116" max="5116" width="12" style="896" bestFit="1" customWidth="1"/>
    <col min="5117" max="5117" width="15.42578125" style="896" customWidth="1"/>
    <col min="5118" max="5120" width="12.7109375" style="896" customWidth="1"/>
    <col min="5121" max="5369" width="9" style="896"/>
    <col min="5370" max="5370" width="11.42578125" style="896" customWidth="1"/>
    <col min="5371" max="5371" width="30.42578125" style="896" bestFit="1" customWidth="1"/>
    <col min="5372" max="5372" width="12" style="896" bestFit="1" customWidth="1"/>
    <col min="5373" max="5373" width="15.42578125" style="896" customWidth="1"/>
    <col min="5374" max="5376" width="12.7109375" style="896" customWidth="1"/>
    <col min="5377" max="5625" width="9" style="896"/>
    <col min="5626" max="5626" width="11.42578125" style="896" customWidth="1"/>
    <col min="5627" max="5627" width="30.42578125" style="896" bestFit="1" customWidth="1"/>
    <col min="5628" max="5628" width="12" style="896" bestFit="1" customWidth="1"/>
    <col min="5629" max="5629" width="15.42578125" style="896" customWidth="1"/>
    <col min="5630" max="5632" width="12.7109375" style="896" customWidth="1"/>
    <col min="5633" max="5881" width="9" style="896"/>
    <col min="5882" max="5882" width="11.42578125" style="896" customWidth="1"/>
    <col min="5883" max="5883" width="30.42578125" style="896" bestFit="1" customWidth="1"/>
    <col min="5884" max="5884" width="12" style="896" bestFit="1" customWidth="1"/>
    <col min="5885" max="5885" width="15.42578125" style="896" customWidth="1"/>
    <col min="5886" max="5888" width="12.7109375" style="896" customWidth="1"/>
    <col min="5889" max="6137" width="9" style="896"/>
    <col min="6138" max="6138" width="11.42578125" style="896" customWidth="1"/>
    <col min="6139" max="6139" width="30.42578125" style="896" bestFit="1" customWidth="1"/>
    <col min="6140" max="6140" width="12" style="896" bestFit="1" customWidth="1"/>
    <col min="6141" max="6141" width="15.42578125" style="896" customWidth="1"/>
    <col min="6142" max="6144" width="12.7109375" style="896" customWidth="1"/>
    <col min="6145" max="6393" width="9" style="896"/>
    <col min="6394" max="6394" width="11.42578125" style="896" customWidth="1"/>
    <col min="6395" max="6395" width="30.42578125" style="896" bestFit="1" customWidth="1"/>
    <col min="6396" max="6396" width="12" style="896" bestFit="1" customWidth="1"/>
    <col min="6397" max="6397" width="15.42578125" style="896" customWidth="1"/>
    <col min="6398" max="6400" width="12.7109375" style="896" customWidth="1"/>
    <col min="6401" max="6649" width="9" style="896"/>
    <col min="6650" max="6650" width="11.42578125" style="896" customWidth="1"/>
    <col min="6651" max="6651" width="30.42578125" style="896" bestFit="1" customWidth="1"/>
    <col min="6652" max="6652" width="12" style="896" bestFit="1" customWidth="1"/>
    <col min="6653" max="6653" width="15.42578125" style="896" customWidth="1"/>
    <col min="6654" max="6656" width="12.7109375" style="896" customWidth="1"/>
    <col min="6657" max="6905" width="9" style="896"/>
    <col min="6906" max="6906" width="11.42578125" style="896" customWidth="1"/>
    <col min="6907" max="6907" width="30.42578125" style="896" bestFit="1" customWidth="1"/>
    <col min="6908" max="6908" width="12" style="896" bestFit="1" customWidth="1"/>
    <col min="6909" max="6909" width="15.42578125" style="896" customWidth="1"/>
    <col min="6910" max="6912" width="12.7109375" style="896" customWidth="1"/>
    <col min="6913" max="7161" width="9" style="896"/>
    <col min="7162" max="7162" width="11.42578125" style="896" customWidth="1"/>
    <col min="7163" max="7163" width="30.42578125" style="896" bestFit="1" customWidth="1"/>
    <col min="7164" max="7164" width="12" style="896" bestFit="1" customWidth="1"/>
    <col min="7165" max="7165" width="15.42578125" style="896" customWidth="1"/>
    <col min="7166" max="7168" width="12.7109375" style="896" customWidth="1"/>
    <col min="7169" max="7417" width="9" style="896"/>
    <col min="7418" max="7418" width="11.42578125" style="896" customWidth="1"/>
    <col min="7419" max="7419" width="30.42578125" style="896" bestFit="1" customWidth="1"/>
    <col min="7420" max="7420" width="12" style="896" bestFit="1" customWidth="1"/>
    <col min="7421" max="7421" width="15.42578125" style="896" customWidth="1"/>
    <col min="7422" max="7424" width="12.7109375" style="896" customWidth="1"/>
    <col min="7425" max="7673" width="9" style="896"/>
    <col min="7674" max="7674" width="11.42578125" style="896" customWidth="1"/>
    <col min="7675" max="7675" width="30.42578125" style="896" bestFit="1" customWidth="1"/>
    <col min="7676" max="7676" width="12" style="896" bestFit="1" customWidth="1"/>
    <col min="7677" max="7677" width="15.42578125" style="896" customWidth="1"/>
    <col min="7678" max="7680" width="12.7109375" style="896" customWidth="1"/>
    <col min="7681" max="7929" width="9" style="896"/>
    <col min="7930" max="7930" width="11.42578125" style="896" customWidth="1"/>
    <col min="7931" max="7931" width="30.42578125" style="896" bestFit="1" customWidth="1"/>
    <col min="7932" max="7932" width="12" style="896" bestFit="1" customWidth="1"/>
    <col min="7933" max="7933" width="15.42578125" style="896" customWidth="1"/>
    <col min="7934" max="7936" width="12.7109375" style="896" customWidth="1"/>
    <col min="7937" max="8185" width="9" style="896"/>
    <col min="8186" max="8186" width="11.42578125" style="896" customWidth="1"/>
    <col min="8187" max="8187" width="30.42578125" style="896" bestFit="1" customWidth="1"/>
    <col min="8188" max="8188" width="12" style="896" bestFit="1" customWidth="1"/>
    <col min="8189" max="8189" width="15.42578125" style="896" customWidth="1"/>
    <col min="8190" max="8192" width="12.7109375" style="896" customWidth="1"/>
    <col min="8193" max="8441" width="9" style="896"/>
    <col min="8442" max="8442" width="11.42578125" style="896" customWidth="1"/>
    <col min="8443" max="8443" width="30.42578125" style="896" bestFit="1" customWidth="1"/>
    <col min="8444" max="8444" width="12" style="896" bestFit="1" customWidth="1"/>
    <col min="8445" max="8445" width="15.42578125" style="896" customWidth="1"/>
    <col min="8446" max="8448" width="12.7109375" style="896" customWidth="1"/>
    <col min="8449" max="8697" width="9" style="896"/>
    <col min="8698" max="8698" width="11.42578125" style="896" customWidth="1"/>
    <col min="8699" max="8699" width="30.42578125" style="896" bestFit="1" customWidth="1"/>
    <col min="8700" max="8700" width="12" style="896" bestFit="1" customWidth="1"/>
    <col min="8701" max="8701" width="15.42578125" style="896" customWidth="1"/>
    <col min="8702" max="8704" width="12.7109375" style="896" customWidth="1"/>
    <col min="8705" max="8953" width="9" style="896"/>
    <col min="8954" max="8954" width="11.42578125" style="896" customWidth="1"/>
    <col min="8955" max="8955" width="30.42578125" style="896" bestFit="1" customWidth="1"/>
    <col min="8956" max="8956" width="12" style="896" bestFit="1" customWidth="1"/>
    <col min="8957" max="8957" width="15.42578125" style="896" customWidth="1"/>
    <col min="8958" max="8960" width="12.7109375" style="896" customWidth="1"/>
    <col min="8961" max="9209" width="9" style="896"/>
    <col min="9210" max="9210" width="11.42578125" style="896" customWidth="1"/>
    <col min="9211" max="9211" width="30.42578125" style="896" bestFit="1" customWidth="1"/>
    <col min="9212" max="9212" width="12" style="896" bestFit="1" customWidth="1"/>
    <col min="9213" max="9213" width="15.42578125" style="896" customWidth="1"/>
    <col min="9214" max="9216" width="12.7109375" style="896" customWidth="1"/>
    <col min="9217" max="9465" width="9" style="896"/>
    <col min="9466" max="9466" width="11.42578125" style="896" customWidth="1"/>
    <col min="9467" max="9467" width="30.42578125" style="896" bestFit="1" customWidth="1"/>
    <col min="9468" max="9468" width="12" style="896" bestFit="1" customWidth="1"/>
    <col min="9469" max="9469" width="15.42578125" style="896" customWidth="1"/>
    <col min="9470" max="9472" width="12.7109375" style="896" customWidth="1"/>
    <col min="9473" max="9721" width="9" style="896"/>
    <col min="9722" max="9722" width="11.42578125" style="896" customWidth="1"/>
    <col min="9723" max="9723" width="30.42578125" style="896" bestFit="1" customWidth="1"/>
    <col min="9724" max="9724" width="12" style="896" bestFit="1" customWidth="1"/>
    <col min="9725" max="9725" width="15.42578125" style="896" customWidth="1"/>
    <col min="9726" max="9728" width="12.7109375" style="896" customWidth="1"/>
    <col min="9729" max="9977" width="9" style="896"/>
    <col min="9978" max="9978" width="11.42578125" style="896" customWidth="1"/>
    <col min="9979" max="9979" width="30.42578125" style="896" bestFit="1" customWidth="1"/>
    <col min="9980" max="9980" width="12" style="896" bestFit="1" customWidth="1"/>
    <col min="9981" max="9981" width="15.42578125" style="896" customWidth="1"/>
    <col min="9982" max="9984" width="12.7109375" style="896" customWidth="1"/>
    <col min="9985" max="10233" width="9" style="896"/>
    <col min="10234" max="10234" width="11.42578125" style="896" customWidth="1"/>
    <col min="10235" max="10235" width="30.42578125" style="896" bestFit="1" customWidth="1"/>
    <col min="10236" max="10236" width="12" style="896" bestFit="1" customWidth="1"/>
    <col min="10237" max="10237" width="15.42578125" style="896" customWidth="1"/>
    <col min="10238" max="10240" width="12.7109375" style="896" customWidth="1"/>
    <col min="10241" max="10489" width="9" style="896"/>
    <col min="10490" max="10490" width="11.42578125" style="896" customWidth="1"/>
    <col min="10491" max="10491" width="30.42578125" style="896" bestFit="1" customWidth="1"/>
    <col min="10492" max="10492" width="12" style="896" bestFit="1" customWidth="1"/>
    <col min="10493" max="10493" width="15.42578125" style="896" customWidth="1"/>
    <col min="10494" max="10496" width="12.7109375" style="896" customWidth="1"/>
    <col min="10497" max="10745" width="9" style="896"/>
    <col min="10746" max="10746" width="11.42578125" style="896" customWidth="1"/>
    <col min="10747" max="10747" width="30.42578125" style="896" bestFit="1" customWidth="1"/>
    <col min="10748" max="10748" width="12" style="896" bestFit="1" customWidth="1"/>
    <col min="10749" max="10749" width="15.42578125" style="896" customWidth="1"/>
    <col min="10750" max="10752" width="12.7109375" style="896" customWidth="1"/>
    <col min="10753" max="11001" width="9" style="896"/>
    <col min="11002" max="11002" width="11.42578125" style="896" customWidth="1"/>
    <col min="11003" max="11003" width="30.42578125" style="896" bestFit="1" customWidth="1"/>
    <col min="11004" max="11004" width="12" style="896" bestFit="1" customWidth="1"/>
    <col min="11005" max="11005" width="15.42578125" style="896" customWidth="1"/>
    <col min="11006" max="11008" width="12.7109375" style="896" customWidth="1"/>
    <col min="11009" max="11257" width="9" style="896"/>
    <col min="11258" max="11258" width="11.42578125" style="896" customWidth="1"/>
    <col min="11259" max="11259" width="30.42578125" style="896" bestFit="1" customWidth="1"/>
    <col min="11260" max="11260" width="12" style="896" bestFit="1" customWidth="1"/>
    <col min="11261" max="11261" width="15.42578125" style="896" customWidth="1"/>
    <col min="11262" max="11264" width="12.7109375" style="896" customWidth="1"/>
    <col min="11265" max="11513" width="9" style="896"/>
    <col min="11514" max="11514" width="11.42578125" style="896" customWidth="1"/>
    <col min="11515" max="11515" width="30.42578125" style="896" bestFit="1" customWidth="1"/>
    <col min="11516" max="11516" width="12" style="896" bestFit="1" customWidth="1"/>
    <col min="11517" max="11517" width="15.42578125" style="896" customWidth="1"/>
    <col min="11518" max="11520" width="12.7109375" style="896" customWidth="1"/>
    <col min="11521" max="11769" width="9" style="896"/>
    <col min="11770" max="11770" width="11.42578125" style="896" customWidth="1"/>
    <col min="11771" max="11771" width="30.42578125" style="896" bestFit="1" customWidth="1"/>
    <col min="11772" max="11772" width="12" style="896" bestFit="1" customWidth="1"/>
    <col min="11773" max="11773" width="15.42578125" style="896" customWidth="1"/>
    <col min="11774" max="11776" width="12.7109375" style="896" customWidth="1"/>
    <col min="11777" max="12025" width="9" style="896"/>
    <col min="12026" max="12026" width="11.42578125" style="896" customWidth="1"/>
    <col min="12027" max="12027" width="30.42578125" style="896" bestFit="1" customWidth="1"/>
    <col min="12028" max="12028" width="12" style="896" bestFit="1" customWidth="1"/>
    <col min="12029" max="12029" width="15.42578125" style="896" customWidth="1"/>
    <col min="12030" max="12032" width="12.7109375" style="896" customWidth="1"/>
    <col min="12033" max="12281" width="9" style="896"/>
    <col min="12282" max="12282" width="11.42578125" style="896" customWidth="1"/>
    <col min="12283" max="12283" width="30.42578125" style="896" bestFit="1" customWidth="1"/>
    <col min="12284" max="12284" width="12" style="896" bestFit="1" customWidth="1"/>
    <col min="12285" max="12285" width="15.42578125" style="896" customWidth="1"/>
    <col min="12286" max="12288" width="12.7109375" style="896" customWidth="1"/>
    <col min="12289" max="12537" width="9" style="896"/>
    <col min="12538" max="12538" width="11.42578125" style="896" customWidth="1"/>
    <col min="12539" max="12539" width="30.42578125" style="896" bestFit="1" customWidth="1"/>
    <col min="12540" max="12540" width="12" style="896" bestFit="1" customWidth="1"/>
    <col min="12541" max="12541" width="15.42578125" style="896" customWidth="1"/>
    <col min="12542" max="12544" width="12.7109375" style="896" customWidth="1"/>
    <col min="12545" max="12793" width="9" style="896"/>
    <col min="12794" max="12794" width="11.42578125" style="896" customWidth="1"/>
    <col min="12795" max="12795" width="30.42578125" style="896" bestFit="1" customWidth="1"/>
    <col min="12796" max="12796" width="12" style="896" bestFit="1" customWidth="1"/>
    <col min="12797" max="12797" width="15.42578125" style="896" customWidth="1"/>
    <col min="12798" max="12800" width="12.7109375" style="896" customWidth="1"/>
    <col min="12801" max="13049" width="9" style="896"/>
    <col min="13050" max="13050" width="11.42578125" style="896" customWidth="1"/>
    <col min="13051" max="13051" width="30.42578125" style="896" bestFit="1" customWidth="1"/>
    <col min="13052" max="13052" width="12" style="896" bestFit="1" customWidth="1"/>
    <col min="13053" max="13053" width="15.42578125" style="896" customWidth="1"/>
    <col min="13054" max="13056" width="12.7109375" style="896" customWidth="1"/>
    <col min="13057" max="13305" width="9" style="896"/>
    <col min="13306" max="13306" width="11.42578125" style="896" customWidth="1"/>
    <col min="13307" max="13307" width="30.42578125" style="896" bestFit="1" customWidth="1"/>
    <col min="13308" max="13308" width="12" style="896" bestFit="1" customWidth="1"/>
    <col min="13309" max="13309" width="15.42578125" style="896" customWidth="1"/>
    <col min="13310" max="13312" width="12.7109375" style="896" customWidth="1"/>
    <col min="13313" max="13561" width="9" style="896"/>
    <col min="13562" max="13562" width="11.42578125" style="896" customWidth="1"/>
    <col min="13563" max="13563" width="30.42578125" style="896" bestFit="1" customWidth="1"/>
    <col min="13564" max="13564" width="12" style="896" bestFit="1" customWidth="1"/>
    <col min="13565" max="13565" width="15.42578125" style="896" customWidth="1"/>
    <col min="13566" max="13568" width="12.7109375" style="896" customWidth="1"/>
    <col min="13569" max="13817" width="9" style="896"/>
    <col min="13818" max="13818" width="11.42578125" style="896" customWidth="1"/>
    <col min="13819" max="13819" width="30.42578125" style="896" bestFit="1" customWidth="1"/>
    <col min="13820" max="13820" width="12" style="896" bestFit="1" customWidth="1"/>
    <col min="13821" max="13821" width="15.42578125" style="896" customWidth="1"/>
    <col min="13822" max="13824" width="12.7109375" style="896" customWidth="1"/>
    <col min="13825" max="14073" width="9" style="896"/>
    <col min="14074" max="14074" width="11.42578125" style="896" customWidth="1"/>
    <col min="14075" max="14075" width="30.42578125" style="896" bestFit="1" customWidth="1"/>
    <col min="14076" max="14076" width="12" style="896" bestFit="1" customWidth="1"/>
    <col min="14077" max="14077" width="15.42578125" style="896" customWidth="1"/>
    <col min="14078" max="14080" width="12.7109375" style="896" customWidth="1"/>
    <col min="14081" max="14329" width="9" style="896"/>
    <col min="14330" max="14330" width="11.42578125" style="896" customWidth="1"/>
    <col min="14331" max="14331" width="30.42578125" style="896" bestFit="1" customWidth="1"/>
    <col min="14332" max="14332" width="12" style="896" bestFit="1" customWidth="1"/>
    <col min="14333" max="14333" width="15.42578125" style="896" customWidth="1"/>
    <col min="14334" max="14336" width="12.7109375" style="896" customWidth="1"/>
    <col min="14337" max="14585" width="9" style="896"/>
    <col min="14586" max="14586" width="11.42578125" style="896" customWidth="1"/>
    <col min="14587" max="14587" width="30.42578125" style="896" bestFit="1" customWidth="1"/>
    <col min="14588" max="14588" width="12" style="896" bestFit="1" customWidth="1"/>
    <col min="14589" max="14589" width="15.42578125" style="896" customWidth="1"/>
    <col min="14590" max="14592" width="12.7109375" style="896" customWidth="1"/>
    <col min="14593" max="14841" width="9" style="896"/>
    <col min="14842" max="14842" width="11.42578125" style="896" customWidth="1"/>
    <col min="14843" max="14843" width="30.42578125" style="896" bestFit="1" customWidth="1"/>
    <col min="14844" max="14844" width="12" style="896" bestFit="1" customWidth="1"/>
    <col min="14845" max="14845" width="15.42578125" style="896" customWidth="1"/>
    <col min="14846" max="14848" width="12.7109375" style="896" customWidth="1"/>
    <col min="14849" max="15097" width="9" style="896"/>
    <col min="15098" max="15098" width="11.42578125" style="896" customWidth="1"/>
    <col min="15099" max="15099" width="30.42578125" style="896" bestFit="1" customWidth="1"/>
    <col min="15100" max="15100" width="12" style="896" bestFit="1" customWidth="1"/>
    <col min="15101" max="15101" width="15.42578125" style="896" customWidth="1"/>
    <col min="15102" max="15104" width="12.7109375" style="896" customWidth="1"/>
    <col min="15105" max="15353" width="9" style="896"/>
    <col min="15354" max="15354" width="11.42578125" style="896" customWidth="1"/>
    <col min="15355" max="15355" width="30.42578125" style="896" bestFit="1" customWidth="1"/>
    <col min="15356" max="15356" width="12" style="896" bestFit="1" customWidth="1"/>
    <col min="15357" max="15357" width="15.42578125" style="896" customWidth="1"/>
    <col min="15358" max="15360" width="12.7109375" style="896" customWidth="1"/>
    <col min="15361" max="15609" width="9" style="896"/>
    <col min="15610" max="15610" width="11.42578125" style="896" customWidth="1"/>
    <col min="15611" max="15611" width="30.42578125" style="896" bestFit="1" customWidth="1"/>
    <col min="15612" max="15612" width="12" style="896" bestFit="1" customWidth="1"/>
    <col min="15613" max="15613" width="15.42578125" style="896" customWidth="1"/>
    <col min="15614" max="15616" width="12.7109375" style="896" customWidth="1"/>
    <col min="15617" max="15865" width="9" style="896"/>
    <col min="15866" max="15866" width="11.42578125" style="896" customWidth="1"/>
    <col min="15867" max="15867" width="30.42578125" style="896" bestFit="1" customWidth="1"/>
    <col min="15868" max="15868" width="12" style="896" bestFit="1" customWidth="1"/>
    <col min="15869" max="15869" width="15.42578125" style="896" customWidth="1"/>
    <col min="15870" max="15872" width="12.7109375" style="896" customWidth="1"/>
    <col min="15873" max="16121" width="9" style="896"/>
    <col min="16122" max="16122" width="11.42578125" style="896" customWidth="1"/>
    <col min="16123" max="16123" width="30.42578125" style="896" bestFit="1" customWidth="1"/>
    <col min="16124" max="16124" width="12" style="896" bestFit="1" customWidth="1"/>
    <col min="16125" max="16125" width="15.42578125" style="896" customWidth="1"/>
    <col min="16126" max="16128" width="12.7109375" style="896" customWidth="1"/>
    <col min="16129" max="16384" width="9" style="896"/>
  </cols>
  <sheetData>
    <row r="1" spans="1:13" s="875" customFormat="1" ht="13.5" thickTop="1">
      <c r="A1" s="871" t="s">
        <v>705</v>
      </c>
      <c r="B1" s="871"/>
      <c r="C1" s="872"/>
      <c r="D1" s="872"/>
      <c r="E1" s="873"/>
      <c r="F1" s="874"/>
      <c r="G1" s="874"/>
      <c r="H1" s="874"/>
      <c r="I1" s="874"/>
      <c r="J1" s="874"/>
      <c r="K1" s="874"/>
      <c r="L1" s="874"/>
      <c r="M1" s="874"/>
    </row>
    <row r="2" spans="1:13" s="875" customFormat="1" ht="12">
      <c r="A2" s="876" t="s">
        <v>706</v>
      </c>
      <c r="B2" s="876"/>
      <c r="C2" s="877"/>
      <c r="D2" s="877"/>
      <c r="E2" s="878"/>
      <c r="F2" s="879"/>
      <c r="G2" s="879"/>
      <c r="H2" s="879"/>
      <c r="I2" s="879"/>
      <c r="J2" s="879"/>
      <c r="K2" s="879"/>
      <c r="L2" s="879"/>
      <c r="M2" s="879"/>
    </row>
    <row r="3" spans="1:13" s="875" customFormat="1" ht="12">
      <c r="A3" s="876" t="s">
        <v>707</v>
      </c>
      <c r="B3" s="876"/>
      <c r="C3" s="877"/>
      <c r="D3" s="877"/>
      <c r="E3" s="878"/>
      <c r="F3" s="879"/>
      <c r="G3" s="879"/>
      <c r="H3" s="879"/>
      <c r="I3" s="879"/>
      <c r="J3" s="879"/>
      <c r="K3" s="879"/>
      <c r="L3" s="879"/>
      <c r="M3" s="879"/>
    </row>
    <row r="4" spans="1:13" s="875" customFormat="1" ht="12">
      <c r="A4" s="876" t="s">
        <v>708</v>
      </c>
      <c r="B4" s="876"/>
      <c r="C4" s="877"/>
      <c r="D4" s="877"/>
      <c r="E4" s="878"/>
      <c r="F4" s="879"/>
      <c r="G4" s="879"/>
      <c r="H4" s="879"/>
      <c r="I4" s="879"/>
      <c r="J4" s="879"/>
      <c r="K4" s="879"/>
      <c r="L4" s="879"/>
      <c r="M4" s="879"/>
    </row>
    <row r="5" spans="1:13" s="875" customFormat="1" ht="12">
      <c r="A5" s="876" t="s">
        <v>709</v>
      </c>
      <c r="B5" s="876"/>
      <c r="C5" s="877"/>
      <c r="D5" s="877"/>
      <c r="E5" s="878"/>
      <c r="F5" s="879"/>
      <c r="G5" s="879"/>
      <c r="H5" s="879"/>
      <c r="I5" s="879"/>
      <c r="J5" s="879"/>
      <c r="K5" s="879"/>
      <c r="L5" s="879"/>
      <c r="M5" s="879"/>
    </row>
    <row r="6" spans="1:13" s="875" customFormat="1" ht="20.25">
      <c r="A6" s="880" t="s">
        <v>710</v>
      </c>
      <c r="B6" s="880"/>
      <c r="C6" s="881"/>
      <c r="D6" s="881"/>
      <c r="E6" s="882"/>
      <c r="F6" s="883"/>
      <c r="G6" s="878"/>
      <c r="H6" s="878"/>
      <c r="I6" s="878"/>
      <c r="J6" s="878"/>
      <c r="K6" s="878"/>
      <c r="L6" s="878"/>
      <c r="M6" s="878"/>
    </row>
    <row r="7" spans="1:13" s="875" customFormat="1" ht="12.75">
      <c r="A7" s="884" t="s">
        <v>711</v>
      </c>
      <c r="B7" s="884"/>
      <c r="C7" s="885"/>
      <c r="D7" s="885" t="s">
        <v>712</v>
      </c>
      <c r="E7" s="882"/>
      <c r="F7" s="886"/>
      <c r="G7" s="878"/>
      <c r="H7" s="878"/>
      <c r="I7" s="878"/>
      <c r="J7" s="878"/>
      <c r="K7" s="878"/>
      <c r="L7" s="878"/>
      <c r="M7" s="878"/>
    </row>
    <row r="8" spans="1:13" s="875" customFormat="1">
      <c r="A8" s="878"/>
      <c r="B8" s="878"/>
      <c r="C8" s="887"/>
      <c r="D8" s="887"/>
      <c r="E8" s="878"/>
      <c r="F8" s="878"/>
      <c r="G8" s="878"/>
      <c r="H8" s="878"/>
      <c r="I8" s="878"/>
      <c r="J8" s="878"/>
      <c r="K8" s="878"/>
      <c r="L8" s="878"/>
      <c r="M8" s="878"/>
    </row>
    <row r="9" spans="1:13" s="875" customFormat="1" ht="13.5" thickBot="1">
      <c r="A9" s="888" t="s">
        <v>709</v>
      </c>
      <c r="B9" s="889" t="s">
        <v>709</v>
      </c>
      <c r="C9" s="890" t="s">
        <v>713</v>
      </c>
      <c r="D9" s="890" t="s">
        <v>714</v>
      </c>
      <c r="E9" s="890" t="s">
        <v>715</v>
      </c>
      <c r="F9" s="890" t="s">
        <v>716</v>
      </c>
      <c r="G9" s="890" t="s">
        <v>717</v>
      </c>
      <c r="H9" s="890" t="s">
        <v>718</v>
      </c>
      <c r="I9" s="890" t="s">
        <v>719</v>
      </c>
      <c r="J9" s="890" t="s">
        <v>720</v>
      </c>
      <c r="K9" s="890" t="s">
        <v>721</v>
      </c>
      <c r="L9" s="890" t="s">
        <v>722</v>
      </c>
      <c r="M9" s="890" t="s">
        <v>723</v>
      </c>
    </row>
    <row r="10" spans="1:13" s="875" customFormat="1" ht="12.75" thickTop="1">
      <c r="A10" s="835" t="s">
        <v>724</v>
      </c>
      <c r="B10" s="836" t="s">
        <v>725</v>
      </c>
      <c r="C10" s="891"/>
      <c r="D10" s="891"/>
      <c r="E10" s="891"/>
      <c r="F10" s="891"/>
      <c r="G10" s="891"/>
      <c r="H10" s="891"/>
      <c r="I10" s="891"/>
      <c r="J10" s="891"/>
      <c r="K10" s="891"/>
      <c r="L10" s="891"/>
      <c r="M10" s="891"/>
    </row>
    <row r="11" spans="1:13" s="875" customFormat="1" ht="12">
      <c r="A11" s="835" t="s">
        <v>726</v>
      </c>
      <c r="B11" s="836" t="s">
        <v>727</v>
      </c>
      <c r="C11" s="891"/>
      <c r="D11" s="891"/>
      <c r="E11" s="891"/>
      <c r="F11" s="891"/>
      <c r="G11" s="891"/>
      <c r="H11" s="891"/>
      <c r="I11" s="891"/>
      <c r="J11" s="891"/>
      <c r="K11" s="891"/>
      <c r="L11" s="891"/>
      <c r="M11" s="891"/>
    </row>
    <row r="12" spans="1:13" s="875" customFormat="1" ht="12">
      <c r="A12" s="835" t="s">
        <v>728</v>
      </c>
      <c r="B12" s="836" t="s">
        <v>693</v>
      </c>
      <c r="C12" s="891"/>
      <c r="D12" s="891"/>
      <c r="E12" s="891"/>
      <c r="F12" s="891"/>
      <c r="G12" s="891"/>
      <c r="H12" s="891"/>
      <c r="I12" s="891"/>
      <c r="J12" s="891"/>
      <c r="K12" s="891"/>
      <c r="L12" s="891"/>
      <c r="M12" s="891"/>
    </row>
    <row r="13" spans="1:13" s="875" customFormat="1" ht="12">
      <c r="A13" s="892" t="s">
        <v>729</v>
      </c>
      <c r="B13" s="893" t="s">
        <v>730</v>
      </c>
      <c r="C13" s="891">
        <v>0</v>
      </c>
      <c r="D13" s="891">
        <v>306196.2</v>
      </c>
      <c r="E13" s="891">
        <v>395503.42</v>
      </c>
      <c r="F13" s="891">
        <v>395503.42</v>
      </c>
      <c r="G13" s="891">
        <v>395503.42</v>
      </c>
      <c r="H13" s="891">
        <v>395503.42</v>
      </c>
      <c r="I13" s="891">
        <v>395503.42</v>
      </c>
      <c r="J13" s="891">
        <v>395503.31</v>
      </c>
      <c r="K13" s="891">
        <v>395503.42</v>
      </c>
      <c r="L13" s="891">
        <v>395503.42</v>
      </c>
      <c r="M13" s="891">
        <v>3470223.45</v>
      </c>
    </row>
    <row r="14" spans="1:13" s="875" customFormat="1" ht="12">
      <c r="A14" s="835" t="s">
        <v>731</v>
      </c>
      <c r="B14" s="836" t="s">
        <v>732</v>
      </c>
      <c r="C14" s="891">
        <v>0</v>
      </c>
      <c r="D14" s="891">
        <v>0</v>
      </c>
      <c r="E14" s="891">
        <v>0</v>
      </c>
      <c r="F14" s="891">
        <v>0</v>
      </c>
      <c r="G14" s="891">
        <v>0</v>
      </c>
      <c r="H14" s="891">
        <v>0</v>
      </c>
      <c r="I14" s="891">
        <v>0</v>
      </c>
      <c r="J14" s="891">
        <v>0</v>
      </c>
      <c r="K14" s="891">
        <v>0</v>
      </c>
      <c r="L14" s="891">
        <v>769005.83</v>
      </c>
      <c r="M14" s="891">
        <v>769005.83</v>
      </c>
    </row>
    <row r="15" spans="1:13" s="875" customFormat="1" ht="12">
      <c r="A15" s="894" t="s">
        <v>709</v>
      </c>
      <c r="B15" s="895" t="s">
        <v>733</v>
      </c>
      <c r="C15" s="891">
        <v>0</v>
      </c>
      <c r="D15" s="891">
        <v>306196.2</v>
      </c>
      <c r="E15" s="891">
        <v>395503.42</v>
      </c>
      <c r="F15" s="891">
        <v>395503.42</v>
      </c>
      <c r="G15" s="891">
        <v>395503.42</v>
      </c>
      <c r="H15" s="891">
        <v>395503.42</v>
      </c>
      <c r="I15" s="891">
        <v>395503.42</v>
      </c>
      <c r="J15" s="891">
        <v>395503.31</v>
      </c>
      <c r="K15" s="891">
        <v>395503.42</v>
      </c>
      <c r="L15" s="891">
        <v>1164509.25</v>
      </c>
      <c r="M15" s="891">
        <v>4239229.28</v>
      </c>
    </row>
    <row r="16" spans="1:13" s="875" customFormat="1" ht="12">
      <c r="A16" s="835" t="s">
        <v>734</v>
      </c>
      <c r="B16" s="836" t="s">
        <v>735</v>
      </c>
      <c r="C16" s="891"/>
      <c r="D16" s="891"/>
      <c r="E16" s="891"/>
      <c r="F16" s="891"/>
      <c r="G16" s="891"/>
      <c r="H16" s="891"/>
      <c r="I16" s="891"/>
      <c r="J16" s="891"/>
      <c r="K16" s="891"/>
      <c r="L16" s="891"/>
      <c r="M16" s="891"/>
    </row>
    <row r="17" spans="1:13" s="875" customFormat="1" ht="12">
      <c r="A17" s="894" t="s">
        <v>736</v>
      </c>
      <c r="B17" s="895" t="s">
        <v>671</v>
      </c>
      <c r="C17" s="891">
        <v>0</v>
      </c>
      <c r="D17" s="891">
        <v>14297.28</v>
      </c>
      <c r="E17" s="891">
        <v>18467.330000000002</v>
      </c>
      <c r="F17" s="891">
        <v>19205.759999999998</v>
      </c>
      <c r="G17" s="891">
        <v>19021.77</v>
      </c>
      <c r="H17" s="891">
        <v>19021.77</v>
      </c>
      <c r="I17" s="891">
        <v>19021.77</v>
      </c>
      <c r="J17" s="891">
        <v>19021.77</v>
      </c>
      <c r="K17" s="891">
        <v>19021.77</v>
      </c>
      <c r="L17" s="891">
        <v>19021.77</v>
      </c>
      <c r="M17" s="891">
        <v>166100.99</v>
      </c>
    </row>
    <row r="18" spans="1:13" s="875" customFormat="1" ht="12">
      <c r="A18" s="892" t="s">
        <v>737</v>
      </c>
      <c r="B18" s="893" t="s">
        <v>738</v>
      </c>
      <c r="C18" s="891"/>
      <c r="D18" s="891"/>
      <c r="E18" s="891"/>
      <c r="F18" s="891"/>
      <c r="G18" s="891"/>
      <c r="H18" s="891"/>
      <c r="I18" s="891"/>
      <c r="J18" s="891"/>
      <c r="K18" s="891"/>
      <c r="L18" s="891"/>
      <c r="M18" s="891"/>
    </row>
    <row r="19" spans="1:13" s="875" customFormat="1" ht="12">
      <c r="A19" s="892" t="s">
        <v>739</v>
      </c>
      <c r="B19" s="893" t="s">
        <v>740</v>
      </c>
      <c r="C19" s="891">
        <v>0</v>
      </c>
      <c r="D19" s="891">
        <v>3129.46</v>
      </c>
      <c r="E19" s="891">
        <v>4350</v>
      </c>
      <c r="F19" s="891">
        <v>4350</v>
      </c>
      <c r="G19" s="891">
        <v>4350</v>
      </c>
      <c r="H19" s="891">
        <v>4350</v>
      </c>
      <c r="I19" s="891">
        <v>4350</v>
      </c>
      <c r="J19" s="891">
        <v>4350</v>
      </c>
      <c r="K19" s="891">
        <v>4350</v>
      </c>
      <c r="L19" s="891">
        <v>4350</v>
      </c>
      <c r="M19" s="891">
        <v>37929.46</v>
      </c>
    </row>
    <row r="20" spans="1:13" s="875" customFormat="1" ht="12">
      <c r="A20" s="894" t="s">
        <v>709</v>
      </c>
      <c r="B20" s="895" t="s">
        <v>741</v>
      </c>
      <c r="C20" s="891">
        <v>0</v>
      </c>
      <c r="D20" s="891">
        <v>3129.46</v>
      </c>
      <c r="E20" s="891">
        <v>4350</v>
      </c>
      <c r="F20" s="891">
        <v>4350</v>
      </c>
      <c r="G20" s="891">
        <v>4350</v>
      </c>
      <c r="H20" s="891">
        <v>4350</v>
      </c>
      <c r="I20" s="891">
        <v>4350</v>
      </c>
      <c r="J20" s="891">
        <v>4350</v>
      </c>
      <c r="K20" s="891">
        <v>4350</v>
      </c>
      <c r="L20" s="891">
        <v>4350</v>
      </c>
      <c r="M20" s="891">
        <v>37929.46</v>
      </c>
    </row>
    <row r="21" spans="1:13" s="875" customFormat="1" ht="12">
      <c r="A21" s="835" t="s">
        <v>742</v>
      </c>
      <c r="B21" s="836" t="s">
        <v>743</v>
      </c>
      <c r="C21" s="891"/>
      <c r="D21" s="891"/>
      <c r="E21" s="891"/>
      <c r="F21" s="891"/>
      <c r="G21" s="891"/>
      <c r="H21" s="891"/>
      <c r="I21" s="891"/>
      <c r="J21" s="891"/>
      <c r="K21" s="891"/>
      <c r="L21" s="891"/>
      <c r="M21" s="891"/>
    </row>
    <row r="22" spans="1:13" s="875" customFormat="1" ht="12">
      <c r="A22" s="835" t="s">
        <v>744</v>
      </c>
      <c r="B22" s="836" t="s">
        <v>745</v>
      </c>
      <c r="C22" s="891">
        <v>0</v>
      </c>
      <c r="D22" s="891">
        <v>8835.75</v>
      </c>
      <c r="E22" s="891">
        <v>11105.07</v>
      </c>
      <c r="F22" s="891">
        <v>11105.07</v>
      </c>
      <c r="G22" s="891">
        <v>11105.07</v>
      </c>
      <c r="H22" s="891">
        <v>11105.07</v>
      </c>
      <c r="I22" s="891">
        <v>11105.04</v>
      </c>
      <c r="J22" s="891">
        <v>11105.07</v>
      </c>
      <c r="K22" s="891">
        <v>11105.07</v>
      </c>
      <c r="L22" s="891">
        <v>11105.07</v>
      </c>
      <c r="M22" s="891">
        <v>97676.28</v>
      </c>
    </row>
    <row r="23" spans="1:13" s="875" customFormat="1" ht="12">
      <c r="A23" s="894" t="s">
        <v>709</v>
      </c>
      <c r="B23" s="895" t="s">
        <v>746</v>
      </c>
      <c r="C23" s="891">
        <v>0</v>
      </c>
      <c r="D23" s="891">
        <v>8835.75</v>
      </c>
      <c r="E23" s="891">
        <v>11105.07</v>
      </c>
      <c r="F23" s="891">
        <v>11105.07</v>
      </c>
      <c r="G23" s="891">
        <v>11105.07</v>
      </c>
      <c r="H23" s="891">
        <v>11105.07</v>
      </c>
      <c r="I23" s="891">
        <v>11105.04</v>
      </c>
      <c r="J23" s="891">
        <v>11105.07</v>
      </c>
      <c r="K23" s="891">
        <v>11105.07</v>
      </c>
      <c r="L23" s="891">
        <v>11105.07</v>
      </c>
      <c r="M23" s="891">
        <v>97676.28</v>
      </c>
    </row>
    <row r="24" spans="1:13" s="875" customFormat="1" ht="12">
      <c r="A24" s="835" t="s">
        <v>747</v>
      </c>
      <c r="B24" s="836" t="s">
        <v>748</v>
      </c>
      <c r="C24" s="891"/>
      <c r="D24" s="891"/>
      <c r="E24" s="891"/>
      <c r="F24" s="891"/>
      <c r="G24" s="891"/>
      <c r="H24" s="891"/>
      <c r="I24" s="891"/>
      <c r="J24" s="891"/>
      <c r="K24" s="891"/>
      <c r="L24" s="891"/>
      <c r="M24" s="891"/>
    </row>
    <row r="25" spans="1:13" s="875" customFormat="1" ht="12">
      <c r="A25" s="835" t="s">
        <v>749</v>
      </c>
      <c r="B25" s="836" t="s">
        <v>750</v>
      </c>
      <c r="C25" s="891">
        <v>0</v>
      </c>
      <c r="D25" s="891">
        <v>3167.99</v>
      </c>
      <c r="E25" s="891">
        <v>4091.99</v>
      </c>
      <c r="F25" s="891">
        <v>4910.33</v>
      </c>
      <c r="G25" s="891">
        <v>4091.99</v>
      </c>
      <c r="H25" s="891">
        <v>3273.65</v>
      </c>
      <c r="I25" s="891">
        <v>4091.99</v>
      </c>
      <c r="J25" s="891">
        <v>4091.99</v>
      </c>
      <c r="K25" s="891">
        <v>4091.99</v>
      </c>
      <c r="L25" s="891">
        <v>4091.99</v>
      </c>
      <c r="M25" s="891">
        <v>35903.910000000003</v>
      </c>
    </row>
    <row r="26" spans="1:13" s="875" customFormat="1" ht="12">
      <c r="A26" s="835" t="s">
        <v>751</v>
      </c>
      <c r="B26" s="836" t="s">
        <v>752</v>
      </c>
      <c r="C26" s="891">
        <v>0</v>
      </c>
      <c r="D26" s="891">
        <v>0</v>
      </c>
      <c r="E26" s="891">
        <v>0</v>
      </c>
      <c r="F26" s="891">
        <v>0</v>
      </c>
      <c r="G26" s="891">
        <v>0</v>
      </c>
      <c r="H26" s="891">
        <v>0</v>
      </c>
      <c r="I26" s="891">
        <v>0</v>
      </c>
      <c r="J26" s="891">
        <v>0</v>
      </c>
      <c r="K26" s="891">
        <v>0</v>
      </c>
      <c r="L26" s="891">
        <v>3946.58</v>
      </c>
      <c r="M26" s="891">
        <v>3946.58</v>
      </c>
    </row>
    <row r="27" spans="1:13" s="875" customFormat="1" ht="12">
      <c r="A27" s="894" t="s">
        <v>709</v>
      </c>
      <c r="B27" s="895" t="s">
        <v>753</v>
      </c>
      <c r="C27" s="891">
        <v>0</v>
      </c>
      <c r="D27" s="891">
        <v>3167.99</v>
      </c>
      <c r="E27" s="891">
        <v>4091.99</v>
      </c>
      <c r="F27" s="891">
        <v>4910.33</v>
      </c>
      <c r="G27" s="891">
        <v>4091.99</v>
      </c>
      <c r="H27" s="891">
        <v>3273.65</v>
      </c>
      <c r="I27" s="891">
        <v>4091.99</v>
      </c>
      <c r="J27" s="891">
        <v>4091.99</v>
      </c>
      <c r="K27" s="891">
        <v>4091.99</v>
      </c>
      <c r="L27" s="891">
        <v>8038.57</v>
      </c>
      <c r="M27" s="891">
        <v>39850.49</v>
      </c>
    </row>
    <row r="28" spans="1:13" s="875" customFormat="1" ht="12">
      <c r="A28" s="835" t="s">
        <v>754</v>
      </c>
      <c r="B28" s="836" t="s">
        <v>755</v>
      </c>
      <c r="C28" s="891"/>
      <c r="D28" s="891"/>
      <c r="E28" s="891"/>
      <c r="F28" s="891"/>
      <c r="G28" s="891"/>
      <c r="H28" s="891"/>
      <c r="I28" s="891"/>
      <c r="J28" s="891"/>
      <c r="K28" s="891"/>
      <c r="L28" s="891"/>
      <c r="M28" s="891"/>
    </row>
    <row r="29" spans="1:13" s="875" customFormat="1" ht="12">
      <c r="A29" s="835" t="s">
        <v>756</v>
      </c>
      <c r="B29" s="836" t="s">
        <v>757</v>
      </c>
      <c r="C29" s="891"/>
      <c r="D29" s="891"/>
      <c r="E29" s="891"/>
      <c r="F29" s="891"/>
      <c r="G29" s="891"/>
      <c r="H29" s="891"/>
      <c r="I29" s="891"/>
      <c r="J29" s="891"/>
      <c r="K29" s="891"/>
      <c r="L29" s="891"/>
      <c r="M29" s="891"/>
    </row>
    <row r="30" spans="1:13" s="875" customFormat="1" ht="12">
      <c r="A30" s="835" t="s">
        <v>758</v>
      </c>
      <c r="B30" s="836" t="s">
        <v>759</v>
      </c>
      <c r="C30" s="891">
        <v>0</v>
      </c>
      <c r="D30" s="891">
        <v>0</v>
      </c>
      <c r="E30" s="891">
        <v>5323</v>
      </c>
      <c r="F30" s="891">
        <v>14628.03</v>
      </c>
      <c r="G30" s="891">
        <v>7999.98</v>
      </c>
      <c r="H30" s="891">
        <v>-8226.01</v>
      </c>
      <c r="I30" s="891">
        <v>0</v>
      </c>
      <c r="J30" s="891">
        <v>0</v>
      </c>
      <c r="K30" s="891">
        <v>0</v>
      </c>
      <c r="L30" s="891">
        <v>0</v>
      </c>
      <c r="M30" s="891">
        <v>19725</v>
      </c>
    </row>
    <row r="31" spans="1:13" s="875" customFormat="1" ht="12">
      <c r="A31" s="894" t="s">
        <v>709</v>
      </c>
      <c r="B31" s="895" t="s">
        <v>760</v>
      </c>
      <c r="C31" s="891">
        <v>0</v>
      </c>
      <c r="D31" s="891">
        <v>0</v>
      </c>
      <c r="E31" s="891">
        <v>5323</v>
      </c>
      <c r="F31" s="891">
        <v>14628.03</v>
      </c>
      <c r="G31" s="891">
        <v>7999.98</v>
      </c>
      <c r="H31" s="891">
        <v>-8226.01</v>
      </c>
      <c r="I31" s="891">
        <v>0</v>
      </c>
      <c r="J31" s="891">
        <v>0</v>
      </c>
      <c r="K31" s="891">
        <v>0</v>
      </c>
      <c r="L31" s="891">
        <v>0</v>
      </c>
      <c r="M31" s="891">
        <v>19725</v>
      </c>
    </row>
    <row r="32" spans="1:13" s="875" customFormat="1" ht="12">
      <c r="A32" s="894" t="s">
        <v>709</v>
      </c>
      <c r="B32" s="895" t="s">
        <v>761</v>
      </c>
      <c r="C32" s="891">
        <v>0</v>
      </c>
      <c r="D32" s="891">
        <v>335626.68</v>
      </c>
      <c r="E32" s="891">
        <v>438840.81</v>
      </c>
      <c r="F32" s="891">
        <v>449702.61</v>
      </c>
      <c r="G32" s="891">
        <v>442072.23</v>
      </c>
      <c r="H32" s="891">
        <v>425027.9</v>
      </c>
      <c r="I32" s="891">
        <v>434072.22</v>
      </c>
      <c r="J32" s="891">
        <v>434072.14</v>
      </c>
      <c r="K32" s="891">
        <v>434072.25</v>
      </c>
      <c r="L32" s="891">
        <v>1207024.6599999999</v>
      </c>
      <c r="M32" s="891">
        <v>4600511.5</v>
      </c>
    </row>
    <row r="33" spans="1:13" s="875" customFormat="1" ht="12">
      <c r="A33" s="835" t="s">
        <v>709</v>
      </c>
      <c r="B33" s="836"/>
      <c r="C33" s="891"/>
      <c r="D33" s="891"/>
      <c r="E33" s="891"/>
      <c r="F33" s="891"/>
      <c r="G33" s="891"/>
      <c r="H33" s="891"/>
      <c r="I33" s="891"/>
      <c r="J33" s="891"/>
      <c r="K33" s="891"/>
      <c r="L33" s="891"/>
      <c r="M33" s="891"/>
    </row>
    <row r="34" spans="1:13" s="875" customFormat="1" ht="12">
      <c r="A34" s="835" t="s">
        <v>762</v>
      </c>
      <c r="B34" s="836" t="s">
        <v>763</v>
      </c>
      <c r="C34" s="891"/>
      <c r="D34" s="891"/>
      <c r="E34" s="891"/>
      <c r="F34" s="891"/>
      <c r="G34" s="891"/>
      <c r="H34" s="891"/>
      <c r="I34" s="891"/>
      <c r="J34" s="891"/>
      <c r="K34" s="891"/>
      <c r="L34" s="891"/>
      <c r="M34" s="891"/>
    </row>
    <row r="35" spans="1:13" s="875" customFormat="1" ht="12">
      <c r="A35" s="835" t="s">
        <v>764</v>
      </c>
      <c r="B35" s="836" t="s">
        <v>765</v>
      </c>
      <c r="C35" s="891"/>
      <c r="D35" s="891"/>
      <c r="E35" s="891"/>
      <c r="F35" s="891"/>
      <c r="G35" s="891"/>
      <c r="H35" s="891"/>
      <c r="I35" s="891"/>
      <c r="J35" s="891"/>
      <c r="K35" s="891"/>
      <c r="L35" s="891"/>
      <c r="M35" s="891"/>
    </row>
    <row r="36" spans="1:13" s="875" customFormat="1" ht="12">
      <c r="A36" s="894" t="s">
        <v>766</v>
      </c>
      <c r="B36" s="895" t="s">
        <v>767</v>
      </c>
      <c r="C36" s="891">
        <v>0</v>
      </c>
      <c r="D36" s="891">
        <v>0</v>
      </c>
      <c r="E36" s="891">
        <v>5323</v>
      </c>
      <c r="F36" s="891">
        <v>14628.03</v>
      </c>
      <c r="G36" s="891">
        <v>-19951.03</v>
      </c>
      <c r="H36" s="891">
        <v>19725</v>
      </c>
      <c r="I36" s="891">
        <v>0</v>
      </c>
      <c r="J36" s="891">
        <v>0</v>
      </c>
      <c r="K36" s="891">
        <v>0</v>
      </c>
      <c r="L36" s="891">
        <v>0</v>
      </c>
      <c r="M36" s="891">
        <v>19725</v>
      </c>
    </row>
    <row r="37" spans="1:13" s="875" customFormat="1" ht="12">
      <c r="A37" s="835" t="s">
        <v>768</v>
      </c>
      <c r="B37" s="836" t="s">
        <v>769</v>
      </c>
      <c r="C37" s="891"/>
      <c r="D37" s="891"/>
      <c r="E37" s="891"/>
      <c r="F37" s="891"/>
      <c r="G37" s="891"/>
      <c r="H37" s="891"/>
      <c r="I37" s="891"/>
      <c r="J37" s="891"/>
      <c r="K37" s="891"/>
      <c r="L37" s="891"/>
      <c r="M37" s="891"/>
    </row>
    <row r="38" spans="1:13" s="875" customFormat="1" ht="12">
      <c r="A38" s="835" t="s">
        <v>770</v>
      </c>
      <c r="B38" s="836" t="s">
        <v>771</v>
      </c>
      <c r="C38" s="891"/>
      <c r="D38" s="891"/>
      <c r="E38" s="891"/>
      <c r="F38" s="891"/>
      <c r="G38" s="891"/>
      <c r="H38" s="891"/>
      <c r="I38" s="891"/>
      <c r="J38" s="891"/>
      <c r="K38" s="891"/>
      <c r="L38" s="891"/>
      <c r="M38" s="891"/>
    </row>
    <row r="39" spans="1:13" s="875" customFormat="1" ht="12">
      <c r="A39" s="835" t="s">
        <v>772</v>
      </c>
      <c r="B39" s="836" t="s">
        <v>773</v>
      </c>
      <c r="C39" s="891">
        <v>0</v>
      </c>
      <c r="D39" s="891">
        <v>3835.92</v>
      </c>
      <c r="E39" s="891">
        <v>4794.8999999999996</v>
      </c>
      <c r="F39" s="891">
        <v>4794.8999999999996</v>
      </c>
      <c r="G39" s="891">
        <v>4794.8999999999996</v>
      </c>
      <c r="H39" s="891">
        <v>4794.8999999999996</v>
      </c>
      <c r="I39" s="891">
        <v>4794.8999999999996</v>
      </c>
      <c r="J39" s="891">
        <v>5150.95</v>
      </c>
      <c r="K39" s="891">
        <v>4793.26</v>
      </c>
      <c r="L39" s="891">
        <v>4920</v>
      </c>
      <c r="M39" s="891">
        <v>42674.63</v>
      </c>
    </row>
    <row r="40" spans="1:13" s="875" customFormat="1" ht="12">
      <c r="A40" s="835" t="s">
        <v>774</v>
      </c>
      <c r="B40" s="836" t="s">
        <v>775</v>
      </c>
      <c r="C40" s="891">
        <v>0</v>
      </c>
      <c r="D40" s="891">
        <v>215.42</v>
      </c>
      <c r="E40" s="891">
        <v>269.27</v>
      </c>
      <c r="F40" s="891">
        <v>269.27</v>
      </c>
      <c r="G40" s="891">
        <v>269.27</v>
      </c>
      <c r="H40" s="891">
        <v>269.27</v>
      </c>
      <c r="I40" s="891">
        <v>1291.24</v>
      </c>
      <c r="J40" s="891">
        <v>428.84</v>
      </c>
      <c r="K40" s="891">
        <v>299.60000000000002</v>
      </c>
      <c r="L40" s="891">
        <v>138.81</v>
      </c>
      <c r="M40" s="891">
        <v>3450.99</v>
      </c>
    </row>
    <row r="41" spans="1:13" s="875" customFormat="1" ht="12">
      <c r="A41" s="835" t="s">
        <v>776</v>
      </c>
      <c r="B41" s="836" t="s">
        <v>777</v>
      </c>
      <c r="C41" s="891">
        <v>0</v>
      </c>
      <c r="D41" s="891">
        <v>1394.29</v>
      </c>
      <c r="E41" s="891">
        <v>1684.76</v>
      </c>
      <c r="F41" s="891">
        <v>1740.91</v>
      </c>
      <c r="G41" s="891">
        <v>1740.91</v>
      </c>
      <c r="H41" s="891">
        <v>1615.33</v>
      </c>
      <c r="I41" s="891">
        <v>-2154.11</v>
      </c>
      <c r="J41" s="891">
        <v>779.39</v>
      </c>
      <c r="K41" s="891">
        <v>1988.73</v>
      </c>
      <c r="L41" s="891">
        <v>1419.69</v>
      </c>
      <c r="M41" s="891">
        <v>10209.9</v>
      </c>
    </row>
    <row r="42" spans="1:13" s="875" customFormat="1" ht="12">
      <c r="A42" s="835" t="s">
        <v>778</v>
      </c>
      <c r="B42" s="836" t="s">
        <v>674</v>
      </c>
      <c r="C42" s="891">
        <v>0</v>
      </c>
      <c r="D42" s="891">
        <v>3256.37</v>
      </c>
      <c r="E42" s="891">
        <v>4138.3100000000004</v>
      </c>
      <c r="F42" s="891">
        <v>4138.3100000000004</v>
      </c>
      <c r="G42" s="891">
        <v>4740</v>
      </c>
      <c r="H42" s="891">
        <v>4740</v>
      </c>
      <c r="I42" s="891">
        <v>4335.9799999999996</v>
      </c>
      <c r="J42" s="891">
        <v>4554.72</v>
      </c>
      <c r="K42" s="891">
        <v>4630</v>
      </c>
      <c r="L42" s="891">
        <v>4480.6499999999996</v>
      </c>
      <c r="M42" s="891">
        <v>39014.339999999997</v>
      </c>
    </row>
    <row r="43" spans="1:13" s="875" customFormat="1" ht="12">
      <c r="A43" s="835" t="s">
        <v>779</v>
      </c>
      <c r="B43" s="836" t="s">
        <v>780</v>
      </c>
      <c r="C43" s="891"/>
      <c r="D43" s="891"/>
      <c r="E43" s="891"/>
      <c r="F43" s="891"/>
      <c r="G43" s="891"/>
      <c r="H43" s="891"/>
      <c r="I43" s="891"/>
      <c r="J43" s="891"/>
      <c r="K43" s="891"/>
      <c r="L43" s="891"/>
      <c r="M43" s="891"/>
    </row>
    <row r="44" spans="1:13" s="875" customFormat="1" ht="12">
      <c r="A44" s="835" t="s">
        <v>781</v>
      </c>
      <c r="B44" s="836" t="s">
        <v>782</v>
      </c>
      <c r="C44" s="891">
        <v>0</v>
      </c>
      <c r="D44" s="891">
        <v>0</v>
      </c>
      <c r="E44" s="891">
        <v>10133.32</v>
      </c>
      <c r="F44" s="891">
        <v>4879.7700000000004</v>
      </c>
      <c r="G44" s="891">
        <v>5004.37</v>
      </c>
      <c r="H44" s="891">
        <v>4752.88</v>
      </c>
      <c r="I44" s="891">
        <v>-6051.5</v>
      </c>
      <c r="J44" s="891">
        <v>4825.3900000000003</v>
      </c>
      <c r="K44" s="891">
        <v>4986.24</v>
      </c>
      <c r="L44" s="891">
        <v>4825.3500000000004</v>
      </c>
      <c r="M44" s="891">
        <v>33355.82</v>
      </c>
    </row>
    <row r="45" spans="1:13" s="875" customFormat="1" ht="12">
      <c r="A45" s="835" t="s">
        <v>783</v>
      </c>
      <c r="B45" s="836" t="s">
        <v>784</v>
      </c>
      <c r="C45" s="891"/>
      <c r="D45" s="891"/>
      <c r="E45" s="891"/>
      <c r="F45" s="891"/>
      <c r="G45" s="891"/>
      <c r="H45" s="891"/>
      <c r="I45" s="891"/>
      <c r="J45" s="891"/>
      <c r="K45" s="891"/>
      <c r="L45" s="891"/>
      <c r="M45" s="891"/>
    </row>
    <row r="46" spans="1:13" s="875" customFormat="1" ht="12">
      <c r="A46" s="835" t="s">
        <v>785</v>
      </c>
      <c r="B46" s="836" t="s">
        <v>786</v>
      </c>
      <c r="C46" s="891">
        <v>0</v>
      </c>
      <c r="D46" s="891">
        <v>91.96</v>
      </c>
      <c r="E46" s="891">
        <v>111.11</v>
      </c>
      <c r="F46" s="891">
        <v>0</v>
      </c>
      <c r="G46" s="891">
        <v>0</v>
      </c>
      <c r="H46" s="891">
        <v>0</v>
      </c>
      <c r="I46" s="891">
        <v>0</v>
      </c>
      <c r="J46" s="891">
        <v>0</v>
      </c>
      <c r="K46" s="891">
        <v>0</v>
      </c>
      <c r="L46" s="891">
        <v>0</v>
      </c>
      <c r="M46" s="891">
        <v>203.07</v>
      </c>
    </row>
    <row r="47" spans="1:13" s="875" customFormat="1" ht="12">
      <c r="A47" s="835" t="s">
        <v>787</v>
      </c>
      <c r="B47" s="836" t="s">
        <v>788</v>
      </c>
      <c r="C47" s="891"/>
      <c r="D47" s="891"/>
      <c r="E47" s="891"/>
      <c r="F47" s="891"/>
      <c r="G47" s="891"/>
      <c r="H47" s="891"/>
      <c r="I47" s="891"/>
      <c r="J47" s="891"/>
      <c r="K47" s="891"/>
      <c r="L47" s="891"/>
      <c r="M47" s="891"/>
    </row>
    <row r="48" spans="1:13" s="875" customFormat="1" ht="12">
      <c r="A48" s="835" t="s">
        <v>789</v>
      </c>
      <c r="B48" s="836" t="s">
        <v>790</v>
      </c>
      <c r="C48" s="891">
        <v>0</v>
      </c>
      <c r="D48" s="891">
        <v>2152.17</v>
      </c>
      <c r="E48" s="891">
        <v>2735.05</v>
      </c>
      <c r="F48" s="891">
        <v>2735.06</v>
      </c>
      <c r="G48" s="891">
        <v>0</v>
      </c>
      <c r="H48" s="891">
        <v>0</v>
      </c>
      <c r="I48" s="891">
        <v>0</v>
      </c>
      <c r="J48" s="891">
        <v>0</v>
      </c>
      <c r="K48" s="891">
        <v>0</v>
      </c>
      <c r="L48" s="891">
        <v>0</v>
      </c>
      <c r="M48" s="891">
        <v>7622.28</v>
      </c>
    </row>
    <row r="49" spans="1:13" s="875" customFormat="1" ht="12">
      <c r="A49" s="835" t="s">
        <v>791</v>
      </c>
      <c r="B49" s="836" t="s">
        <v>792</v>
      </c>
      <c r="C49" s="891"/>
      <c r="D49" s="891"/>
      <c r="E49" s="891"/>
      <c r="F49" s="891"/>
      <c r="G49" s="891"/>
      <c r="H49" s="891"/>
      <c r="I49" s="891"/>
      <c r="J49" s="891"/>
      <c r="K49" s="891"/>
      <c r="L49" s="891"/>
      <c r="M49" s="891"/>
    </row>
    <row r="50" spans="1:13" s="875" customFormat="1" ht="12">
      <c r="A50" s="835" t="s">
        <v>793</v>
      </c>
      <c r="B50" s="836" t="s">
        <v>794</v>
      </c>
      <c r="C50" s="891">
        <v>0</v>
      </c>
      <c r="D50" s="891">
        <v>78.260000000000005</v>
      </c>
      <c r="E50" s="891">
        <v>99.46</v>
      </c>
      <c r="F50" s="891">
        <v>99.45</v>
      </c>
      <c r="G50" s="891">
        <v>0</v>
      </c>
      <c r="H50" s="891">
        <v>0</v>
      </c>
      <c r="I50" s="891">
        <v>0</v>
      </c>
      <c r="J50" s="891">
        <v>0</v>
      </c>
      <c r="K50" s="891">
        <v>0</v>
      </c>
      <c r="L50" s="891">
        <v>0</v>
      </c>
      <c r="M50" s="891">
        <v>277.17</v>
      </c>
    </row>
    <row r="51" spans="1:13" s="875" customFormat="1" ht="12">
      <c r="A51" s="835" t="s">
        <v>795</v>
      </c>
      <c r="B51" s="836" t="s">
        <v>796</v>
      </c>
      <c r="C51" s="891">
        <v>0</v>
      </c>
      <c r="D51" s="891">
        <v>41432.82</v>
      </c>
      <c r="E51" s="891">
        <v>47806.42</v>
      </c>
      <c r="F51" s="891">
        <v>39839.24</v>
      </c>
      <c r="G51" s="891">
        <v>57299.46</v>
      </c>
      <c r="H51" s="891">
        <v>49400.67</v>
      </c>
      <c r="I51" s="891">
        <v>49400.67</v>
      </c>
      <c r="J51" s="891">
        <v>51063.99</v>
      </c>
      <c r="K51" s="891">
        <v>49400.67</v>
      </c>
      <c r="L51" s="891">
        <v>49400.65</v>
      </c>
      <c r="M51" s="891">
        <v>435044.59</v>
      </c>
    </row>
    <row r="52" spans="1:13" s="875" customFormat="1" ht="12">
      <c r="A52" s="835" t="s">
        <v>797</v>
      </c>
      <c r="B52" s="836" t="s">
        <v>798</v>
      </c>
      <c r="C52" s="891">
        <v>0</v>
      </c>
      <c r="D52" s="891">
        <v>0</v>
      </c>
      <c r="E52" s="891">
        <v>0</v>
      </c>
      <c r="F52" s="891">
        <v>1662.65</v>
      </c>
      <c r="G52" s="891">
        <v>0</v>
      </c>
      <c r="H52" s="891">
        <v>0</v>
      </c>
      <c r="I52" s="891">
        <v>0</v>
      </c>
      <c r="J52" s="891">
        <v>-1662.65</v>
      </c>
      <c r="K52" s="891">
        <v>0</v>
      </c>
      <c r="L52" s="891">
        <v>0</v>
      </c>
      <c r="M52" s="891">
        <v>0</v>
      </c>
    </row>
    <row r="53" spans="1:13" s="875" customFormat="1" ht="12">
      <c r="A53" s="835" t="s">
        <v>799</v>
      </c>
      <c r="B53" s="836" t="s">
        <v>800</v>
      </c>
      <c r="C53" s="891"/>
      <c r="D53" s="891"/>
      <c r="E53" s="891"/>
      <c r="F53" s="891"/>
      <c r="G53" s="891"/>
      <c r="H53" s="891"/>
      <c r="I53" s="891"/>
      <c r="J53" s="891"/>
      <c r="K53" s="891"/>
      <c r="L53" s="891"/>
      <c r="M53" s="891"/>
    </row>
    <row r="54" spans="1:13" s="875" customFormat="1" ht="12">
      <c r="A54" s="835" t="s">
        <v>801</v>
      </c>
      <c r="B54" s="836" t="s">
        <v>802</v>
      </c>
      <c r="C54" s="891">
        <v>0</v>
      </c>
      <c r="D54" s="891">
        <v>105.99</v>
      </c>
      <c r="E54" s="891">
        <v>105.99</v>
      </c>
      <c r="F54" s="891">
        <v>105.99</v>
      </c>
      <c r="G54" s="891">
        <v>105.97</v>
      </c>
      <c r="H54" s="891">
        <v>122.39</v>
      </c>
      <c r="I54" s="891">
        <v>1116.17</v>
      </c>
      <c r="J54" s="891">
        <v>-155.71</v>
      </c>
      <c r="K54" s="891">
        <v>269.56</v>
      </c>
      <c r="L54" s="891">
        <v>275.57</v>
      </c>
      <c r="M54" s="891">
        <v>2051.92</v>
      </c>
    </row>
    <row r="55" spans="1:13" s="875" customFormat="1" ht="12">
      <c r="A55" s="835" t="s">
        <v>803</v>
      </c>
      <c r="B55" s="836" t="s">
        <v>804</v>
      </c>
      <c r="C55" s="891"/>
      <c r="D55" s="891"/>
      <c r="E55" s="891"/>
      <c r="F55" s="891"/>
      <c r="G55" s="891"/>
      <c r="H55" s="891"/>
      <c r="I55" s="891"/>
      <c r="J55" s="891"/>
      <c r="K55" s="891"/>
      <c r="L55" s="891"/>
      <c r="M55" s="891"/>
    </row>
    <row r="56" spans="1:13" s="875" customFormat="1" ht="12">
      <c r="A56" s="835" t="s">
        <v>805</v>
      </c>
      <c r="B56" s="836" t="s">
        <v>806</v>
      </c>
      <c r="C56" s="891">
        <v>0</v>
      </c>
      <c r="D56" s="891">
        <v>0</v>
      </c>
      <c r="E56" s="891">
        <v>5544.35</v>
      </c>
      <c r="F56" s="891">
        <v>3124.99</v>
      </c>
      <c r="G56" s="891">
        <v>3125</v>
      </c>
      <c r="H56" s="891">
        <v>3125</v>
      </c>
      <c r="I56" s="891">
        <v>3125</v>
      </c>
      <c r="J56" s="891">
        <v>3125</v>
      </c>
      <c r="K56" s="891">
        <v>3125</v>
      </c>
      <c r="L56" s="891">
        <v>3125</v>
      </c>
      <c r="M56" s="891">
        <v>27419.34</v>
      </c>
    </row>
    <row r="57" spans="1:13" ht="12">
      <c r="A57" s="894" t="s">
        <v>709</v>
      </c>
      <c r="B57" s="895" t="s">
        <v>807</v>
      </c>
      <c r="C57" s="891">
        <v>0</v>
      </c>
      <c r="D57" s="891">
        <v>52563.199999999997</v>
      </c>
      <c r="E57" s="891">
        <v>77422.94</v>
      </c>
      <c r="F57" s="891">
        <v>63390.54</v>
      </c>
      <c r="G57" s="891">
        <v>77079.88</v>
      </c>
      <c r="H57" s="891">
        <v>68820.44</v>
      </c>
      <c r="I57" s="891">
        <v>55858.35</v>
      </c>
      <c r="J57" s="891">
        <v>68109.919999999998</v>
      </c>
      <c r="K57" s="891">
        <v>69493.06</v>
      </c>
      <c r="L57" s="891">
        <v>68585.72</v>
      </c>
      <c r="M57" s="891">
        <v>601324.05000000005</v>
      </c>
    </row>
    <row r="58" spans="1:13" ht="12">
      <c r="A58" s="835" t="s">
        <v>808</v>
      </c>
      <c r="B58" s="836" t="s">
        <v>809</v>
      </c>
      <c r="C58" s="891"/>
      <c r="D58" s="891"/>
      <c r="E58" s="891"/>
      <c r="F58" s="891"/>
      <c r="G58" s="891"/>
      <c r="H58" s="891"/>
      <c r="I58" s="891"/>
      <c r="J58" s="891"/>
      <c r="K58" s="891"/>
      <c r="L58" s="891"/>
      <c r="M58" s="891"/>
    </row>
    <row r="59" spans="1:13" ht="12">
      <c r="A59" s="894" t="s">
        <v>810</v>
      </c>
      <c r="B59" s="895" t="s">
        <v>811</v>
      </c>
      <c r="C59" s="891">
        <v>0</v>
      </c>
      <c r="D59" s="891">
        <v>0</v>
      </c>
      <c r="E59" s="891">
        <v>0</v>
      </c>
      <c r="F59" s="891">
        <v>0</v>
      </c>
      <c r="G59" s="891">
        <v>0</v>
      </c>
      <c r="H59" s="891">
        <v>0</v>
      </c>
      <c r="I59" s="891">
        <v>0</v>
      </c>
      <c r="J59" s="891">
        <v>777.5</v>
      </c>
      <c r="K59" s="891">
        <v>0</v>
      </c>
      <c r="L59" s="891">
        <v>1166.26</v>
      </c>
      <c r="M59" s="891">
        <v>1943.76</v>
      </c>
    </row>
    <row r="60" spans="1:13" ht="12">
      <c r="A60" s="835" t="s">
        <v>812</v>
      </c>
      <c r="B60" s="836" t="s">
        <v>813</v>
      </c>
      <c r="C60" s="891"/>
      <c r="D60" s="891"/>
      <c r="E60" s="891"/>
      <c r="F60" s="891"/>
      <c r="G60" s="891"/>
      <c r="H60" s="891"/>
      <c r="I60" s="891"/>
      <c r="J60" s="891"/>
      <c r="K60" s="891"/>
      <c r="L60" s="891"/>
      <c r="M60" s="891"/>
    </row>
    <row r="61" spans="1:13" ht="12">
      <c r="A61" s="897" t="s">
        <v>814</v>
      </c>
      <c r="B61" s="898" t="s">
        <v>815</v>
      </c>
      <c r="C61" s="891">
        <v>0</v>
      </c>
      <c r="D61" s="891">
        <v>11792.07</v>
      </c>
      <c r="E61" s="891">
        <v>14622.17</v>
      </c>
      <c r="F61" s="891">
        <v>14622.17</v>
      </c>
      <c r="G61" s="891">
        <v>14622.17</v>
      </c>
      <c r="H61" s="891">
        <v>14622.17</v>
      </c>
      <c r="I61" s="891">
        <v>14622.17</v>
      </c>
      <c r="J61" s="891">
        <v>14622.16</v>
      </c>
      <c r="K61" s="891">
        <v>14622.17</v>
      </c>
      <c r="L61" s="891">
        <v>14622.18</v>
      </c>
      <c r="M61" s="891">
        <v>128769.43</v>
      </c>
    </row>
    <row r="62" spans="1:13" ht="12">
      <c r="A62" s="897" t="s">
        <v>816</v>
      </c>
      <c r="B62" s="898" t="s">
        <v>817</v>
      </c>
      <c r="C62" s="891">
        <v>0</v>
      </c>
      <c r="D62" s="891">
        <v>5216.67</v>
      </c>
      <c r="E62" s="891">
        <v>2966.67</v>
      </c>
      <c r="F62" s="891">
        <v>4416.67</v>
      </c>
      <c r="G62" s="891">
        <v>3264.66</v>
      </c>
      <c r="H62" s="891">
        <v>3144.67</v>
      </c>
      <c r="I62" s="891">
        <v>3992.67</v>
      </c>
      <c r="J62" s="891">
        <v>3162.33</v>
      </c>
      <c r="K62" s="891">
        <v>3692.33</v>
      </c>
      <c r="L62" s="891">
        <v>3427.33</v>
      </c>
      <c r="M62" s="891">
        <v>33284</v>
      </c>
    </row>
    <row r="63" spans="1:13" ht="12">
      <c r="A63" s="897" t="s">
        <v>818</v>
      </c>
      <c r="B63" s="898" t="s">
        <v>819</v>
      </c>
      <c r="C63" s="891">
        <v>0</v>
      </c>
      <c r="D63" s="891">
        <v>-0.19</v>
      </c>
      <c r="E63" s="891">
        <v>0</v>
      </c>
      <c r="F63" s="891">
        <v>0.3</v>
      </c>
      <c r="G63" s="891">
        <v>652.54</v>
      </c>
      <c r="H63" s="891">
        <v>31.87</v>
      </c>
      <c r="I63" s="891">
        <v>2.6</v>
      </c>
      <c r="J63" s="891">
        <v>1.6</v>
      </c>
      <c r="K63" s="891">
        <v>3.44</v>
      </c>
      <c r="L63" s="891">
        <v>2.27</v>
      </c>
      <c r="M63" s="891">
        <v>694.43</v>
      </c>
    </row>
    <row r="64" spans="1:13" ht="12">
      <c r="A64" s="897" t="s">
        <v>820</v>
      </c>
      <c r="B64" s="898" t="s">
        <v>821</v>
      </c>
      <c r="C64" s="891">
        <v>0</v>
      </c>
      <c r="D64" s="891">
        <v>1666.67</v>
      </c>
      <c r="E64" s="891">
        <v>1666.67</v>
      </c>
      <c r="F64" s="891">
        <v>1666.67</v>
      </c>
      <c r="G64" s="891">
        <v>1666.66</v>
      </c>
      <c r="H64" s="891">
        <v>1666.67</v>
      </c>
      <c r="I64" s="891">
        <v>1666.66</v>
      </c>
      <c r="J64" s="891">
        <v>1666.67</v>
      </c>
      <c r="K64" s="891">
        <v>1666.66</v>
      </c>
      <c r="L64" s="891">
        <v>-333.33</v>
      </c>
      <c r="M64" s="891">
        <v>13000</v>
      </c>
    </row>
    <row r="65" spans="1:13" ht="12">
      <c r="A65" s="897" t="s">
        <v>822</v>
      </c>
      <c r="B65" s="898" t="s">
        <v>823</v>
      </c>
      <c r="C65" s="891">
        <v>0</v>
      </c>
      <c r="D65" s="891">
        <v>0</v>
      </c>
      <c r="E65" s="891">
        <v>0</v>
      </c>
      <c r="F65" s="891">
        <v>0</v>
      </c>
      <c r="G65" s="891">
        <v>8097.1</v>
      </c>
      <c r="H65" s="891">
        <v>0</v>
      </c>
      <c r="I65" s="891">
        <v>0</v>
      </c>
      <c r="J65" s="891">
        <v>0</v>
      </c>
      <c r="K65" s="891">
        <v>0</v>
      </c>
      <c r="L65" s="891">
        <v>0</v>
      </c>
      <c r="M65" s="891">
        <v>8097.1</v>
      </c>
    </row>
    <row r="66" spans="1:13" ht="12">
      <c r="A66" s="897" t="s">
        <v>824</v>
      </c>
      <c r="B66" s="898" t="s">
        <v>825</v>
      </c>
      <c r="C66" s="891">
        <v>0</v>
      </c>
      <c r="D66" s="891">
        <v>433.33</v>
      </c>
      <c r="E66" s="891">
        <v>433.33</v>
      </c>
      <c r="F66" s="891">
        <v>433.33</v>
      </c>
      <c r="G66" s="891">
        <v>537.33000000000004</v>
      </c>
      <c r="H66" s="891">
        <v>459.33</v>
      </c>
      <c r="I66" s="891">
        <v>459.33</v>
      </c>
      <c r="J66" s="891">
        <v>459.34</v>
      </c>
      <c r="K66" s="891">
        <v>459.34</v>
      </c>
      <c r="L66" s="891">
        <v>459.34</v>
      </c>
      <c r="M66" s="891">
        <v>4134</v>
      </c>
    </row>
    <row r="67" spans="1:13" ht="12">
      <c r="A67" s="897" t="s">
        <v>826</v>
      </c>
      <c r="B67" s="898" t="s">
        <v>827</v>
      </c>
      <c r="C67" s="891">
        <v>0</v>
      </c>
      <c r="D67" s="891">
        <v>7688.17</v>
      </c>
      <c r="E67" s="891">
        <v>3333.33</v>
      </c>
      <c r="F67" s="891">
        <v>3333.33</v>
      </c>
      <c r="G67" s="891">
        <v>3333.33</v>
      </c>
      <c r="H67" s="891">
        <v>3333.33</v>
      </c>
      <c r="I67" s="891">
        <v>3333.34</v>
      </c>
      <c r="J67" s="891">
        <v>3333.34</v>
      </c>
      <c r="K67" s="891">
        <v>3333.33</v>
      </c>
      <c r="L67" s="891">
        <v>3225.8</v>
      </c>
      <c r="M67" s="891">
        <v>34247.300000000003</v>
      </c>
    </row>
    <row r="68" spans="1:13" ht="12">
      <c r="A68" s="897" t="s">
        <v>828</v>
      </c>
      <c r="B68" s="898" t="s">
        <v>829</v>
      </c>
      <c r="C68" s="891">
        <v>0</v>
      </c>
      <c r="D68" s="891">
        <v>2777.79</v>
      </c>
      <c r="E68" s="891">
        <v>-2777.79</v>
      </c>
      <c r="F68" s="891">
        <v>0</v>
      </c>
      <c r="G68" s="891">
        <v>0</v>
      </c>
      <c r="H68" s="891">
        <v>0</v>
      </c>
      <c r="I68" s="891">
        <v>0</v>
      </c>
      <c r="J68" s="891">
        <v>0</v>
      </c>
      <c r="K68" s="891">
        <v>0</v>
      </c>
      <c r="L68" s="891">
        <v>0</v>
      </c>
      <c r="M68" s="891">
        <v>0</v>
      </c>
    </row>
    <row r="69" spans="1:13" ht="12">
      <c r="A69" s="835" t="s">
        <v>830</v>
      </c>
      <c r="B69" s="836" t="s">
        <v>831</v>
      </c>
      <c r="C69" s="891"/>
      <c r="D69" s="891"/>
      <c r="E69" s="891"/>
      <c r="F69" s="891"/>
      <c r="G69" s="891"/>
      <c r="H69" s="891"/>
      <c r="I69" s="891"/>
      <c r="J69" s="891"/>
      <c r="K69" s="891"/>
      <c r="L69" s="891"/>
      <c r="M69" s="891"/>
    </row>
    <row r="70" spans="1:13" ht="12">
      <c r="A70" s="835" t="s">
        <v>686</v>
      </c>
      <c r="B70" s="836" t="s">
        <v>687</v>
      </c>
      <c r="C70" s="891">
        <v>0</v>
      </c>
      <c r="D70" s="891">
        <v>80297.259999999995</v>
      </c>
      <c r="E70" s="891">
        <v>96476.92</v>
      </c>
      <c r="F70" s="891">
        <v>100318.68</v>
      </c>
      <c r="G70" s="891">
        <v>100222.52</v>
      </c>
      <c r="H70" s="891">
        <v>93702.58</v>
      </c>
      <c r="I70" s="891">
        <v>100857.21</v>
      </c>
      <c r="J70" s="891">
        <v>97319.23</v>
      </c>
      <c r="K70" s="891">
        <v>95583.92</v>
      </c>
      <c r="L70" s="891">
        <v>90875.34</v>
      </c>
      <c r="M70" s="891">
        <v>855653.66</v>
      </c>
    </row>
    <row r="71" spans="1:13" ht="12">
      <c r="A71" s="835" t="s">
        <v>688</v>
      </c>
      <c r="B71" s="836" t="s">
        <v>689</v>
      </c>
      <c r="C71" s="891">
        <v>0</v>
      </c>
      <c r="D71" s="891">
        <v>1442.47</v>
      </c>
      <c r="E71" s="891">
        <v>1377.65</v>
      </c>
      <c r="F71" s="891">
        <v>971.07</v>
      </c>
      <c r="G71" s="891">
        <v>1134.74</v>
      </c>
      <c r="H71" s="891">
        <v>1115.51</v>
      </c>
      <c r="I71" s="891">
        <v>471.2</v>
      </c>
      <c r="J71" s="891">
        <v>673.92</v>
      </c>
      <c r="K71" s="891">
        <v>5734.86</v>
      </c>
      <c r="L71" s="891">
        <v>7443.12</v>
      </c>
      <c r="M71" s="891">
        <v>20364.54</v>
      </c>
    </row>
    <row r="72" spans="1:13" ht="12">
      <c r="A72" s="835" t="s">
        <v>832</v>
      </c>
      <c r="B72" s="836" t="s">
        <v>833</v>
      </c>
      <c r="C72" s="891">
        <v>0</v>
      </c>
      <c r="D72" s="891">
        <v>0</v>
      </c>
      <c r="E72" s="891">
        <v>235557.09</v>
      </c>
      <c r="F72" s="891">
        <v>292090.78999999998</v>
      </c>
      <c r="G72" s="891">
        <v>292090.78999999998</v>
      </c>
      <c r="H72" s="891">
        <v>273246.21999999997</v>
      </c>
      <c r="I72" s="891">
        <v>292090.78999999998</v>
      </c>
      <c r="J72" s="891">
        <v>282668.51</v>
      </c>
      <c r="K72" s="891">
        <v>292090.78999999998</v>
      </c>
      <c r="L72" s="891">
        <v>282668.51</v>
      </c>
      <c r="M72" s="891">
        <v>2242503.4900000002</v>
      </c>
    </row>
    <row r="73" spans="1:13" ht="12">
      <c r="A73" s="835" t="s">
        <v>834</v>
      </c>
      <c r="B73" s="836" t="s">
        <v>835</v>
      </c>
      <c r="C73" s="891">
        <v>0</v>
      </c>
      <c r="D73" s="891">
        <v>0</v>
      </c>
      <c r="E73" s="891">
        <v>0</v>
      </c>
      <c r="F73" s="891">
        <v>-71326.990000000005</v>
      </c>
      <c r="G73" s="891">
        <v>-39364.620000000003</v>
      </c>
      <c r="H73" s="891">
        <v>-54839.89</v>
      </c>
      <c r="I73" s="891">
        <v>-37035.72</v>
      </c>
      <c r="J73" s="891">
        <v>-37292.15</v>
      </c>
      <c r="K73" s="891">
        <v>-50962.55</v>
      </c>
      <c r="L73" s="891">
        <v>-32372.05</v>
      </c>
      <c r="M73" s="891">
        <v>-323193.96999999997</v>
      </c>
    </row>
    <row r="74" spans="1:13" ht="12">
      <c r="A74" s="835" t="s">
        <v>836</v>
      </c>
      <c r="B74" s="836" t="s">
        <v>837</v>
      </c>
      <c r="C74" s="891">
        <v>0</v>
      </c>
      <c r="D74" s="891">
        <v>5615.53</v>
      </c>
      <c r="E74" s="891">
        <v>6738.63</v>
      </c>
      <c r="F74" s="891">
        <v>10892.18</v>
      </c>
      <c r="G74" s="891">
        <v>8379.49</v>
      </c>
      <c r="H74" s="891">
        <v>7838.88</v>
      </c>
      <c r="I74" s="891">
        <v>8379.5</v>
      </c>
      <c r="J74" s="891">
        <v>10657.12</v>
      </c>
      <c r="K74" s="891">
        <v>8379.5</v>
      </c>
      <c r="L74" s="891">
        <v>8109.18</v>
      </c>
      <c r="M74" s="891">
        <v>74990.009999999995</v>
      </c>
    </row>
    <row r="75" spans="1:13" ht="12">
      <c r="A75" s="835" t="s">
        <v>838</v>
      </c>
      <c r="B75" s="836" t="s">
        <v>839</v>
      </c>
      <c r="C75" s="891">
        <v>0</v>
      </c>
      <c r="D75" s="891">
        <v>0</v>
      </c>
      <c r="E75" s="891">
        <v>4671.2299999999996</v>
      </c>
      <c r="F75" s="891">
        <v>2632.88</v>
      </c>
      <c r="G75" s="891">
        <v>2632.88</v>
      </c>
      <c r="H75" s="891">
        <v>2463.0100000000002</v>
      </c>
      <c r="I75" s="891">
        <v>2632.88</v>
      </c>
      <c r="J75" s="891">
        <v>0</v>
      </c>
      <c r="K75" s="891">
        <v>2632.88</v>
      </c>
      <c r="L75" s="891">
        <v>2547.9499999999998</v>
      </c>
      <c r="M75" s="891">
        <v>20213.71</v>
      </c>
    </row>
    <row r="76" spans="1:13" ht="12">
      <c r="A76" s="835" t="s">
        <v>840</v>
      </c>
      <c r="B76" s="836" t="s">
        <v>841</v>
      </c>
      <c r="C76" s="891">
        <v>0</v>
      </c>
      <c r="D76" s="891">
        <v>230000</v>
      </c>
      <c r="E76" s="891">
        <v>0</v>
      </c>
      <c r="F76" s="891">
        <v>0</v>
      </c>
      <c r="G76" s="891">
        <v>0</v>
      </c>
      <c r="H76" s="891">
        <v>0</v>
      </c>
      <c r="I76" s="891">
        <v>0</v>
      </c>
      <c r="J76" s="891">
        <v>0</v>
      </c>
      <c r="K76" s="891">
        <v>0</v>
      </c>
      <c r="L76" s="891">
        <v>0</v>
      </c>
      <c r="M76" s="891">
        <v>230000</v>
      </c>
    </row>
    <row r="77" spans="1:13" ht="12">
      <c r="A77" s="835" t="s">
        <v>709</v>
      </c>
      <c r="B77" s="836" t="s">
        <v>842</v>
      </c>
      <c r="C77" s="891">
        <v>0</v>
      </c>
      <c r="D77" s="891">
        <v>317355.26</v>
      </c>
      <c r="E77" s="891">
        <v>344821.52</v>
      </c>
      <c r="F77" s="891">
        <v>335578.61</v>
      </c>
      <c r="G77" s="891">
        <v>365095.8</v>
      </c>
      <c r="H77" s="891">
        <v>323526.31</v>
      </c>
      <c r="I77" s="891">
        <v>367395.86</v>
      </c>
      <c r="J77" s="891">
        <v>354026.63</v>
      </c>
      <c r="K77" s="891">
        <v>353459.4</v>
      </c>
      <c r="L77" s="891">
        <v>359272.05</v>
      </c>
      <c r="M77" s="891">
        <v>3120531.44</v>
      </c>
    </row>
    <row r="78" spans="1:13" ht="12">
      <c r="A78" s="835" t="s">
        <v>843</v>
      </c>
      <c r="B78" s="836" t="s">
        <v>844</v>
      </c>
      <c r="C78" s="891"/>
      <c r="D78" s="891"/>
      <c r="E78" s="891"/>
      <c r="F78" s="891"/>
      <c r="G78" s="891"/>
      <c r="H78" s="891"/>
      <c r="I78" s="891"/>
      <c r="J78" s="891"/>
      <c r="K78" s="891"/>
      <c r="L78" s="891"/>
      <c r="M78" s="891"/>
    </row>
    <row r="79" spans="1:13" ht="12">
      <c r="A79" s="835" t="s">
        <v>845</v>
      </c>
      <c r="B79" s="836" t="s">
        <v>846</v>
      </c>
      <c r="C79" s="891">
        <v>0</v>
      </c>
      <c r="D79" s="891">
        <v>3549510</v>
      </c>
      <c r="E79" s="891">
        <v>388800</v>
      </c>
      <c r="F79" s="891">
        <v>963992.14</v>
      </c>
      <c r="G79" s="891">
        <v>118235.95</v>
      </c>
      <c r="H79" s="891">
        <v>-75231.429999999993</v>
      </c>
      <c r="I79" s="891">
        <v>0</v>
      </c>
      <c r="J79" s="891">
        <v>0</v>
      </c>
      <c r="K79" s="891">
        <v>0</v>
      </c>
      <c r="L79" s="891">
        <v>0</v>
      </c>
      <c r="M79" s="891">
        <v>4945306.66</v>
      </c>
    </row>
    <row r="80" spans="1:13" ht="12">
      <c r="A80" s="835" t="s">
        <v>847</v>
      </c>
      <c r="B80" s="836" t="s">
        <v>848</v>
      </c>
      <c r="C80" s="891">
        <v>0</v>
      </c>
      <c r="D80" s="891">
        <v>0</v>
      </c>
      <c r="E80" s="891">
        <v>0</v>
      </c>
      <c r="F80" s="891">
        <v>0</v>
      </c>
      <c r="G80" s="891">
        <v>0</v>
      </c>
      <c r="H80" s="891">
        <v>0</v>
      </c>
      <c r="I80" s="891">
        <v>0</v>
      </c>
      <c r="J80" s="891">
        <v>0</v>
      </c>
      <c r="K80" s="891">
        <v>0</v>
      </c>
      <c r="L80" s="891">
        <v>769005.83</v>
      </c>
      <c r="M80" s="891">
        <v>769005.83</v>
      </c>
    </row>
    <row r="81" spans="1:13" ht="12">
      <c r="A81" s="835" t="s">
        <v>709</v>
      </c>
      <c r="B81" s="836" t="s">
        <v>849</v>
      </c>
      <c r="C81" s="891">
        <v>0</v>
      </c>
      <c r="D81" s="891">
        <v>3549510</v>
      </c>
      <c r="E81" s="891">
        <v>388800</v>
      </c>
      <c r="F81" s="891">
        <v>963992.14</v>
      </c>
      <c r="G81" s="891">
        <v>118235.95</v>
      </c>
      <c r="H81" s="891">
        <v>-75231.429999999993</v>
      </c>
      <c r="I81" s="891">
        <v>0</v>
      </c>
      <c r="J81" s="891">
        <v>0</v>
      </c>
      <c r="K81" s="891">
        <v>0</v>
      </c>
      <c r="L81" s="891">
        <v>769005.83</v>
      </c>
      <c r="M81" s="891">
        <v>5714312.4900000002</v>
      </c>
    </row>
    <row r="82" spans="1:13" ht="12">
      <c r="A82" s="835" t="s">
        <v>850</v>
      </c>
      <c r="B82" s="836" t="s">
        <v>851</v>
      </c>
      <c r="C82" s="891">
        <v>0</v>
      </c>
      <c r="D82" s="891">
        <v>267853.93</v>
      </c>
      <c r="E82" s="891">
        <v>-215917.81</v>
      </c>
      <c r="F82" s="891">
        <v>21838.49</v>
      </c>
      <c r="G82" s="891">
        <v>154069.15</v>
      </c>
      <c r="H82" s="891">
        <v>61818.54</v>
      </c>
      <c r="I82" s="891">
        <v>-109556.58</v>
      </c>
      <c r="J82" s="891">
        <v>28934.42</v>
      </c>
      <c r="K82" s="891">
        <v>119221.3</v>
      </c>
      <c r="L82" s="891">
        <v>73278.23</v>
      </c>
      <c r="M82" s="891">
        <v>401539.67</v>
      </c>
    </row>
    <row r="83" spans="1:13" ht="12">
      <c r="A83" s="835" t="s">
        <v>709</v>
      </c>
      <c r="B83" s="836" t="s">
        <v>852</v>
      </c>
      <c r="C83" s="891">
        <v>0</v>
      </c>
      <c r="D83" s="891">
        <v>4216856.9000000004</v>
      </c>
      <c r="E83" s="891">
        <v>620694.03</v>
      </c>
      <c r="F83" s="891">
        <v>1423900.28</v>
      </c>
      <c r="G83" s="891">
        <v>726703.54</v>
      </c>
      <c r="H83" s="891">
        <v>421916.9</v>
      </c>
      <c r="I83" s="891">
        <v>337774.4</v>
      </c>
      <c r="J83" s="891">
        <v>475093.91</v>
      </c>
      <c r="K83" s="891">
        <v>565951.03</v>
      </c>
      <c r="L83" s="891">
        <v>1292711.68</v>
      </c>
      <c r="M83" s="891">
        <v>10081602.67</v>
      </c>
    </row>
    <row r="84" spans="1:13" ht="12">
      <c r="A84" s="835" t="s">
        <v>709</v>
      </c>
      <c r="B84" s="836"/>
      <c r="C84" s="891"/>
      <c r="D84" s="891"/>
      <c r="E84" s="891"/>
      <c r="F84" s="891"/>
      <c r="G84" s="891"/>
      <c r="H84" s="891"/>
      <c r="I84" s="891"/>
      <c r="J84" s="891"/>
      <c r="K84" s="891"/>
      <c r="L84" s="891"/>
      <c r="M84" s="891"/>
    </row>
    <row r="85" spans="1:13" ht="12">
      <c r="A85" s="835" t="s">
        <v>709</v>
      </c>
      <c r="B85" s="836" t="s">
        <v>853</v>
      </c>
      <c r="C85" s="891">
        <v>0</v>
      </c>
      <c r="D85" s="891">
        <v>-3881230.22</v>
      </c>
      <c r="E85" s="891">
        <v>-181853.22</v>
      </c>
      <c r="F85" s="891">
        <v>-974197.67</v>
      </c>
      <c r="G85" s="891">
        <v>-284631.31</v>
      </c>
      <c r="H85" s="891">
        <v>3111</v>
      </c>
      <c r="I85" s="891">
        <v>96297.82</v>
      </c>
      <c r="J85" s="891">
        <v>-41021.769999999997</v>
      </c>
      <c r="K85" s="891">
        <v>-131878.78</v>
      </c>
      <c r="L85" s="891">
        <v>-85687.02</v>
      </c>
      <c r="M85" s="891">
        <v>-5481091.1699999999</v>
      </c>
    </row>
    <row r="86" spans="1:13" ht="12">
      <c r="A86" s="835" t="s">
        <v>709</v>
      </c>
      <c r="B86" s="836"/>
      <c r="C86" s="891"/>
      <c r="D86" s="891"/>
      <c r="E86" s="891"/>
      <c r="F86" s="891"/>
      <c r="G86" s="891"/>
      <c r="H86" s="891"/>
      <c r="I86" s="891"/>
      <c r="J86" s="891"/>
      <c r="K86" s="891"/>
      <c r="L86" s="891"/>
      <c r="M86" s="891"/>
    </row>
    <row r="87" spans="1:13" ht="12">
      <c r="A87" s="835" t="s">
        <v>854</v>
      </c>
      <c r="B87" s="836" t="s">
        <v>855</v>
      </c>
      <c r="C87" s="891"/>
      <c r="D87" s="891"/>
      <c r="E87" s="891"/>
      <c r="F87" s="891"/>
      <c r="G87" s="891"/>
      <c r="H87" s="891"/>
      <c r="I87" s="891"/>
      <c r="J87" s="891"/>
      <c r="K87" s="891"/>
      <c r="L87" s="891"/>
      <c r="M87" s="891"/>
    </row>
    <row r="88" spans="1:13" ht="12">
      <c r="A88" s="835" t="s">
        <v>856</v>
      </c>
      <c r="B88" s="836" t="s">
        <v>857</v>
      </c>
      <c r="C88" s="891"/>
      <c r="D88" s="891"/>
      <c r="E88" s="891"/>
      <c r="F88" s="891"/>
      <c r="G88" s="891"/>
      <c r="H88" s="891"/>
      <c r="I88" s="891"/>
      <c r="J88" s="891"/>
      <c r="K88" s="891"/>
      <c r="L88" s="891"/>
      <c r="M88" s="891"/>
    </row>
    <row r="89" spans="1:13" ht="12">
      <c r="A89" s="835" t="s">
        <v>858</v>
      </c>
      <c r="B89" s="836" t="s">
        <v>859</v>
      </c>
      <c r="C89" s="891"/>
      <c r="D89" s="891"/>
      <c r="E89" s="891"/>
      <c r="F89" s="891"/>
      <c r="G89" s="891"/>
      <c r="H89" s="891"/>
      <c r="I89" s="891"/>
      <c r="J89" s="891"/>
      <c r="K89" s="891"/>
      <c r="L89" s="891"/>
      <c r="M89" s="891"/>
    </row>
    <row r="90" spans="1:13" ht="12">
      <c r="A90" s="835" t="s">
        <v>860</v>
      </c>
      <c r="B90" s="836" t="s">
        <v>861</v>
      </c>
      <c r="C90" s="891">
        <v>0</v>
      </c>
      <c r="D90" s="891">
        <v>0</v>
      </c>
      <c r="E90" s="891">
        <v>21966.080000000002</v>
      </c>
      <c r="F90" s="891">
        <v>1308.98</v>
      </c>
      <c r="G90" s="891">
        <v>1313.84</v>
      </c>
      <c r="H90" s="891">
        <v>0</v>
      </c>
      <c r="I90" s="891">
        <v>2246.38</v>
      </c>
      <c r="J90" s="891">
        <v>1430.23</v>
      </c>
      <c r="K90" s="891">
        <v>1645.1</v>
      </c>
      <c r="L90" s="891">
        <v>1751.66</v>
      </c>
      <c r="M90" s="891">
        <v>31662.27</v>
      </c>
    </row>
    <row r="91" spans="1:13" ht="12">
      <c r="A91" s="835" t="s">
        <v>709</v>
      </c>
      <c r="B91" s="836" t="s">
        <v>862</v>
      </c>
      <c r="C91" s="891">
        <v>0</v>
      </c>
      <c r="D91" s="891">
        <v>0</v>
      </c>
      <c r="E91" s="891">
        <v>21966.080000000002</v>
      </c>
      <c r="F91" s="891">
        <v>1308.98</v>
      </c>
      <c r="G91" s="891">
        <v>1313.84</v>
      </c>
      <c r="H91" s="891">
        <v>0</v>
      </c>
      <c r="I91" s="891">
        <v>2246.38</v>
      </c>
      <c r="J91" s="891">
        <v>1430.23</v>
      </c>
      <c r="K91" s="891">
        <v>1645.1</v>
      </c>
      <c r="L91" s="891">
        <v>1751.66</v>
      </c>
      <c r="M91" s="891">
        <v>31662.27</v>
      </c>
    </row>
    <row r="92" spans="1:13" ht="12">
      <c r="A92" s="835" t="s">
        <v>709</v>
      </c>
      <c r="B92" s="836"/>
      <c r="C92" s="891"/>
      <c r="D92" s="891"/>
      <c r="E92" s="891"/>
      <c r="F92" s="891"/>
      <c r="G92" s="891"/>
      <c r="H92" s="891"/>
      <c r="I92" s="891"/>
      <c r="J92" s="891"/>
      <c r="K92" s="891"/>
      <c r="L92" s="891"/>
      <c r="M92" s="891"/>
    </row>
    <row r="93" spans="1:13" ht="12">
      <c r="A93" s="835" t="s">
        <v>863</v>
      </c>
      <c r="B93" s="836" t="s">
        <v>864</v>
      </c>
      <c r="C93" s="891"/>
      <c r="D93" s="891"/>
      <c r="E93" s="891"/>
      <c r="F93" s="891"/>
      <c r="G93" s="891"/>
      <c r="H93" s="891"/>
      <c r="I93" s="891"/>
      <c r="J93" s="891"/>
      <c r="K93" s="891"/>
      <c r="L93" s="891"/>
      <c r="M93" s="891"/>
    </row>
    <row r="94" spans="1:13" ht="12">
      <c r="A94" s="835" t="s">
        <v>865</v>
      </c>
      <c r="B94" s="836" t="s">
        <v>866</v>
      </c>
      <c r="C94" s="891">
        <v>-7378.85</v>
      </c>
      <c r="D94" s="891">
        <v>0</v>
      </c>
      <c r="E94" s="891">
        <v>0</v>
      </c>
      <c r="F94" s="891">
        <v>0</v>
      </c>
      <c r="G94" s="891">
        <v>0</v>
      </c>
      <c r="H94" s="891">
        <v>0</v>
      </c>
      <c r="I94" s="891">
        <v>0</v>
      </c>
      <c r="J94" s="891">
        <v>0</v>
      </c>
      <c r="K94" s="891">
        <v>0</v>
      </c>
      <c r="L94" s="891">
        <v>0</v>
      </c>
      <c r="M94" s="891">
        <v>-7378.85</v>
      </c>
    </row>
    <row r="95" spans="1:13" ht="12">
      <c r="A95" s="835" t="s">
        <v>709</v>
      </c>
      <c r="B95" s="836" t="s">
        <v>867</v>
      </c>
      <c r="C95" s="891">
        <v>-7378.85</v>
      </c>
      <c r="D95" s="891">
        <v>0</v>
      </c>
      <c r="E95" s="891">
        <v>0</v>
      </c>
      <c r="F95" s="891">
        <v>0</v>
      </c>
      <c r="G95" s="891">
        <v>0</v>
      </c>
      <c r="H95" s="891">
        <v>0</v>
      </c>
      <c r="I95" s="891">
        <v>0</v>
      </c>
      <c r="J95" s="891">
        <v>0</v>
      </c>
      <c r="K95" s="891">
        <v>0</v>
      </c>
      <c r="L95" s="891">
        <v>0</v>
      </c>
      <c r="M95" s="891">
        <v>-7378.85</v>
      </c>
    </row>
    <row r="96" spans="1:13" ht="12">
      <c r="A96" s="835" t="s">
        <v>709</v>
      </c>
      <c r="B96" s="836"/>
      <c r="C96" s="891"/>
      <c r="D96" s="891"/>
      <c r="E96" s="891"/>
      <c r="F96" s="891"/>
      <c r="G96" s="891"/>
      <c r="H96" s="891"/>
      <c r="I96" s="891"/>
      <c r="J96" s="891"/>
      <c r="K96" s="891"/>
      <c r="L96" s="891"/>
      <c r="M96" s="891"/>
    </row>
    <row r="97" spans="1:13" ht="12">
      <c r="A97" s="835" t="s">
        <v>709</v>
      </c>
      <c r="B97" s="836" t="s">
        <v>868</v>
      </c>
      <c r="C97" s="891">
        <v>7378.85</v>
      </c>
      <c r="D97" s="891">
        <v>-3881230.22</v>
      </c>
      <c r="E97" s="891">
        <v>-159887.14000000001</v>
      </c>
      <c r="F97" s="891">
        <v>-972888.69</v>
      </c>
      <c r="G97" s="891">
        <v>-283317.46999999997</v>
      </c>
      <c r="H97" s="891">
        <v>3111</v>
      </c>
      <c r="I97" s="891">
        <v>98544.2</v>
      </c>
      <c r="J97" s="891">
        <v>-39591.54</v>
      </c>
      <c r="K97" s="891">
        <v>-130233.68</v>
      </c>
      <c r="L97" s="891">
        <v>-83935.360000000001</v>
      </c>
      <c r="M97" s="891">
        <v>-5442050.0499999998</v>
      </c>
    </row>
  </sheetData>
  <phoneticPr fontId="3" type="noConversion"/>
  <printOptions horizontalCentered="1"/>
  <pageMargins left="0.47244094488188981" right="0.38958333333333334" top="1.3875" bottom="0.74803149606299213" header="0.39370078740157483" footer="0.39370078740157483"/>
  <pageSetup paperSize="9" scale="49" firstPageNumber="30" orientation="portrait" useFirstPageNumber="1" r:id="rId1"/>
  <headerFooter scaleWithDoc="0">
    <oddHeader>&amp;L&amp;20
&amp;A&amp;R&amp;G</oddHeader>
    <oddFooter>&amp;C&amp;F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2"/>
  <sheetViews>
    <sheetView view="pageBreakPreview" zoomScaleNormal="100" zoomScaleSheetLayoutView="100" workbookViewId="0"/>
  </sheetViews>
  <sheetFormatPr defaultColWidth="9" defaultRowHeight="12.75"/>
  <cols>
    <col min="1" max="1" width="10.7109375" style="904" customWidth="1"/>
    <col min="2" max="2" width="25.7109375" style="904" customWidth="1"/>
    <col min="3" max="4" width="12.7109375" style="905" customWidth="1"/>
    <col min="5" max="10" width="12.7109375" style="904" customWidth="1"/>
    <col min="11" max="14" width="13.42578125" style="899" customWidth="1"/>
    <col min="15" max="15" width="13.42578125" style="899" bestFit="1" customWidth="1"/>
    <col min="16" max="16" width="9" style="899"/>
    <col min="17" max="17" width="14.42578125" style="899" bestFit="1" customWidth="1"/>
    <col min="18" max="18" width="12.7109375" style="899" bestFit="1" customWidth="1"/>
    <col min="19" max="48" width="9" style="899"/>
    <col min="49" max="238" width="9" style="896"/>
    <col min="239" max="239" width="11.42578125" style="896" customWidth="1"/>
    <col min="240" max="240" width="30.42578125" style="896" bestFit="1" customWidth="1"/>
    <col min="241" max="241" width="12" style="896" bestFit="1" customWidth="1"/>
    <col min="242" max="242" width="15.42578125" style="896" customWidth="1"/>
    <col min="243" max="245" width="12.7109375" style="896" customWidth="1"/>
    <col min="246" max="494" width="9" style="896"/>
    <col min="495" max="495" width="11.42578125" style="896" customWidth="1"/>
    <col min="496" max="496" width="30.42578125" style="896" bestFit="1" customWidth="1"/>
    <col min="497" max="497" width="12" style="896" bestFit="1" customWidth="1"/>
    <col min="498" max="498" width="15.42578125" style="896" customWidth="1"/>
    <col min="499" max="501" width="12.7109375" style="896" customWidth="1"/>
    <col min="502" max="750" width="9" style="896"/>
    <col min="751" max="751" width="11.42578125" style="896" customWidth="1"/>
    <col min="752" max="752" width="30.42578125" style="896" bestFit="1" customWidth="1"/>
    <col min="753" max="753" width="12" style="896" bestFit="1" customWidth="1"/>
    <col min="754" max="754" width="15.42578125" style="896" customWidth="1"/>
    <col min="755" max="757" width="12.7109375" style="896" customWidth="1"/>
    <col min="758" max="1006" width="9" style="896"/>
    <col min="1007" max="1007" width="11.42578125" style="896" customWidth="1"/>
    <col min="1008" max="1008" width="30.42578125" style="896" bestFit="1" customWidth="1"/>
    <col min="1009" max="1009" width="12" style="896" bestFit="1" customWidth="1"/>
    <col min="1010" max="1010" width="15.42578125" style="896" customWidth="1"/>
    <col min="1011" max="1013" width="12.7109375" style="896" customWidth="1"/>
    <col min="1014" max="1262" width="9" style="896"/>
    <col min="1263" max="1263" width="11.42578125" style="896" customWidth="1"/>
    <col min="1264" max="1264" width="30.42578125" style="896" bestFit="1" customWidth="1"/>
    <col min="1265" max="1265" width="12" style="896" bestFit="1" customWidth="1"/>
    <col min="1266" max="1266" width="15.42578125" style="896" customWidth="1"/>
    <col min="1267" max="1269" width="12.7109375" style="896" customWidth="1"/>
    <col min="1270" max="1518" width="9" style="896"/>
    <col min="1519" max="1519" width="11.42578125" style="896" customWidth="1"/>
    <col min="1520" max="1520" width="30.42578125" style="896" bestFit="1" customWidth="1"/>
    <col min="1521" max="1521" width="12" style="896" bestFit="1" customWidth="1"/>
    <col min="1522" max="1522" width="15.42578125" style="896" customWidth="1"/>
    <col min="1523" max="1525" width="12.7109375" style="896" customWidth="1"/>
    <col min="1526" max="1774" width="9" style="896"/>
    <col min="1775" max="1775" width="11.42578125" style="896" customWidth="1"/>
    <col min="1776" max="1776" width="30.42578125" style="896" bestFit="1" customWidth="1"/>
    <col min="1777" max="1777" width="12" style="896" bestFit="1" customWidth="1"/>
    <col min="1778" max="1778" width="15.42578125" style="896" customWidth="1"/>
    <col min="1779" max="1781" width="12.7109375" style="896" customWidth="1"/>
    <col min="1782" max="2030" width="9" style="896"/>
    <col min="2031" max="2031" width="11.42578125" style="896" customWidth="1"/>
    <col min="2032" max="2032" width="30.42578125" style="896" bestFit="1" customWidth="1"/>
    <col min="2033" max="2033" width="12" style="896" bestFit="1" customWidth="1"/>
    <col min="2034" max="2034" width="15.42578125" style="896" customWidth="1"/>
    <col min="2035" max="2037" width="12.7109375" style="896" customWidth="1"/>
    <col min="2038" max="2286" width="9" style="896"/>
    <col min="2287" max="2287" width="11.42578125" style="896" customWidth="1"/>
    <col min="2288" max="2288" width="30.42578125" style="896" bestFit="1" customWidth="1"/>
    <col min="2289" max="2289" width="12" style="896" bestFit="1" customWidth="1"/>
    <col min="2290" max="2290" width="15.42578125" style="896" customWidth="1"/>
    <col min="2291" max="2293" width="12.7109375" style="896" customWidth="1"/>
    <col min="2294" max="2542" width="9" style="896"/>
    <col min="2543" max="2543" width="11.42578125" style="896" customWidth="1"/>
    <col min="2544" max="2544" width="30.42578125" style="896" bestFit="1" customWidth="1"/>
    <col min="2545" max="2545" width="12" style="896" bestFit="1" customWidth="1"/>
    <col min="2546" max="2546" width="15.42578125" style="896" customWidth="1"/>
    <col min="2547" max="2549" width="12.7109375" style="896" customWidth="1"/>
    <col min="2550" max="2798" width="9" style="896"/>
    <col min="2799" max="2799" width="11.42578125" style="896" customWidth="1"/>
    <col min="2800" max="2800" width="30.42578125" style="896" bestFit="1" customWidth="1"/>
    <col min="2801" max="2801" width="12" style="896" bestFit="1" customWidth="1"/>
    <col min="2802" max="2802" width="15.42578125" style="896" customWidth="1"/>
    <col min="2803" max="2805" width="12.7109375" style="896" customWidth="1"/>
    <col min="2806" max="3054" width="9" style="896"/>
    <col min="3055" max="3055" width="11.42578125" style="896" customWidth="1"/>
    <col min="3056" max="3056" width="30.42578125" style="896" bestFit="1" customWidth="1"/>
    <col min="3057" max="3057" width="12" style="896" bestFit="1" customWidth="1"/>
    <col min="3058" max="3058" width="15.42578125" style="896" customWidth="1"/>
    <col min="3059" max="3061" width="12.7109375" style="896" customWidth="1"/>
    <col min="3062" max="3310" width="9" style="896"/>
    <col min="3311" max="3311" width="11.42578125" style="896" customWidth="1"/>
    <col min="3312" max="3312" width="30.42578125" style="896" bestFit="1" customWidth="1"/>
    <col min="3313" max="3313" width="12" style="896" bestFit="1" customWidth="1"/>
    <col min="3314" max="3314" width="15.42578125" style="896" customWidth="1"/>
    <col min="3315" max="3317" width="12.7109375" style="896" customWidth="1"/>
    <col min="3318" max="3566" width="9" style="896"/>
    <col min="3567" max="3567" width="11.42578125" style="896" customWidth="1"/>
    <col min="3568" max="3568" width="30.42578125" style="896" bestFit="1" customWidth="1"/>
    <col min="3569" max="3569" width="12" style="896" bestFit="1" customWidth="1"/>
    <col min="3570" max="3570" width="15.42578125" style="896" customWidth="1"/>
    <col min="3571" max="3573" width="12.7109375" style="896" customWidth="1"/>
    <col min="3574" max="3822" width="9" style="896"/>
    <col min="3823" max="3823" width="11.42578125" style="896" customWidth="1"/>
    <col min="3824" max="3824" width="30.42578125" style="896" bestFit="1" customWidth="1"/>
    <col min="3825" max="3825" width="12" style="896" bestFit="1" customWidth="1"/>
    <col min="3826" max="3826" width="15.42578125" style="896" customWidth="1"/>
    <col min="3827" max="3829" width="12.7109375" style="896" customWidth="1"/>
    <col min="3830" max="4078" width="9" style="896"/>
    <col min="4079" max="4079" width="11.42578125" style="896" customWidth="1"/>
    <col min="4080" max="4080" width="30.42578125" style="896" bestFit="1" customWidth="1"/>
    <col min="4081" max="4081" width="12" style="896" bestFit="1" customWidth="1"/>
    <col min="4082" max="4082" width="15.42578125" style="896" customWidth="1"/>
    <col min="4083" max="4085" width="12.7109375" style="896" customWidth="1"/>
    <col min="4086" max="4334" width="9" style="896"/>
    <col min="4335" max="4335" width="11.42578125" style="896" customWidth="1"/>
    <col min="4336" max="4336" width="30.42578125" style="896" bestFit="1" customWidth="1"/>
    <col min="4337" max="4337" width="12" style="896" bestFit="1" customWidth="1"/>
    <col min="4338" max="4338" width="15.42578125" style="896" customWidth="1"/>
    <col min="4339" max="4341" width="12.7109375" style="896" customWidth="1"/>
    <col min="4342" max="4590" width="9" style="896"/>
    <col min="4591" max="4591" width="11.42578125" style="896" customWidth="1"/>
    <col min="4592" max="4592" width="30.42578125" style="896" bestFit="1" customWidth="1"/>
    <col min="4593" max="4593" width="12" style="896" bestFit="1" customWidth="1"/>
    <col min="4594" max="4594" width="15.42578125" style="896" customWidth="1"/>
    <col min="4595" max="4597" width="12.7109375" style="896" customWidth="1"/>
    <col min="4598" max="4846" width="9" style="896"/>
    <col min="4847" max="4847" width="11.42578125" style="896" customWidth="1"/>
    <col min="4848" max="4848" width="30.42578125" style="896" bestFit="1" customWidth="1"/>
    <col min="4849" max="4849" width="12" style="896" bestFit="1" customWidth="1"/>
    <col min="4850" max="4850" width="15.42578125" style="896" customWidth="1"/>
    <col min="4851" max="4853" width="12.7109375" style="896" customWidth="1"/>
    <col min="4854" max="5102" width="9" style="896"/>
    <col min="5103" max="5103" width="11.42578125" style="896" customWidth="1"/>
    <col min="5104" max="5104" width="30.42578125" style="896" bestFit="1" customWidth="1"/>
    <col min="5105" max="5105" width="12" style="896" bestFit="1" customWidth="1"/>
    <col min="5106" max="5106" width="15.42578125" style="896" customWidth="1"/>
    <col min="5107" max="5109" width="12.7109375" style="896" customWidth="1"/>
    <col min="5110" max="5358" width="9" style="896"/>
    <col min="5359" max="5359" width="11.42578125" style="896" customWidth="1"/>
    <col min="5360" max="5360" width="30.42578125" style="896" bestFit="1" customWidth="1"/>
    <col min="5361" max="5361" width="12" style="896" bestFit="1" customWidth="1"/>
    <col min="5362" max="5362" width="15.42578125" style="896" customWidth="1"/>
    <col min="5363" max="5365" width="12.7109375" style="896" customWidth="1"/>
    <col min="5366" max="5614" width="9" style="896"/>
    <col min="5615" max="5615" width="11.42578125" style="896" customWidth="1"/>
    <col min="5616" max="5616" width="30.42578125" style="896" bestFit="1" customWidth="1"/>
    <col min="5617" max="5617" width="12" style="896" bestFit="1" customWidth="1"/>
    <col min="5618" max="5618" width="15.42578125" style="896" customWidth="1"/>
    <col min="5619" max="5621" width="12.7109375" style="896" customWidth="1"/>
    <col min="5622" max="5870" width="9" style="896"/>
    <col min="5871" max="5871" width="11.42578125" style="896" customWidth="1"/>
    <col min="5872" max="5872" width="30.42578125" style="896" bestFit="1" customWidth="1"/>
    <col min="5873" max="5873" width="12" style="896" bestFit="1" customWidth="1"/>
    <col min="5874" max="5874" width="15.42578125" style="896" customWidth="1"/>
    <col min="5875" max="5877" width="12.7109375" style="896" customWidth="1"/>
    <col min="5878" max="6126" width="9" style="896"/>
    <col min="6127" max="6127" width="11.42578125" style="896" customWidth="1"/>
    <col min="6128" max="6128" width="30.42578125" style="896" bestFit="1" customWidth="1"/>
    <col min="6129" max="6129" width="12" style="896" bestFit="1" customWidth="1"/>
    <col min="6130" max="6130" width="15.42578125" style="896" customWidth="1"/>
    <col min="6131" max="6133" width="12.7109375" style="896" customWidth="1"/>
    <col min="6134" max="6382" width="9" style="896"/>
    <col min="6383" max="6383" width="11.42578125" style="896" customWidth="1"/>
    <col min="6384" max="6384" width="30.42578125" style="896" bestFit="1" customWidth="1"/>
    <col min="6385" max="6385" width="12" style="896" bestFit="1" customWidth="1"/>
    <col min="6386" max="6386" width="15.42578125" style="896" customWidth="1"/>
    <col min="6387" max="6389" width="12.7109375" style="896" customWidth="1"/>
    <col min="6390" max="6638" width="9" style="896"/>
    <col min="6639" max="6639" width="11.42578125" style="896" customWidth="1"/>
    <col min="6640" max="6640" width="30.42578125" style="896" bestFit="1" customWidth="1"/>
    <col min="6641" max="6641" width="12" style="896" bestFit="1" customWidth="1"/>
    <col min="6642" max="6642" width="15.42578125" style="896" customWidth="1"/>
    <col min="6643" max="6645" width="12.7109375" style="896" customWidth="1"/>
    <col min="6646" max="6894" width="9" style="896"/>
    <col min="6895" max="6895" width="11.42578125" style="896" customWidth="1"/>
    <col min="6896" max="6896" width="30.42578125" style="896" bestFit="1" customWidth="1"/>
    <col min="6897" max="6897" width="12" style="896" bestFit="1" customWidth="1"/>
    <col min="6898" max="6898" width="15.42578125" style="896" customWidth="1"/>
    <col min="6899" max="6901" width="12.7109375" style="896" customWidth="1"/>
    <col min="6902" max="7150" width="9" style="896"/>
    <col min="7151" max="7151" width="11.42578125" style="896" customWidth="1"/>
    <col min="7152" max="7152" width="30.42578125" style="896" bestFit="1" customWidth="1"/>
    <col min="7153" max="7153" width="12" style="896" bestFit="1" customWidth="1"/>
    <col min="7154" max="7154" width="15.42578125" style="896" customWidth="1"/>
    <col min="7155" max="7157" width="12.7109375" style="896" customWidth="1"/>
    <col min="7158" max="7406" width="9" style="896"/>
    <col min="7407" max="7407" width="11.42578125" style="896" customWidth="1"/>
    <col min="7408" max="7408" width="30.42578125" style="896" bestFit="1" customWidth="1"/>
    <col min="7409" max="7409" width="12" style="896" bestFit="1" customWidth="1"/>
    <col min="7410" max="7410" width="15.42578125" style="896" customWidth="1"/>
    <col min="7411" max="7413" width="12.7109375" style="896" customWidth="1"/>
    <col min="7414" max="7662" width="9" style="896"/>
    <col min="7663" max="7663" width="11.42578125" style="896" customWidth="1"/>
    <col min="7664" max="7664" width="30.42578125" style="896" bestFit="1" customWidth="1"/>
    <col min="7665" max="7665" width="12" style="896" bestFit="1" customWidth="1"/>
    <col min="7666" max="7666" width="15.42578125" style="896" customWidth="1"/>
    <col min="7667" max="7669" width="12.7109375" style="896" customWidth="1"/>
    <col min="7670" max="7918" width="9" style="896"/>
    <col min="7919" max="7919" width="11.42578125" style="896" customWidth="1"/>
    <col min="7920" max="7920" width="30.42578125" style="896" bestFit="1" customWidth="1"/>
    <col min="7921" max="7921" width="12" style="896" bestFit="1" customWidth="1"/>
    <col min="7922" max="7922" width="15.42578125" style="896" customWidth="1"/>
    <col min="7923" max="7925" width="12.7109375" style="896" customWidth="1"/>
    <col min="7926" max="8174" width="9" style="896"/>
    <col min="8175" max="8175" width="11.42578125" style="896" customWidth="1"/>
    <col min="8176" max="8176" width="30.42578125" style="896" bestFit="1" customWidth="1"/>
    <col min="8177" max="8177" width="12" style="896" bestFit="1" customWidth="1"/>
    <col min="8178" max="8178" width="15.42578125" style="896" customWidth="1"/>
    <col min="8179" max="8181" width="12.7109375" style="896" customWidth="1"/>
    <col min="8182" max="8430" width="9" style="896"/>
    <col min="8431" max="8431" width="11.42578125" style="896" customWidth="1"/>
    <col min="8432" max="8432" width="30.42578125" style="896" bestFit="1" customWidth="1"/>
    <col min="8433" max="8433" width="12" style="896" bestFit="1" customWidth="1"/>
    <col min="8434" max="8434" width="15.42578125" style="896" customWidth="1"/>
    <col min="8435" max="8437" width="12.7109375" style="896" customWidth="1"/>
    <col min="8438" max="8686" width="9" style="896"/>
    <col min="8687" max="8687" width="11.42578125" style="896" customWidth="1"/>
    <col min="8688" max="8688" width="30.42578125" style="896" bestFit="1" customWidth="1"/>
    <col min="8689" max="8689" width="12" style="896" bestFit="1" customWidth="1"/>
    <col min="8690" max="8690" width="15.42578125" style="896" customWidth="1"/>
    <col min="8691" max="8693" width="12.7109375" style="896" customWidth="1"/>
    <col min="8694" max="8942" width="9" style="896"/>
    <col min="8943" max="8943" width="11.42578125" style="896" customWidth="1"/>
    <col min="8944" max="8944" width="30.42578125" style="896" bestFit="1" customWidth="1"/>
    <col min="8945" max="8945" width="12" style="896" bestFit="1" customWidth="1"/>
    <col min="8946" max="8946" width="15.42578125" style="896" customWidth="1"/>
    <col min="8947" max="8949" width="12.7109375" style="896" customWidth="1"/>
    <col min="8950" max="9198" width="9" style="896"/>
    <col min="9199" max="9199" width="11.42578125" style="896" customWidth="1"/>
    <col min="9200" max="9200" width="30.42578125" style="896" bestFit="1" customWidth="1"/>
    <col min="9201" max="9201" width="12" style="896" bestFit="1" customWidth="1"/>
    <col min="9202" max="9202" width="15.42578125" style="896" customWidth="1"/>
    <col min="9203" max="9205" width="12.7109375" style="896" customWidth="1"/>
    <col min="9206" max="9454" width="9" style="896"/>
    <col min="9455" max="9455" width="11.42578125" style="896" customWidth="1"/>
    <col min="9456" max="9456" width="30.42578125" style="896" bestFit="1" customWidth="1"/>
    <col min="9457" max="9457" width="12" style="896" bestFit="1" customWidth="1"/>
    <col min="9458" max="9458" width="15.42578125" style="896" customWidth="1"/>
    <col min="9459" max="9461" width="12.7109375" style="896" customWidth="1"/>
    <col min="9462" max="9710" width="9" style="896"/>
    <col min="9711" max="9711" width="11.42578125" style="896" customWidth="1"/>
    <col min="9712" max="9712" width="30.42578125" style="896" bestFit="1" customWidth="1"/>
    <col min="9713" max="9713" width="12" style="896" bestFit="1" customWidth="1"/>
    <col min="9714" max="9714" width="15.42578125" style="896" customWidth="1"/>
    <col min="9715" max="9717" width="12.7109375" style="896" customWidth="1"/>
    <col min="9718" max="9966" width="9" style="896"/>
    <col min="9967" max="9967" width="11.42578125" style="896" customWidth="1"/>
    <col min="9968" max="9968" width="30.42578125" style="896" bestFit="1" customWidth="1"/>
    <col min="9969" max="9969" width="12" style="896" bestFit="1" customWidth="1"/>
    <col min="9970" max="9970" width="15.42578125" style="896" customWidth="1"/>
    <col min="9971" max="9973" width="12.7109375" style="896" customWidth="1"/>
    <col min="9974" max="10222" width="9" style="896"/>
    <col min="10223" max="10223" width="11.42578125" style="896" customWidth="1"/>
    <col min="10224" max="10224" width="30.42578125" style="896" bestFit="1" customWidth="1"/>
    <col min="10225" max="10225" width="12" style="896" bestFit="1" customWidth="1"/>
    <col min="10226" max="10226" width="15.42578125" style="896" customWidth="1"/>
    <col min="10227" max="10229" width="12.7109375" style="896" customWidth="1"/>
    <col min="10230" max="10478" width="9" style="896"/>
    <col min="10479" max="10479" width="11.42578125" style="896" customWidth="1"/>
    <col min="10480" max="10480" width="30.42578125" style="896" bestFit="1" customWidth="1"/>
    <col min="10481" max="10481" width="12" style="896" bestFit="1" customWidth="1"/>
    <col min="10482" max="10482" width="15.42578125" style="896" customWidth="1"/>
    <col min="10483" max="10485" width="12.7109375" style="896" customWidth="1"/>
    <col min="10486" max="10734" width="9" style="896"/>
    <col min="10735" max="10735" width="11.42578125" style="896" customWidth="1"/>
    <col min="10736" max="10736" width="30.42578125" style="896" bestFit="1" customWidth="1"/>
    <col min="10737" max="10737" width="12" style="896" bestFit="1" customWidth="1"/>
    <col min="10738" max="10738" width="15.42578125" style="896" customWidth="1"/>
    <col min="10739" max="10741" width="12.7109375" style="896" customWidth="1"/>
    <col min="10742" max="10990" width="9" style="896"/>
    <col min="10991" max="10991" width="11.42578125" style="896" customWidth="1"/>
    <col min="10992" max="10992" width="30.42578125" style="896" bestFit="1" customWidth="1"/>
    <col min="10993" max="10993" width="12" style="896" bestFit="1" customWidth="1"/>
    <col min="10994" max="10994" width="15.42578125" style="896" customWidth="1"/>
    <col min="10995" max="10997" width="12.7109375" style="896" customWidth="1"/>
    <col min="10998" max="11246" width="9" style="896"/>
    <col min="11247" max="11247" width="11.42578125" style="896" customWidth="1"/>
    <col min="11248" max="11248" width="30.42578125" style="896" bestFit="1" customWidth="1"/>
    <col min="11249" max="11249" width="12" style="896" bestFit="1" customWidth="1"/>
    <col min="11250" max="11250" width="15.42578125" style="896" customWidth="1"/>
    <col min="11251" max="11253" width="12.7109375" style="896" customWidth="1"/>
    <col min="11254" max="11502" width="9" style="896"/>
    <col min="11503" max="11503" width="11.42578125" style="896" customWidth="1"/>
    <col min="11504" max="11504" width="30.42578125" style="896" bestFit="1" customWidth="1"/>
    <col min="11505" max="11505" width="12" style="896" bestFit="1" customWidth="1"/>
    <col min="11506" max="11506" width="15.42578125" style="896" customWidth="1"/>
    <col min="11507" max="11509" width="12.7109375" style="896" customWidth="1"/>
    <col min="11510" max="11758" width="9" style="896"/>
    <col min="11759" max="11759" width="11.42578125" style="896" customWidth="1"/>
    <col min="11760" max="11760" width="30.42578125" style="896" bestFit="1" customWidth="1"/>
    <col min="11761" max="11761" width="12" style="896" bestFit="1" customWidth="1"/>
    <col min="11762" max="11762" width="15.42578125" style="896" customWidth="1"/>
    <col min="11763" max="11765" width="12.7109375" style="896" customWidth="1"/>
    <col min="11766" max="12014" width="9" style="896"/>
    <col min="12015" max="12015" width="11.42578125" style="896" customWidth="1"/>
    <col min="12016" max="12016" width="30.42578125" style="896" bestFit="1" customWidth="1"/>
    <col min="12017" max="12017" width="12" style="896" bestFit="1" customWidth="1"/>
    <col min="12018" max="12018" width="15.42578125" style="896" customWidth="1"/>
    <col min="12019" max="12021" width="12.7109375" style="896" customWidth="1"/>
    <col min="12022" max="12270" width="9" style="896"/>
    <col min="12271" max="12271" width="11.42578125" style="896" customWidth="1"/>
    <col min="12272" max="12272" width="30.42578125" style="896" bestFit="1" customWidth="1"/>
    <col min="12273" max="12273" width="12" style="896" bestFit="1" customWidth="1"/>
    <col min="12274" max="12274" width="15.42578125" style="896" customWidth="1"/>
    <col min="12275" max="12277" width="12.7109375" style="896" customWidth="1"/>
    <col min="12278" max="12526" width="9" style="896"/>
    <col min="12527" max="12527" width="11.42578125" style="896" customWidth="1"/>
    <col min="12528" max="12528" width="30.42578125" style="896" bestFit="1" customWidth="1"/>
    <col min="12529" max="12529" width="12" style="896" bestFit="1" customWidth="1"/>
    <col min="12530" max="12530" width="15.42578125" style="896" customWidth="1"/>
    <col min="12531" max="12533" width="12.7109375" style="896" customWidth="1"/>
    <col min="12534" max="12782" width="9" style="896"/>
    <col min="12783" max="12783" width="11.42578125" style="896" customWidth="1"/>
    <col min="12784" max="12784" width="30.42578125" style="896" bestFit="1" customWidth="1"/>
    <col min="12785" max="12785" width="12" style="896" bestFit="1" customWidth="1"/>
    <col min="12786" max="12786" width="15.42578125" style="896" customWidth="1"/>
    <col min="12787" max="12789" width="12.7109375" style="896" customWidth="1"/>
    <col min="12790" max="13038" width="9" style="896"/>
    <col min="13039" max="13039" width="11.42578125" style="896" customWidth="1"/>
    <col min="13040" max="13040" width="30.42578125" style="896" bestFit="1" customWidth="1"/>
    <col min="13041" max="13041" width="12" style="896" bestFit="1" customWidth="1"/>
    <col min="13042" max="13042" width="15.42578125" style="896" customWidth="1"/>
    <col min="13043" max="13045" width="12.7109375" style="896" customWidth="1"/>
    <col min="13046" max="13294" width="9" style="896"/>
    <col min="13295" max="13295" width="11.42578125" style="896" customWidth="1"/>
    <col min="13296" max="13296" width="30.42578125" style="896" bestFit="1" customWidth="1"/>
    <col min="13297" max="13297" width="12" style="896" bestFit="1" customWidth="1"/>
    <col min="13298" max="13298" width="15.42578125" style="896" customWidth="1"/>
    <col min="13299" max="13301" width="12.7109375" style="896" customWidth="1"/>
    <col min="13302" max="13550" width="9" style="896"/>
    <col min="13551" max="13551" width="11.42578125" style="896" customWidth="1"/>
    <col min="13552" max="13552" width="30.42578125" style="896" bestFit="1" customWidth="1"/>
    <col min="13553" max="13553" width="12" style="896" bestFit="1" customWidth="1"/>
    <col min="13554" max="13554" width="15.42578125" style="896" customWidth="1"/>
    <col min="13555" max="13557" width="12.7109375" style="896" customWidth="1"/>
    <col min="13558" max="13806" width="9" style="896"/>
    <col min="13807" max="13807" width="11.42578125" style="896" customWidth="1"/>
    <col min="13808" max="13808" width="30.42578125" style="896" bestFit="1" customWidth="1"/>
    <col min="13809" max="13809" width="12" style="896" bestFit="1" customWidth="1"/>
    <col min="13810" max="13810" width="15.42578125" style="896" customWidth="1"/>
    <col min="13811" max="13813" width="12.7109375" style="896" customWidth="1"/>
    <col min="13814" max="14062" width="9" style="896"/>
    <col min="14063" max="14063" width="11.42578125" style="896" customWidth="1"/>
    <col min="14064" max="14064" width="30.42578125" style="896" bestFit="1" customWidth="1"/>
    <col min="14065" max="14065" width="12" style="896" bestFit="1" customWidth="1"/>
    <col min="14066" max="14066" width="15.42578125" style="896" customWidth="1"/>
    <col min="14067" max="14069" width="12.7109375" style="896" customWidth="1"/>
    <col min="14070" max="14318" width="9" style="896"/>
    <col min="14319" max="14319" width="11.42578125" style="896" customWidth="1"/>
    <col min="14320" max="14320" width="30.42578125" style="896" bestFit="1" customWidth="1"/>
    <col min="14321" max="14321" width="12" style="896" bestFit="1" customWidth="1"/>
    <col min="14322" max="14322" width="15.42578125" style="896" customWidth="1"/>
    <col min="14323" max="14325" width="12.7109375" style="896" customWidth="1"/>
    <col min="14326" max="14574" width="9" style="896"/>
    <col min="14575" max="14575" width="11.42578125" style="896" customWidth="1"/>
    <col min="14576" max="14576" width="30.42578125" style="896" bestFit="1" customWidth="1"/>
    <col min="14577" max="14577" width="12" style="896" bestFit="1" customWidth="1"/>
    <col min="14578" max="14578" width="15.42578125" style="896" customWidth="1"/>
    <col min="14579" max="14581" width="12.7109375" style="896" customWidth="1"/>
    <col min="14582" max="14830" width="9" style="896"/>
    <col min="14831" max="14831" width="11.42578125" style="896" customWidth="1"/>
    <col min="14832" max="14832" width="30.42578125" style="896" bestFit="1" customWidth="1"/>
    <col min="14833" max="14833" width="12" style="896" bestFit="1" customWidth="1"/>
    <col min="14834" max="14834" width="15.42578125" style="896" customWidth="1"/>
    <col min="14835" max="14837" width="12.7109375" style="896" customWidth="1"/>
    <col min="14838" max="15086" width="9" style="896"/>
    <col min="15087" max="15087" width="11.42578125" style="896" customWidth="1"/>
    <col min="15088" max="15088" width="30.42578125" style="896" bestFit="1" customWidth="1"/>
    <col min="15089" max="15089" width="12" style="896" bestFit="1" customWidth="1"/>
    <col min="15090" max="15090" width="15.42578125" style="896" customWidth="1"/>
    <col min="15091" max="15093" width="12.7109375" style="896" customWidth="1"/>
    <col min="15094" max="15342" width="9" style="896"/>
    <col min="15343" max="15343" width="11.42578125" style="896" customWidth="1"/>
    <col min="15344" max="15344" width="30.42578125" style="896" bestFit="1" customWidth="1"/>
    <col min="15345" max="15345" width="12" style="896" bestFit="1" customWidth="1"/>
    <col min="15346" max="15346" width="15.42578125" style="896" customWidth="1"/>
    <col min="15347" max="15349" width="12.7109375" style="896" customWidth="1"/>
    <col min="15350" max="15598" width="9" style="896"/>
    <col min="15599" max="15599" width="11.42578125" style="896" customWidth="1"/>
    <col min="15600" max="15600" width="30.42578125" style="896" bestFit="1" customWidth="1"/>
    <col min="15601" max="15601" width="12" style="896" bestFit="1" customWidth="1"/>
    <col min="15602" max="15602" width="15.42578125" style="896" customWidth="1"/>
    <col min="15603" max="15605" width="12.7109375" style="896" customWidth="1"/>
    <col min="15606" max="15854" width="9" style="896"/>
    <col min="15855" max="15855" width="11.42578125" style="896" customWidth="1"/>
    <col min="15856" max="15856" width="30.42578125" style="896" bestFit="1" customWidth="1"/>
    <col min="15857" max="15857" width="12" style="896" bestFit="1" customWidth="1"/>
    <col min="15858" max="15858" width="15.42578125" style="896" customWidth="1"/>
    <col min="15859" max="15861" width="12.7109375" style="896" customWidth="1"/>
    <col min="15862" max="16110" width="9" style="896"/>
    <col min="16111" max="16111" width="11.42578125" style="896" customWidth="1"/>
    <col min="16112" max="16112" width="30.42578125" style="896" bestFit="1" customWidth="1"/>
    <col min="16113" max="16113" width="12" style="896" bestFit="1" customWidth="1"/>
    <col min="16114" max="16114" width="15.42578125" style="896" customWidth="1"/>
    <col min="16115" max="16117" width="12.7109375" style="896" customWidth="1"/>
    <col min="16118" max="16384" width="9" style="896"/>
  </cols>
  <sheetData>
    <row r="1" spans="1:48" s="875" customFormat="1" ht="13.5" thickTop="1">
      <c r="A1" s="871" t="s">
        <v>705</v>
      </c>
      <c r="B1" s="871"/>
      <c r="C1" s="872"/>
      <c r="D1" s="872"/>
      <c r="E1" s="873"/>
      <c r="F1" s="874"/>
      <c r="G1" s="874"/>
      <c r="H1" s="874"/>
      <c r="I1" s="874"/>
      <c r="J1" s="874"/>
      <c r="K1" s="874"/>
      <c r="L1" s="874"/>
      <c r="M1" s="874"/>
      <c r="N1" s="874"/>
      <c r="O1" s="874"/>
      <c r="P1" s="899"/>
      <c r="Q1" s="899"/>
      <c r="R1" s="899"/>
      <c r="S1" s="899"/>
      <c r="T1" s="899"/>
      <c r="U1" s="899"/>
      <c r="V1" s="899"/>
      <c r="W1" s="899"/>
      <c r="X1" s="899"/>
      <c r="Y1" s="899"/>
      <c r="Z1" s="899"/>
      <c r="AA1" s="899"/>
      <c r="AB1" s="899"/>
      <c r="AC1" s="899"/>
      <c r="AD1" s="899"/>
      <c r="AE1" s="899"/>
      <c r="AF1" s="899"/>
      <c r="AG1" s="899"/>
      <c r="AH1" s="899"/>
      <c r="AI1" s="899"/>
      <c r="AJ1" s="899"/>
      <c r="AK1" s="899"/>
      <c r="AL1" s="899"/>
      <c r="AM1" s="899"/>
      <c r="AN1" s="899"/>
      <c r="AO1" s="899"/>
      <c r="AP1" s="899"/>
      <c r="AQ1" s="899"/>
      <c r="AR1" s="899"/>
      <c r="AS1" s="899"/>
      <c r="AT1" s="899"/>
      <c r="AU1" s="899"/>
      <c r="AV1" s="899"/>
    </row>
    <row r="2" spans="1:48" s="875" customFormat="1">
      <c r="A2" s="876" t="s">
        <v>706</v>
      </c>
      <c r="B2" s="876"/>
      <c r="C2" s="877"/>
      <c r="D2" s="877"/>
      <c r="E2" s="878"/>
      <c r="F2" s="879"/>
      <c r="G2" s="879"/>
      <c r="H2" s="879"/>
      <c r="I2" s="879"/>
      <c r="J2" s="879"/>
      <c r="K2" s="879"/>
      <c r="L2" s="879"/>
      <c r="M2" s="879"/>
      <c r="N2" s="879"/>
      <c r="O2" s="879"/>
      <c r="P2" s="899"/>
      <c r="Q2" s="899"/>
      <c r="R2" s="899"/>
      <c r="S2" s="899"/>
      <c r="T2" s="899"/>
      <c r="U2" s="899"/>
      <c r="V2" s="899"/>
      <c r="W2" s="899"/>
      <c r="X2" s="899"/>
      <c r="Y2" s="899"/>
      <c r="Z2" s="899"/>
      <c r="AA2" s="899"/>
      <c r="AB2" s="899"/>
      <c r="AC2" s="899"/>
      <c r="AD2" s="899"/>
      <c r="AE2" s="899"/>
      <c r="AF2" s="899"/>
      <c r="AG2" s="899"/>
      <c r="AH2" s="899"/>
      <c r="AI2" s="899"/>
      <c r="AJ2" s="899"/>
      <c r="AK2" s="899"/>
      <c r="AL2" s="899"/>
      <c r="AM2" s="899"/>
      <c r="AN2" s="899"/>
      <c r="AO2" s="899"/>
      <c r="AP2" s="899"/>
      <c r="AQ2" s="899"/>
      <c r="AR2" s="899"/>
      <c r="AS2" s="899"/>
      <c r="AT2" s="899"/>
      <c r="AU2" s="899"/>
      <c r="AV2" s="899"/>
    </row>
    <row r="3" spans="1:48" s="875" customFormat="1">
      <c r="A3" s="876" t="s">
        <v>707</v>
      </c>
      <c r="B3" s="876"/>
      <c r="C3" s="877"/>
      <c r="D3" s="877"/>
      <c r="E3" s="878"/>
      <c r="F3" s="879"/>
      <c r="G3" s="879"/>
      <c r="H3" s="879"/>
      <c r="I3" s="879"/>
      <c r="J3" s="879"/>
      <c r="K3" s="879"/>
      <c r="L3" s="879"/>
      <c r="M3" s="879"/>
      <c r="N3" s="879"/>
      <c r="O3" s="879"/>
      <c r="P3" s="899"/>
      <c r="Q3" s="899"/>
      <c r="R3" s="899"/>
      <c r="S3" s="899"/>
      <c r="T3" s="899"/>
      <c r="U3" s="899"/>
      <c r="V3" s="899"/>
      <c r="W3" s="899"/>
      <c r="X3" s="899"/>
      <c r="Y3" s="899"/>
      <c r="Z3" s="899"/>
      <c r="AA3" s="899"/>
      <c r="AB3" s="899"/>
      <c r="AC3" s="899"/>
      <c r="AD3" s="899"/>
      <c r="AE3" s="899"/>
      <c r="AF3" s="899"/>
      <c r="AG3" s="899"/>
      <c r="AH3" s="899"/>
      <c r="AI3" s="899"/>
      <c r="AJ3" s="899"/>
      <c r="AK3" s="899"/>
      <c r="AL3" s="899"/>
      <c r="AM3" s="899"/>
      <c r="AN3" s="899"/>
      <c r="AO3" s="899"/>
      <c r="AP3" s="899"/>
      <c r="AQ3" s="899"/>
      <c r="AR3" s="899"/>
      <c r="AS3" s="899"/>
      <c r="AT3" s="899"/>
      <c r="AU3" s="899"/>
      <c r="AV3" s="899"/>
    </row>
    <row r="4" spans="1:48" s="875" customFormat="1">
      <c r="A4" s="876" t="s">
        <v>708</v>
      </c>
      <c r="B4" s="876"/>
      <c r="C4" s="877"/>
      <c r="D4" s="877"/>
      <c r="E4" s="878"/>
      <c r="F4" s="879"/>
      <c r="G4" s="879"/>
      <c r="H4" s="879"/>
      <c r="I4" s="879"/>
      <c r="J4" s="879"/>
      <c r="K4" s="879"/>
      <c r="L4" s="879"/>
      <c r="M4" s="879"/>
      <c r="N4" s="879"/>
      <c r="O4" s="879"/>
      <c r="P4" s="899"/>
      <c r="Q4" s="899"/>
      <c r="R4" s="899"/>
      <c r="S4" s="899"/>
      <c r="T4" s="899"/>
      <c r="U4" s="899"/>
      <c r="V4" s="899"/>
      <c r="W4" s="899"/>
      <c r="X4" s="899"/>
      <c r="Y4" s="899"/>
      <c r="Z4" s="899"/>
      <c r="AA4" s="899"/>
      <c r="AB4" s="899"/>
      <c r="AC4" s="899"/>
      <c r="AD4" s="899"/>
      <c r="AE4" s="899"/>
      <c r="AF4" s="899"/>
      <c r="AG4" s="899"/>
      <c r="AH4" s="899"/>
      <c r="AI4" s="899"/>
      <c r="AJ4" s="899"/>
      <c r="AK4" s="899"/>
      <c r="AL4" s="899"/>
      <c r="AM4" s="899"/>
      <c r="AN4" s="899"/>
      <c r="AO4" s="899"/>
      <c r="AP4" s="899"/>
      <c r="AQ4" s="899"/>
      <c r="AR4" s="899"/>
      <c r="AS4" s="899"/>
      <c r="AT4" s="899"/>
      <c r="AU4" s="899"/>
      <c r="AV4" s="899"/>
    </row>
    <row r="5" spans="1:48" s="875" customFormat="1">
      <c r="A5" s="876" t="s">
        <v>709</v>
      </c>
      <c r="B5" s="876"/>
      <c r="C5" s="877"/>
      <c r="D5" s="877"/>
      <c r="E5" s="878"/>
      <c r="F5" s="879"/>
      <c r="G5" s="879"/>
      <c r="H5" s="879"/>
      <c r="I5" s="879"/>
      <c r="J5" s="879"/>
      <c r="K5" s="879"/>
      <c r="L5" s="879"/>
      <c r="M5" s="879"/>
      <c r="N5" s="879"/>
      <c r="O5" s="879"/>
      <c r="P5" s="899"/>
      <c r="Q5" s="899"/>
      <c r="R5" s="899"/>
      <c r="S5" s="899"/>
      <c r="T5" s="899"/>
      <c r="U5" s="899"/>
      <c r="V5" s="899"/>
      <c r="W5" s="899"/>
      <c r="X5" s="899"/>
      <c r="Y5" s="899"/>
      <c r="Z5" s="899"/>
      <c r="AA5" s="899"/>
      <c r="AB5" s="899"/>
      <c r="AC5" s="899"/>
      <c r="AD5" s="899"/>
      <c r="AE5" s="899"/>
      <c r="AF5" s="899"/>
      <c r="AG5" s="899"/>
      <c r="AH5" s="899"/>
      <c r="AI5" s="899"/>
      <c r="AJ5" s="899"/>
      <c r="AK5" s="899"/>
      <c r="AL5" s="899"/>
      <c r="AM5" s="899"/>
      <c r="AN5" s="899"/>
      <c r="AO5" s="899"/>
      <c r="AP5" s="899"/>
      <c r="AQ5" s="899"/>
      <c r="AR5" s="899"/>
      <c r="AS5" s="899"/>
      <c r="AT5" s="899"/>
      <c r="AU5" s="899"/>
      <c r="AV5" s="899"/>
    </row>
    <row r="6" spans="1:48" s="875" customFormat="1" ht="20.25">
      <c r="A6" s="880" t="s">
        <v>710</v>
      </c>
      <c r="B6" s="880"/>
      <c r="C6" s="881"/>
      <c r="D6" s="881"/>
      <c r="E6" s="882"/>
      <c r="F6" s="883"/>
      <c r="G6" s="878"/>
      <c r="H6" s="878"/>
      <c r="I6" s="878"/>
      <c r="J6" s="878"/>
      <c r="K6" s="878"/>
      <c r="L6" s="878"/>
      <c r="M6" s="878"/>
      <c r="N6" s="878"/>
      <c r="O6" s="878"/>
      <c r="P6" s="899"/>
      <c r="Q6" s="899"/>
      <c r="R6" s="899"/>
      <c r="S6" s="899"/>
      <c r="T6" s="899"/>
      <c r="U6" s="899"/>
      <c r="V6" s="899"/>
      <c r="W6" s="899"/>
      <c r="X6" s="899"/>
      <c r="Y6" s="899"/>
      <c r="Z6" s="899"/>
      <c r="AA6" s="899"/>
      <c r="AB6" s="899"/>
      <c r="AC6" s="899"/>
      <c r="AD6" s="899"/>
      <c r="AE6" s="899"/>
      <c r="AF6" s="899"/>
      <c r="AG6" s="899"/>
      <c r="AH6" s="899"/>
      <c r="AI6" s="899"/>
      <c r="AJ6" s="899"/>
      <c r="AK6" s="899"/>
      <c r="AL6" s="899"/>
      <c r="AM6" s="899"/>
      <c r="AN6" s="899"/>
      <c r="AO6" s="899"/>
      <c r="AP6" s="899"/>
      <c r="AQ6" s="899"/>
      <c r="AR6" s="899"/>
      <c r="AS6" s="899"/>
      <c r="AT6" s="899"/>
      <c r="AU6" s="899"/>
      <c r="AV6" s="899"/>
    </row>
    <row r="7" spans="1:48" s="875" customFormat="1">
      <c r="A7" s="884" t="s">
        <v>869</v>
      </c>
      <c r="B7" s="884"/>
      <c r="C7" s="885"/>
      <c r="D7" s="885"/>
      <c r="E7" s="882"/>
      <c r="F7" s="886"/>
      <c r="G7" s="878"/>
      <c r="H7" s="878"/>
      <c r="I7" s="878"/>
      <c r="J7" s="878"/>
      <c r="K7" s="878"/>
      <c r="L7" s="878"/>
      <c r="M7" s="878"/>
      <c r="N7" s="878"/>
      <c r="O7" s="878"/>
      <c r="P7" s="899"/>
      <c r="Q7" s="899"/>
      <c r="R7" s="899"/>
      <c r="S7" s="899"/>
      <c r="T7" s="899"/>
      <c r="U7" s="899"/>
      <c r="V7" s="899"/>
      <c r="W7" s="899"/>
      <c r="X7" s="899"/>
      <c r="Y7" s="899"/>
      <c r="Z7" s="899"/>
      <c r="AA7" s="899"/>
      <c r="AB7" s="899"/>
      <c r="AC7" s="899"/>
      <c r="AD7" s="899"/>
      <c r="AE7" s="899"/>
      <c r="AF7" s="899"/>
      <c r="AG7" s="899"/>
      <c r="AH7" s="899"/>
      <c r="AI7" s="899"/>
      <c r="AJ7" s="899"/>
      <c r="AK7" s="899"/>
      <c r="AL7" s="899"/>
      <c r="AM7" s="899"/>
      <c r="AN7" s="899"/>
      <c r="AO7" s="899"/>
      <c r="AP7" s="899"/>
      <c r="AQ7" s="899"/>
      <c r="AR7" s="899"/>
      <c r="AS7" s="899"/>
      <c r="AT7" s="899"/>
      <c r="AU7" s="899"/>
      <c r="AV7" s="899"/>
    </row>
    <row r="8" spans="1:48" s="875" customFormat="1">
      <c r="A8" s="878"/>
      <c r="B8" s="878"/>
      <c r="C8" s="887"/>
      <c r="D8" s="887"/>
      <c r="E8" s="878"/>
      <c r="F8" s="878"/>
      <c r="G8" s="878"/>
      <c r="H8" s="878"/>
      <c r="I8" s="878"/>
      <c r="J8" s="878"/>
      <c r="K8" s="878"/>
      <c r="L8" s="878"/>
      <c r="M8" s="878"/>
      <c r="N8" s="878"/>
      <c r="O8" s="878"/>
      <c r="P8" s="899"/>
      <c r="Q8" s="899"/>
      <c r="R8" s="899"/>
      <c r="S8" s="899"/>
      <c r="T8" s="899"/>
      <c r="U8" s="899"/>
      <c r="V8" s="899"/>
      <c r="W8" s="899"/>
      <c r="X8" s="899"/>
      <c r="Y8" s="899"/>
      <c r="Z8" s="899"/>
      <c r="AA8" s="899"/>
      <c r="AB8" s="899"/>
      <c r="AC8" s="899"/>
      <c r="AD8" s="899"/>
      <c r="AE8" s="899"/>
      <c r="AF8" s="899"/>
      <c r="AG8" s="899"/>
      <c r="AH8" s="899"/>
      <c r="AI8" s="899"/>
      <c r="AJ8" s="899"/>
      <c r="AK8" s="899"/>
      <c r="AL8" s="899"/>
      <c r="AM8" s="899"/>
      <c r="AN8" s="899"/>
      <c r="AO8" s="899"/>
      <c r="AP8" s="899"/>
      <c r="AQ8" s="899"/>
      <c r="AR8" s="899"/>
      <c r="AS8" s="899"/>
      <c r="AT8" s="899"/>
      <c r="AU8" s="899"/>
      <c r="AV8" s="899"/>
    </row>
    <row r="9" spans="1:48" s="875" customFormat="1" ht="13.5" thickBot="1">
      <c r="A9" s="888" t="s">
        <v>709</v>
      </c>
      <c r="B9" s="889" t="s">
        <v>709</v>
      </c>
      <c r="C9" s="890" t="s">
        <v>870</v>
      </c>
      <c r="D9" s="890" t="s">
        <v>871</v>
      </c>
      <c r="E9" s="890" t="s">
        <v>713</v>
      </c>
      <c r="F9" s="890" t="s">
        <v>714</v>
      </c>
      <c r="G9" s="890" t="s">
        <v>715</v>
      </c>
      <c r="H9" s="890" t="s">
        <v>716</v>
      </c>
      <c r="I9" s="890" t="s">
        <v>717</v>
      </c>
      <c r="J9" s="890" t="s">
        <v>718</v>
      </c>
      <c r="K9" s="890" t="s">
        <v>719</v>
      </c>
      <c r="L9" s="890" t="s">
        <v>720</v>
      </c>
      <c r="M9" s="890" t="s">
        <v>721</v>
      </c>
      <c r="N9" s="890" t="s">
        <v>722</v>
      </c>
      <c r="O9" s="890" t="s">
        <v>723</v>
      </c>
      <c r="P9" s="899"/>
      <c r="Q9" s="899"/>
      <c r="R9" s="899"/>
      <c r="S9" s="899"/>
      <c r="T9" s="899"/>
      <c r="U9" s="899"/>
      <c r="V9" s="899"/>
      <c r="W9" s="899"/>
      <c r="X9" s="899"/>
      <c r="Y9" s="899"/>
      <c r="Z9" s="899"/>
      <c r="AA9" s="899"/>
      <c r="AB9" s="899"/>
      <c r="AC9" s="899"/>
      <c r="AD9" s="899"/>
      <c r="AE9" s="899"/>
      <c r="AF9" s="899"/>
      <c r="AG9" s="899"/>
      <c r="AH9" s="899"/>
      <c r="AI9" s="899"/>
      <c r="AJ9" s="899"/>
      <c r="AK9" s="899"/>
      <c r="AL9" s="899"/>
      <c r="AM9" s="899"/>
      <c r="AN9" s="899"/>
      <c r="AO9" s="899"/>
      <c r="AP9" s="899"/>
      <c r="AQ9" s="899"/>
      <c r="AR9" s="899"/>
      <c r="AS9" s="899"/>
      <c r="AT9" s="899"/>
      <c r="AU9" s="899"/>
      <c r="AV9" s="899"/>
    </row>
    <row r="10" spans="1:48" s="875" customFormat="1" ht="13.5" thickTop="1">
      <c r="A10" s="835" t="s">
        <v>724</v>
      </c>
      <c r="B10" s="836" t="s">
        <v>725</v>
      </c>
      <c r="C10" s="891"/>
      <c r="D10" s="891"/>
      <c r="E10" s="891"/>
      <c r="F10" s="891"/>
      <c r="G10" s="891"/>
      <c r="H10" s="891"/>
      <c r="I10" s="891"/>
      <c r="J10" s="891"/>
      <c r="K10" s="891"/>
      <c r="L10" s="891"/>
      <c r="M10" s="891"/>
      <c r="N10" s="891"/>
      <c r="O10" s="891"/>
      <c r="P10" s="899"/>
      <c r="Q10" s="899"/>
      <c r="R10" s="899"/>
      <c r="S10" s="899"/>
      <c r="T10" s="899"/>
      <c r="U10" s="899"/>
      <c r="V10" s="899"/>
      <c r="W10" s="899"/>
      <c r="X10" s="899"/>
      <c r="Y10" s="899"/>
      <c r="Z10" s="899"/>
      <c r="AA10" s="899"/>
      <c r="AB10" s="899"/>
      <c r="AC10" s="899"/>
      <c r="AD10" s="899"/>
      <c r="AE10" s="899"/>
      <c r="AF10" s="899"/>
      <c r="AG10" s="899"/>
      <c r="AH10" s="899"/>
      <c r="AI10" s="899"/>
      <c r="AJ10" s="899"/>
      <c r="AK10" s="899"/>
      <c r="AL10" s="899"/>
      <c r="AM10" s="899"/>
      <c r="AN10" s="899"/>
      <c r="AO10" s="899"/>
      <c r="AP10" s="899"/>
      <c r="AQ10" s="899"/>
      <c r="AR10" s="899"/>
      <c r="AS10" s="899"/>
      <c r="AT10" s="899"/>
      <c r="AU10" s="899"/>
      <c r="AV10" s="899"/>
    </row>
    <row r="11" spans="1:48" s="875" customFormat="1">
      <c r="A11" s="835" t="s">
        <v>726</v>
      </c>
      <c r="B11" s="836" t="s">
        <v>727</v>
      </c>
      <c r="C11" s="891"/>
      <c r="D11" s="891"/>
      <c r="E11" s="891"/>
      <c r="F11" s="891"/>
      <c r="G11" s="891"/>
      <c r="H11" s="891"/>
      <c r="I11" s="891"/>
      <c r="J11" s="891"/>
      <c r="K11" s="891"/>
      <c r="L11" s="891"/>
      <c r="M11" s="891"/>
      <c r="N11" s="891"/>
      <c r="O11" s="891"/>
      <c r="P11" s="899"/>
      <c r="Q11" s="899"/>
      <c r="R11" s="899"/>
      <c r="S11" s="899"/>
      <c r="T11" s="899"/>
      <c r="U11" s="899"/>
      <c r="V11" s="899"/>
      <c r="W11" s="899"/>
      <c r="X11" s="899"/>
      <c r="Y11" s="899"/>
      <c r="Z11" s="899"/>
      <c r="AA11" s="899"/>
      <c r="AB11" s="899"/>
      <c r="AC11" s="899"/>
      <c r="AD11" s="899"/>
      <c r="AE11" s="899"/>
      <c r="AF11" s="899"/>
      <c r="AG11" s="899"/>
      <c r="AH11" s="899"/>
      <c r="AI11" s="899"/>
      <c r="AJ11" s="899"/>
      <c r="AK11" s="899"/>
      <c r="AL11" s="899"/>
      <c r="AM11" s="899"/>
      <c r="AN11" s="899"/>
      <c r="AO11" s="899"/>
      <c r="AP11" s="899"/>
      <c r="AQ11" s="899"/>
      <c r="AR11" s="899"/>
      <c r="AS11" s="899"/>
      <c r="AT11" s="899"/>
      <c r="AU11" s="899"/>
      <c r="AV11" s="899"/>
    </row>
    <row r="12" spans="1:48" s="875" customFormat="1">
      <c r="A12" s="835" t="s">
        <v>728</v>
      </c>
      <c r="B12" s="836" t="s">
        <v>693</v>
      </c>
      <c r="C12" s="891"/>
      <c r="D12" s="891"/>
      <c r="E12" s="891"/>
      <c r="F12" s="891"/>
      <c r="G12" s="891"/>
      <c r="H12" s="891"/>
      <c r="I12" s="891"/>
      <c r="J12" s="891"/>
      <c r="K12" s="891"/>
      <c r="L12" s="891"/>
      <c r="M12" s="891"/>
      <c r="N12" s="891"/>
      <c r="O12" s="891"/>
      <c r="P12" s="899"/>
      <c r="Q12" s="899"/>
      <c r="R12" s="899"/>
      <c r="S12" s="899"/>
      <c r="T12" s="899"/>
      <c r="U12" s="899"/>
      <c r="V12" s="899"/>
      <c r="W12" s="899"/>
      <c r="X12" s="899"/>
      <c r="Y12" s="899"/>
      <c r="Z12" s="899"/>
      <c r="AA12" s="899"/>
      <c r="AB12" s="899"/>
      <c r="AC12" s="899"/>
      <c r="AD12" s="899"/>
      <c r="AE12" s="899"/>
      <c r="AF12" s="899"/>
      <c r="AG12" s="899"/>
      <c r="AH12" s="899"/>
      <c r="AI12" s="899"/>
      <c r="AJ12" s="899"/>
      <c r="AK12" s="899"/>
      <c r="AL12" s="899"/>
      <c r="AM12" s="899"/>
      <c r="AN12" s="899"/>
      <c r="AO12" s="899"/>
      <c r="AP12" s="899"/>
      <c r="AQ12" s="899"/>
      <c r="AR12" s="899"/>
      <c r="AS12" s="899"/>
      <c r="AT12" s="899"/>
      <c r="AU12" s="899"/>
      <c r="AV12" s="899"/>
    </row>
    <row r="13" spans="1:48" s="875" customFormat="1">
      <c r="A13" s="835" t="s">
        <v>729</v>
      </c>
      <c r="B13" s="836" t="s">
        <v>730</v>
      </c>
      <c r="C13" s="891">
        <v>409346.04</v>
      </c>
      <c r="D13" s="891">
        <v>409346.04</v>
      </c>
      <c r="E13" s="891">
        <v>409346.04</v>
      </c>
      <c r="F13" s="891">
        <v>423673.15</v>
      </c>
      <c r="G13" s="891">
        <v>423673.01</v>
      </c>
      <c r="H13" s="891">
        <v>423673.15</v>
      </c>
      <c r="I13" s="891">
        <v>423673.15</v>
      </c>
      <c r="J13" s="891">
        <v>423673.15</v>
      </c>
      <c r="K13" s="891">
        <v>423673.15</v>
      </c>
      <c r="L13" s="891">
        <v>423673.15</v>
      </c>
      <c r="M13" s="891">
        <v>423673.01</v>
      </c>
      <c r="N13" s="891">
        <v>423673.15</v>
      </c>
      <c r="O13" s="891">
        <v>5041096.1900000004</v>
      </c>
      <c r="P13" s="899"/>
      <c r="Q13" s="899"/>
      <c r="R13" s="899"/>
      <c r="S13" s="899"/>
      <c r="T13" s="899"/>
      <c r="U13" s="899"/>
      <c r="V13" s="899"/>
      <c r="W13" s="899"/>
      <c r="X13" s="899"/>
      <c r="Y13" s="899"/>
      <c r="Z13" s="899"/>
      <c r="AA13" s="899"/>
      <c r="AB13" s="899"/>
      <c r="AC13" s="899"/>
      <c r="AD13" s="899"/>
      <c r="AE13" s="899"/>
      <c r="AF13" s="899"/>
      <c r="AG13" s="899"/>
      <c r="AH13" s="899"/>
      <c r="AI13" s="899"/>
      <c r="AJ13" s="899"/>
      <c r="AK13" s="899"/>
      <c r="AL13" s="899"/>
      <c r="AM13" s="899"/>
      <c r="AN13" s="899"/>
      <c r="AO13" s="899"/>
      <c r="AP13" s="899"/>
      <c r="AQ13" s="899"/>
      <c r="AR13" s="899"/>
      <c r="AS13" s="899"/>
      <c r="AT13" s="899"/>
      <c r="AU13" s="899"/>
      <c r="AV13" s="899"/>
    </row>
    <row r="14" spans="1:48" s="875" customFormat="1">
      <c r="A14" s="835" t="s">
        <v>731</v>
      </c>
      <c r="B14" s="836" t="s">
        <v>732</v>
      </c>
      <c r="C14" s="891">
        <v>72487.399999999994</v>
      </c>
      <c r="D14" s="891">
        <v>72487.399999999994</v>
      </c>
      <c r="E14" s="891">
        <v>72487.399999999994</v>
      </c>
      <c r="F14" s="891">
        <v>58160.29</v>
      </c>
      <c r="G14" s="891">
        <v>57917.74</v>
      </c>
      <c r="H14" s="891">
        <v>57640.53</v>
      </c>
      <c r="I14" s="891">
        <v>57640.53</v>
      </c>
      <c r="J14" s="891">
        <v>57640.53</v>
      </c>
      <c r="K14" s="891">
        <v>57640.53</v>
      </c>
      <c r="L14" s="891">
        <v>57640.53</v>
      </c>
      <c r="M14" s="891">
        <v>57640.53</v>
      </c>
      <c r="N14" s="891">
        <v>57640.53</v>
      </c>
      <c r="O14" s="891">
        <v>737023.94</v>
      </c>
      <c r="P14" s="900"/>
      <c r="Q14" s="899"/>
      <c r="R14" s="899"/>
      <c r="S14" s="899"/>
      <c r="T14" s="899"/>
      <c r="U14" s="899"/>
      <c r="V14" s="899"/>
      <c r="W14" s="899"/>
      <c r="X14" s="899"/>
      <c r="Y14" s="899"/>
      <c r="Z14" s="899"/>
      <c r="AA14" s="899"/>
      <c r="AB14" s="899"/>
      <c r="AC14" s="899"/>
      <c r="AD14" s="899"/>
      <c r="AE14" s="899"/>
      <c r="AF14" s="899"/>
      <c r="AG14" s="899"/>
      <c r="AH14" s="899"/>
      <c r="AI14" s="899"/>
      <c r="AJ14" s="899"/>
      <c r="AK14" s="899"/>
      <c r="AL14" s="899"/>
      <c r="AM14" s="899"/>
      <c r="AN14" s="899"/>
      <c r="AO14" s="899"/>
      <c r="AP14" s="899"/>
      <c r="AQ14" s="899"/>
      <c r="AR14" s="899"/>
      <c r="AS14" s="899"/>
      <c r="AT14" s="899"/>
      <c r="AU14" s="899"/>
      <c r="AV14" s="899"/>
    </row>
    <row r="15" spans="1:48" s="875" customFormat="1">
      <c r="A15" s="897" t="s">
        <v>709</v>
      </c>
      <c r="B15" s="898" t="s">
        <v>733</v>
      </c>
      <c r="C15" s="891">
        <v>481833.44</v>
      </c>
      <c r="D15" s="891">
        <v>481833.44</v>
      </c>
      <c r="E15" s="891">
        <v>481833.44</v>
      </c>
      <c r="F15" s="891">
        <v>481833.44</v>
      </c>
      <c r="G15" s="891">
        <v>481590.75</v>
      </c>
      <c r="H15" s="891">
        <v>481313.68</v>
      </c>
      <c r="I15" s="891">
        <v>481313.68</v>
      </c>
      <c r="J15" s="891">
        <v>481313.68</v>
      </c>
      <c r="K15" s="891">
        <v>481313.68</v>
      </c>
      <c r="L15" s="891">
        <v>481313.68</v>
      </c>
      <c r="M15" s="891">
        <v>481313.54</v>
      </c>
      <c r="N15" s="891">
        <v>481313.68</v>
      </c>
      <c r="O15" s="891">
        <v>5778120.1299999999</v>
      </c>
      <c r="P15" s="899"/>
      <c r="Q15" s="899"/>
      <c r="R15" s="899"/>
      <c r="S15" s="899"/>
      <c r="T15" s="899"/>
      <c r="U15" s="899"/>
      <c r="V15" s="899"/>
      <c r="W15" s="899"/>
      <c r="X15" s="899"/>
      <c r="Y15" s="899"/>
      <c r="Z15" s="899"/>
      <c r="AA15" s="899"/>
      <c r="AB15" s="899"/>
      <c r="AC15" s="899"/>
      <c r="AD15" s="899"/>
      <c r="AE15" s="899"/>
      <c r="AF15" s="899"/>
      <c r="AG15" s="899"/>
      <c r="AH15" s="899"/>
      <c r="AI15" s="899"/>
      <c r="AJ15" s="899"/>
      <c r="AK15" s="899"/>
      <c r="AL15" s="899"/>
      <c r="AM15" s="899"/>
      <c r="AN15" s="899"/>
      <c r="AO15" s="899"/>
      <c r="AP15" s="899"/>
      <c r="AQ15" s="899"/>
      <c r="AR15" s="899"/>
      <c r="AS15" s="899"/>
      <c r="AT15" s="899"/>
      <c r="AU15" s="899"/>
      <c r="AV15" s="899"/>
    </row>
    <row r="16" spans="1:48" s="875" customFormat="1">
      <c r="A16" s="835" t="s">
        <v>734</v>
      </c>
      <c r="B16" s="836" t="s">
        <v>735</v>
      </c>
      <c r="C16" s="891"/>
      <c r="D16" s="891"/>
      <c r="E16" s="891"/>
      <c r="F16" s="891"/>
      <c r="G16" s="891"/>
      <c r="H16" s="891"/>
      <c r="I16" s="891"/>
      <c r="J16" s="891"/>
      <c r="K16" s="891"/>
      <c r="L16" s="891"/>
      <c r="M16" s="891"/>
      <c r="N16" s="891"/>
      <c r="O16" s="891"/>
      <c r="P16" s="899"/>
      <c r="Q16" s="899"/>
      <c r="R16" s="899"/>
      <c r="S16" s="899"/>
      <c r="T16" s="899"/>
      <c r="U16" s="899"/>
      <c r="V16" s="899"/>
      <c r="W16" s="899"/>
      <c r="X16" s="899"/>
      <c r="Y16" s="899"/>
      <c r="Z16" s="899"/>
      <c r="AA16" s="899"/>
      <c r="AB16" s="899"/>
      <c r="AC16" s="899"/>
      <c r="AD16" s="899"/>
      <c r="AE16" s="899"/>
      <c r="AF16" s="899"/>
      <c r="AG16" s="899"/>
      <c r="AH16" s="899"/>
      <c r="AI16" s="899"/>
      <c r="AJ16" s="899"/>
      <c r="AK16" s="899"/>
      <c r="AL16" s="899"/>
      <c r="AM16" s="899"/>
      <c r="AN16" s="899"/>
      <c r="AO16" s="899"/>
      <c r="AP16" s="899"/>
      <c r="AQ16" s="899"/>
      <c r="AR16" s="899"/>
      <c r="AS16" s="899"/>
      <c r="AT16" s="899"/>
      <c r="AU16" s="899"/>
      <c r="AV16" s="899"/>
    </row>
    <row r="17" spans="1:48" s="875" customFormat="1">
      <c r="A17" s="897" t="s">
        <v>736</v>
      </c>
      <c r="B17" s="898" t="s">
        <v>671</v>
      </c>
      <c r="C17" s="891">
        <v>19584.53</v>
      </c>
      <c r="D17" s="891">
        <v>19584.53</v>
      </c>
      <c r="E17" s="891">
        <v>19584.53</v>
      </c>
      <c r="F17" s="891">
        <v>19584.53</v>
      </c>
      <c r="G17" s="891">
        <v>19827.080000000002</v>
      </c>
      <c r="H17" s="891">
        <v>20137.79</v>
      </c>
      <c r="I17" s="891">
        <v>20190.84</v>
      </c>
      <c r="J17" s="891">
        <v>20190.84</v>
      </c>
      <c r="K17" s="891">
        <v>20190.84</v>
      </c>
      <c r="L17" s="891">
        <v>20190.84</v>
      </c>
      <c r="M17" s="891">
        <v>20190.84</v>
      </c>
      <c r="N17" s="891">
        <v>20190.84</v>
      </c>
      <c r="O17" s="891">
        <v>239448.03</v>
      </c>
      <c r="P17" s="899"/>
      <c r="Q17" s="899"/>
      <c r="R17" s="899"/>
      <c r="S17" s="899"/>
      <c r="T17" s="899"/>
      <c r="U17" s="899"/>
      <c r="V17" s="899"/>
      <c r="W17" s="899"/>
      <c r="X17" s="899"/>
      <c r="Y17" s="899"/>
      <c r="Z17" s="899"/>
      <c r="AA17" s="899"/>
      <c r="AB17" s="899"/>
      <c r="AC17" s="899"/>
      <c r="AD17" s="899"/>
      <c r="AE17" s="899"/>
      <c r="AF17" s="899"/>
      <c r="AG17" s="899"/>
      <c r="AH17" s="899"/>
      <c r="AI17" s="899"/>
      <c r="AJ17" s="899"/>
      <c r="AK17" s="899"/>
      <c r="AL17" s="899"/>
      <c r="AM17" s="899"/>
      <c r="AN17" s="899"/>
      <c r="AO17" s="899"/>
      <c r="AP17" s="899"/>
      <c r="AQ17" s="899"/>
      <c r="AR17" s="899"/>
      <c r="AS17" s="899"/>
      <c r="AT17" s="899"/>
      <c r="AU17" s="899"/>
      <c r="AV17" s="899"/>
    </row>
    <row r="18" spans="1:48" s="875" customFormat="1">
      <c r="A18" s="835" t="s">
        <v>737</v>
      </c>
      <c r="B18" s="836" t="s">
        <v>738</v>
      </c>
      <c r="C18" s="891"/>
      <c r="D18" s="891"/>
      <c r="E18" s="891"/>
      <c r="F18" s="891"/>
      <c r="G18" s="891"/>
      <c r="H18" s="891"/>
      <c r="I18" s="891"/>
      <c r="J18" s="891"/>
      <c r="K18" s="891"/>
      <c r="L18" s="891"/>
      <c r="M18" s="891"/>
      <c r="N18" s="891"/>
      <c r="O18" s="891"/>
      <c r="P18" s="899"/>
      <c r="Q18" s="899"/>
      <c r="R18" s="899"/>
      <c r="S18" s="899"/>
      <c r="T18" s="899"/>
      <c r="U18" s="899"/>
      <c r="V18" s="899"/>
      <c r="W18" s="899"/>
      <c r="X18" s="899"/>
      <c r="Y18" s="899"/>
      <c r="Z18" s="899"/>
      <c r="AA18" s="899"/>
      <c r="AB18" s="899"/>
      <c r="AC18" s="899"/>
      <c r="AD18" s="899"/>
      <c r="AE18" s="899"/>
      <c r="AF18" s="899"/>
      <c r="AG18" s="899"/>
      <c r="AH18" s="899"/>
      <c r="AI18" s="899"/>
      <c r="AJ18" s="899"/>
      <c r="AK18" s="899"/>
      <c r="AL18" s="899"/>
      <c r="AM18" s="899"/>
      <c r="AN18" s="899"/>
      <c r="AO18" s="899"/>
      <c r="AP18" s="899"/>
      <c r="AQ18" s="899"/>
      <c r="AR18" s="899"/>
      <c r="AS18" s="899"/>
      <c r="AT18" s="899"/>
      <c r="AU18" s="899"/>
      <c r="AV18" s="899"/>
    </row>
    <row r="19" spans="1:48" s="875" customFormat="1">
      <c r="A19" s="835" t="s">
        <v>739</v>
      </c>
      <c r="B19" s="836" t="s">
        <v>740</v>
      </c>
      <c r="C19" s="891">
        <v>4350</v>
      </c>
      <c r="D19" s="891">
        <v>4350</v>
      </c>
      <c r="E19" s="891">
        <v>4350</v>
      </c>
      <c r="F19" s="891">
        <v>4350</v>
      </c>
      <c r="G19" s="891">
        <v>4350</v>
      </c>
      <c r="H19" s="891">
        <v>4350</v>
      </c>
      <c r="I19" s="891">
        <v>4350</v>
      </c>
      <c r="J19" s="891">
        <v>4350</v>
      </c>
      <c r="K19" s="891">
        <v>4350</v>
      </c>
      <c r="L19" s="891">
        <v>4350</v>
      </c>
      <c r="M19" s="891">
        <v>4350</v>
      </c>
      <c r="N19" s="891">
        <v>4350</v>
      </c>
      <c r="O19" s="891">
        <v>52200</v>
      </c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899"/>
      <c r="AB19" s="899"/>
      <c r="AC19" s="899"/>
      <c r="AD19" s="899"/>
      <c r="AE19" s="899"/>
      <c r="AF19" s="899"/>
      <c r="AG19" s="899"/>
      <c r="AH19" s="899"/>
      <c r="AI19" s="899"/>
      <c r="AJ19" s="899"/>
      <c r="AK19" s="899"/>
      <c r="AL19" s="899"/>
      <c r="AM19" s="899"/>
      <c r="AN19" s="899"/>
      <c r="AO19" s="899"/>
      <c r="AP19" s="899"/>
      <c r="AQ19" s="899"/>
      <c r="AR19" s="899"/>
      <c r="AS19" s="899"/>
      <c r="AT19" s="899"/>
      <c r="AU19" s="899"/>
      <c r="AV19" s="899"/>
    </row>
    <row r="20" spans="1:48" s="875" customFormat="1">
      <c r="A20" s="897" t="s">
        <v>709</v>
      </c>
      <c r="B20" s="898" t="s">
        <v>741</v>
      </c>
      <c r="C20" s="891">
        <v>4350</v>
      </c>
      <c r="D20" s="891">
        <v>4350</v>
      </c>
      <c r="E20" s="891">
        <v>4350</v>
      </c>
      <c r="F20" s="891">
        <v>4350</v>
      </c>
      <c r="G20" s="891">
        <v>4350</v>
      </c>
      <c r="H20" s="891">
        <v>4350</v>
      </c>
      <c r="I20" s="891">
        <v>4350</v>
      </c>
      <c r="J20" s="891">
        <v>4350</v>
      </c>
      <c r="K20" s="891">
        <v>4350</v>
      </c>
      <c r="L20" s="891">
        <v>4350</v>
      </c>
      <c r="M20" s="891">
        <v>4350</v>
      </c>
      <c r="N20" s="891">
        <v>4350</v>
      </c>
      <c r="O20" s="891">
        <v>52200</v>
      </c>
      <c r="P20" s="899"/>
      <c r="Q20" s="899"/>
      <c r="R20" s="899"/>
      <c r="S20" s="899"/>
      <c r="T20" s="899"/>
      <c r="U20" s="899"/>
      <c r="V20" s="899"/>
      <c r="W20" s="899"/>
      <c r="X20" s="899"/>
      <c r="Y20" s="899"/>
      <c r="Z20" s="899"/>
      <c r="AA20" s="899"/>
      <c r="AB20" s="899"/>
      <c r="AC20" s="899"/>
      <c r="AD20" s="899"/>
      <c r="AE20" s="899"/>
      <c r="AF20" s="899"/>
      <c r="AG20" s="899"/>
      <c r="AH20" s="899"/>
      <c r="AI20" s="899"/>
      <c r="AJ20" s="899"/>
      <c r="AK20" s="899"/>
      <c r="AL20" s="899"/>
      <c r="AM20" s="899"/>
      <c r="AN20" s="899"/>
      <c r="AO20" s="899"/>
      <c r="AP20" s="899"/>
      <c r="AQ20" s="899"/>
      <c r="AR20" s="899"/>
      <c r="AS20" s="899"/>
      <c r="AT20" s="899"/>
      <c r="AU20" s="899"/>
      <c r="AV20" s="899"/>
    </row>
    <row r="21" spans="1:48" s="875" customFormat="1">
      <c r="A21" s="835" t="s">
        <v>742</v>
      </c>
      <c r="B21" s="836" t="s">
        <v>743</v>
      </c>
      <c r="C21" s="891"/>
      <c r="D21" s="891"/>
      <c r="E21" s="891"/>
      <c r="F21" s="891"/>
      <c r="G21" s="891"/>
      <c r="H21" s="891"/>
      <c r="I21" s="891"/>
      <c r="J21" s="891"/>
      <c r="K21" s="891"/>
      <c r="L21" s="891"/>
      <c r="M21" s="891"/>
      <c r="N21" s="891"/>
      <c r="O21" s="891"/>
      <c r="P21" s="899"/>
      <c r="Q21" s="899"/>
      <c r="R21" s="899"/>
      <c r="S21" s="899"/>
      <c r="T21" s="899"/>
      <c r="U21" s="899"/>
      <c r="V21" s="899"/>
      <c r="W21" s="899"/>
      <c r="X21" s="899"/>
      <c r="Y21" s="899"/>
      <c r="Z21" s="899"/>
      <c r="AA21" s="899"/>
      <c r="AB21" s="899"/>
      <c r="AC21" s="899"/>
      <c r="AD21" s="899"/>
      <c r="AE21" s="899"/>
      <c r="AF21" s="899"/>
      <c r="AG21" s="899"/>
      <c r="AH21" s="899"/>
      <c r="AI21" s="899"/>
      <c r="AJ21" s="899"/>
      <c r="AK21" s="899"/>
      <c r="AL21" s="899"/>
      <c r="AM21" s="899"/>
      <c r="AN21" s="899"/>
      <c r="AO21" s="899"/>
      <c r="AP21" s="899"/>
      <c r="AQ21" s="899"/>
      <c r="AR21" s="899"/>
      <c r="AS21" s="899"/>
      <c r="AT21" s="899"/>
      <c r="AU21" s="899"/>
      <c r="AV21" s="899"/>
    </row>
    <row r="22" spans="1:48" s="875" customFormat="1">
      <c r="A22" s="835" t="s">
        <v>744</v>
      </c>
      <c r="B22" s="836" t="s">
        <v>745</v>
      </c>
      <c r="C22" s="891">
        <v>11476.09</v>
      </c>
      <c r="D22" s="891">
        <v>11476.09</v>
      </c>
      <c r="E22" s="891">
        <v>11476.09</v>
      </c>
      <c r="F22" s="891">
        <v>11859.52</v>
      </c>
      <c r="G22" s="891">
        <v>11859.52</v>
      </c>
      <c r="H22" s="891">
        <v>11859.52</v>
      </c>
      <c r="I22" s="891">
        <v>11859.52</v>
      </c>
      <c r="J22" s="891">
        <v>11859.52</v>
      </c>
      <c r="K22" s="891">
        <v>11859.52</v>
      </c>
      <c r="L22" s="891">
        <v>11859.52</v>
      </c>
      <c r="M22" s="891">
        <v>11859.52</v>
      </c>
      <c r="N22" s="891">
        <v>11859.52</v>
      </c>
      <c r="O22" s="891">
        <v>141163.95000000001</v>
      </c>
      <c r="P22" s="899"/>
      <c r="Q22" s="899"/>
      <c r="R22" s="899"/>
      <c r="S22" s="899"/>
      <c r="T22" s="899"/>
      <c r="U22" s="899"/>
      <c r="V22" s="899"/>
      <c r="W22" s="899"/>
      <c r="X22" s="899"/>
      <c r="Y22" s="899"/>
      <c r="Z22" s="899"/>
      <c r="AA22" s="899"/>
      <c r="AB22" s="899"/>
      <c r="AC22" s="899"/>
      <c r="AD22" s="899"/>
      <c r="AE22" s="899"/>
      <c r="AF22" s="899"/>
      <c r="AG22" s="899"/>
      <c r="AH22" s="899"/>
      <c r="AI22" s="899"/>
      <c r="AJ22" s="899"/>
      <c r="AK22" s="899"/>
      <c r="AL22" s="899"/>
      <c r="AM22" s="899"/>
      <c r="AN22" s="899"/>
      <c r="AO22" s="899"/>
      <c r="AP22" s="899"/>
      <c r="AQ22" s="899"/>
      <c r="AR22" s="899"/>
      <c r="AS22" s="899"/>
      <c r="AT22" s="899"/>
      <c r="AU22" s="899"/>
      <c r="AV22" s="899"/>
    </row>
    <row r="23" spans="1:48" s="875" customFormat="1">
      <c r="A23" s="897" t="s">
        <v>709</v>
      </c>
      <c r="B23" s="898" t="s">
        <v>746</v>
      </c>
      <c r="C23" s="891">
        <v>11476.09</v>
      </c>
      <c r="D23" s="891">
        <v>11476.09</v>
      </c>
      <c r="E23" s="891">
        <v>11476.09</v>
      </c>
      <c r="F23" s="891">
        <v>11859.52</v>
      </c>
      <c r="G23" s="891">
        <v>11859.52</v>
      </c>
      <c r="H23" s="891">
        <v>11859.52</v>
      </c>
      <c r="I23" s="891">
        <v>11859.52</v>
      </c>
      <c r="J23" s="891">
        <v>11859.52</v>
      </c>
      <c r="K23" s="891">
        <v>11859.52</v>
      </c>
      <c r="L23" s="891">
        <v>11859.52</v>
      </c>
      <c r="M23" s="891">
        <v>11859.52</v>
      </c>
      <c r="N23" s="891">
        <v>11859.52</v>
      </c>
      <c r="O23" s="891">
        <v>141163.95000000001</v>
      </c>
      <c r="P23" s="899"/>
      <c r="Q23" s="899"/>
      <c r="R23" s="899"/>
      <c r="S23" s="899"/>
      <c r="T23" s="899"/>
      <c r="U23" s="899"/>
      <c r="V23" s="899"/>
      <c r="W23" s="899"/>
      <c r="X23" s="899"/>
      <c r="Y23" s="899"/>
      <c r="Z23" s="899"/>
      <c r="AA23" s="899"/>
      <c r="AB23" s="899"/>
      <c r="AC23" s="899"/>
      <c r="AD23" s="899"/>
      <c r="AE23" s="899"/>
      <c r="AF23" s="899"/>
      <c r="AG23" s="899"/>
      <c r="AH23" s="899"/>
      <c r="AI23" s="899"/>
      <c r="AJ23" s="899"/>
      <c r="AK23" s="899"/>
      <c r="AL23" s="899"/>
      <c r="AM23" s="899"/>
      <c r="AN23" s="899"/>
      <c r="AO23" s="899"/>
      <c r="AP23" s="899"/>
      <c r="AQ23" s="899"/>
      <c r="AR23" s="899"/>
      <c r="AS23" s="899"/>
      <c r="AT23" s="899"/>
      <c r="AU23" s="899"/>
      <c r="AV23" s="899"/>
    </row>
    <row r="24" spans="1:48" s="875" customFormat="1">
      <c r="A24" s="835" t="s">
        <v>747</v>
      </c>
      <c r="B24" s="836" t="s">
        <v>748</v>
      </c>
      <c r="C24" s="891"/>
      <c r="D24" s="891"/>
      <c r="E24" s="891"/>
      <c r="F24" s="891"/>
      <c r="G24" s="891"/>
      <c r="H24" s="891"/>
      <c r="I24" s="891"/>
      <c r="J24" s="891"/>
      <c r="K24" s="891"/>
      <c r="L24" s="891"/>
      <c r="M24" s="891"/>
      <c r="N24" s="891"/>
      <c r="O24" s="891"/>
      <c r="P24" s="899"/>
      <c r="Q24" s="899"/>
      <c r="R24" s="899"/>
      <c r="S24" s="899"/>
      <c r="T24" s="899"/>
      <c r="U24" s="899"/>
      <c r="V24" s="899"/>
      <c r="W24" s="899"/>
      <c r="X24" s="899"/>
      <c r="Y24" s="899"/>
      <c r="Z24" s="899"/>
      <c r="AA24" s="899"/>
      <c r="AB24" s="899"/>
      <c r="AC24" s="899"/>
      <c r="AD24" s="899"/>
      <c r="AE24" s="899"/>
      <c r="AF24" s="899"/>
      <c r="AG24" s="899"/>
      <c r="AH24" s="899"/>
      <c r="AI24" s="899"/>
      <c r="AJ24" s="899"/>
      <c r="AK24" s="899"/>
      <c r="AL24" s="899"/>
      <c r="AM24" s="899"/>
      <c r="AN24" s="899"/>
      <c r="AO24" s="899"/>
      <c r="AP24" s="899"/>
      <c r="AQ24" s="899"/>
      <c r="AR24" s="899"/>
      <c r="AS24" s="899"/>
      <c r="AT24" s="899"/>
      <c r="AU24" s="899"/>
      <c r="AV24" s="899"/>
    </row>
    <row r="25" spans="1:48" s="875" customFormat="1">
      <c r="A25" s="835" t="s">
        <v>749</v>
      </c>
      <c r="B25" s="836" t="s">
        <v>750</v>
      </c>
      <c r="C25" s="891">
        <v>6715.55</v>
      </c>
      <c r="D25" s="891">
        <v>6715.55</v>
      </c>
      <c r="E25" s="891">
        <v>6715.55</v>
      </c>
      <c r="F25" s="891">
        <v>6715.55</v>
      </c>
      <c r="G25" s="891">
        <v>6715.39</v>
      </c>
      <c r="H25" s="891">
        <v>6715.55</v>
      </c>
      <c r="I25" s="891">
        <v>6715.55</v>
      </c>
      <c r="J25" s="891">
        <v>6715.55</v>
      </c>
      <c r="K25" s="891">
        <v>6715.55</v>
      </c>
      <c r="L25" s="891">
        <v>6715.55</v>
      </c>
      <c r="M25" s="891">
        <v>6715.55</v>
      </c>
      <c r="N25" s="891">
        <v>6715.55</v>
      </c>
      <c r="O25" s="891">
        <v>80586.44</v>
      </c>
      <c r="P25" s="899"/>
      <c r="Q25" s="899"/>
      <c r="R25" s="899"/>
      <c r="S25" s="899"/>
      <c r="T25" s="899"/>
      <c r="U25" s="899"/>
      <c r="V25" s="899"/>
      <c r="W25" s="899"/>
      <c r="X25" s="899"/>
      <c r="Y25" s="899"/>
      <c r="Z25" s="899"/>
      <c r="AA25" s="899"/>
      <c r="AB25" s="899"/>
      <c r="AC25" s="899"/>
      <c r="AD25" s="899"/>
      <c r="AE25" s="899"/>
      <c r="AF25" s="899"/>
      <c r="AG25" s="899"/>
      <c r="AH25" s="899"/>
      <c r="AI25" s="899"/>
      <c r="AJ25" s="899"/>
      <c r="AK25" s="899"/>
      <c r="AL25" s="899"/>
      <c r="AM25" s="899"/>
      <c r="AN25" s="899"/>
      <c r="AO25" s="899"/>
      <c r="AP25" s="899"/>
      <c r="AQ25" s="899"/>
      <c r="AR25" s="899"/>
      <c r="AS25" s="899"/>
      <c r="AT25" s="899"/>
      <c r="AU25" s="899"/>
      <c r="AV25" s="899"/>
    </row>
    <row r="26" spans="1:48" s="875" customFormat="1">
      <c r="A26" s="835" t="s">
        <v>751</v>
      </c>
      <c r="B26" s="836" t="s">
        <v>752</v>
      </c>
      <c r="C26" s="891">
        <v>0</v>
      </c>
      <c r="D26" s="891">
        <v>0</v>
      </c>
      <c r="E26" s="891">
        <v>0</v>
      </c>
      <c r="F26" s="891">
        <v>628</v>
      </c>
      <c r="G26" s="891">
        <v>0</v>
      </c>
      <c r="H26" s="891">
        <v>-10818</v>
      </c>
      <c r="I26" s="891">
        <v>4482</v>
      </c>
      <c r="J26" s="891">
        <v>-8074</v>
      </c>
      <c r="K26" s="891">
        <v>-1379</v>
      </c>
      <c r="L26" s="891">
        <v>-1158.74</v>
      </c>
      <c r="M26" s="891">
        <v>-1387</v>
      </c>
      <c r="N26" s="891">
        <v>-1745</v>
      </c>
      <c r="O26" s="891">
        <v>-19451.740000000002</v>
      </c>
      <c r="P26" s="899"/>
      <c r="Q26" s="899"/>
      <c r="R26" s="899"/>
      <c r="S26" s="899"/>
      <c r="T26" s="899"/>
      <c r="U26" s="899"/>
      <c r="V26" s="899"/>
      <c r="W26" s="899"/>
      <c r="X26" s="899"/>
      <c r="Y26" s="899"/>
      <c r="Z26" s="899"/>
      <c r="AA26" s="899"/>
      <c r="AB26" s="899"/>
      <c r="AC26" s="899"/>
      <c r="AD26" s="899"/>
      <c r="AE26" s="899"/>
      <c r="AF26" s="899"/>
      <c r="AG26" s="899"/>
      <c r="AH26" s="899"/>
      <c r="AI26" s="899"/>
      <c r="AJ26" s="899"/>
      <c r="AK26" s="899"/>
      <c r="AL26" s="899"/>
      <c r="AM26" s="899"/>
      <c r="AN26" s="899"/>
      <c r="AO26" s="899"/>
      <c r="AP26" s="899"/>
      <c r="AQ26" s="899"/>
      <c r="AR26" s="899"/>
      <c r="AS26" s="899"/>
      <c r="AT26" s="899"/>
      <c r="AU26" s="899"/>
      <c r="AV26" s="899"/>
    </row>
    <row r="27" spans="1:48" s="875" customFormat="1">
      <c r="A27" s="897" t="s">
        <v>709</v>
      </c>
      <c r="B27" s="898" t="s">
        <v>753</v>
      </c>
      <c r="C27" s="891">
        <v>6715.55</v>
      </c>
      <c r="D27" s="891">
        <v>6715.55</v>
      </c>
      <c r="E27" s="891">
        <v>6715.55</v>
      </c>
      <c r="F27" s="891">
        <v>7343.55</v>
      </c>
      <c r="G27" s="891">
        <v>6715.39</v>
      </c>
      <c r="H27" s="891">
        <v>-4102.45</v>
      </c>
      <c r="I27" s="891">
        <v>11197.55</v>
      </c>
      <c r="J27" s="891">
        <v>-1358.45</v>
      </c>
      <c r="K27" s="891">
        <v>5336.55</v>
      </c>
      <c r="L27" s="891">
        <v>5556.81</v>
      </c>
      <c r="M27" s="891">
        <v>5328.55</v>
      </c>
      <c r="N27" s="891">
        <v>4970.55</v>
      </c>
      <c r="O27" s="891">
        <v>61134.7</v>
      </c>
      <c r="P27" s="899"/>
      <c r="Q27" s="899"/>
      <c r="R27" s="899"/>
      <c r="S27" s="899"/>
      <c r="T27" s="899"/>
      <c r="U27" s="899"/>
      <c r="V27" s="899"/>
      <c r="W27" s="899"/>
      <c r="X27" s="899"/>
      <c r="Y27" s="899"/>
      <c r="Z27" s="899"/>
      <c r="AA27" s="899"/>
      <c r="AB27" s="899"/>
      <c r="AC27" s="899"/>
      <c r="AD27" s="899"/>
      <c r="AE27" s="899"/>
      <c r="AF27" s="899"/>
      <c r="AG27" s="899"/>
      <c r="AH27" s="899"/>
      <c r="AI27" s="899"/>
      <c r="AJ27" s="899"/>
      <c r="AK27" s="899"/>
      <c r="AL27" s="899"/>
      <c r="AM27" s="899"/>
      <c r="AN27" s="899"/>
      <c r="AO27" s="899"/>
      <c r="AP27" s="899"/>
      <c r="AQ27" s="899"/>
      <c r="AR27" s="899"/>
      <c r="AS27" s="899"/>
      <c r="AT27" s="899"/>
      <c r="AU27" s="899"/>
      <c r="AV27" s="899"/>
    </row>
    <row r="28" spans="1:48" s="875" customFormat="1">
      <c r="A28" s="835" t="s">
        <v>754</v>
      </c>
      <c r="B28" s="836" t="s">
        <v>755</v>
      </c>
      <c r="C28" s="891"/>
      <c r="D28" s="891"/>
      <c r="E28" s="891"/>
      <c r="F28" s="891"/>
      <c r="G28" s="891"/>
      <c r="H28" s="891"/>
      <c r="I28" s="891"/>
      <c r="J28" s="891"/>
      <c r="K28" s="891"/>
      <c r="L28" s="891"/>
      <c r="M28" s="891"/>
      <c r="N28" s="891"/>
      <c r="O28" s="891"/>
      <c r="P28" s="899"/>
      <c r="Q28" s="899"/>
      <c r="R28" s="899"/>
      <c r="S28" s="899"/>
      <c r="T28" s="899"/>
      <c r="U28" s="899"/>
      <c r="V28" s="899"/>
      <c r="W28" s="899"/>
      <c r="X28" s="899"/>
      <c r="Y28" s="899"/>
      <c r="Z28" s="899"/>
      <c r="AA28" s="899"/>
      <c r="AB28" s="899"/>
      <c r="AC28" s="899"/>
      <c r="AD28" s="899"/>
      <c r="AE28" s="899"/>
      <c r="AF28" s="899"/>
      <c r="AG28" s="899"/>
      <c r="AH28" s="899"/>
      <c r="AI28" s="899"/>
      <c r="AJ28" s="899"/>
      <c r="AK28" s="899"/>
      <c r="AL28" s="899"/>
      <c r="AM28" s="899"/>
      <c r="AN28" s="899"/>
      <c r="AO28" s="899"/>
      <c r="AP28" s="899"/>
      <c r="AQ28" s="899"/>
      <c r="AR28" s="899"/>
      <c r="AS28" s="899"/>
      <c r="AT28" s="899"/>
      <c r="AU28" s="899"/>
      <c r="AV28" s="899"/>
    </row>
    <row r="29" spans="1:48" s="875" customFormat="1">
      <c r="A29" s="835" t="s">
        <v>756</v>
      </c>
      <c r="B29" s="836" t="s">
        <v>757</v>
      </c>
      <c r="C29" s="891"/>
      <c r="D29" s="891"/>
      <c r="E29" s="891"/>
      <c r="F29" s="891"/>
      <c r="G29" s="891"/>
      <c r="H29" s="891"/>
      <c r="I29" s="891"/>
      <c r="J29" s="891"/>
      <c r="K29" s="891"/>
      <c r="L29" s="891"/>
      <c r="M29" s="891"/>
      <c r="N29" s="891"/>
      <c r="O29" s="891"/>
      <c r="P29" s="899"/>
      <c r="Q29" s="899"/>
      <c r="R29" s="899"/>
      <c r="S29" s="899"/>
      <c r="T29" s="899"/>
      <c r="U29" s="899"/>
      <c r="V29" s="899"/>
      <c r="W29" s="899"/>
      <c r="X29" s="899"/>
      <c r="Y29" s="899"/>
      <c r="Z29" s="899"/>
      <c r="AA29" s="899"/>
      <c r="AB29" s="899"/>
      <c r="AC29" s="899"/>
      <c r="AD29" s="899"/>
      <c r="AE29" s="899"/>
      <c r="AF29" s="899"/>
      <c r="AG29" s="899"/>
      <c r="AH29" s="899"/>
      <c r="AI29" s="899"/>
      <c r="AJ29" s="899"/>
      <c r="AK29" s="899"/>
      <c r="AL29" s="899"/>
      <c r="AM29" s="899"/>
      <c r="AN29" s="899"/>
      <c r="AO29" s="899"/>
      <c r="AP29" s="899"/>
      <c r="AQ29" s="899"/>
      <c r="AR29" s="899"/>
      <c r="AS29" s="899"/>
      <c r="AT29" s="899"/>
      <c r="AU29" s="899"/>
      <c r="AV29" s="899"/>
    </row>
    <row r="30" spans="1:48" s="875" customFormat="1">
      <c r="A30" s="835" t="s">
        <v>872</v>
      </c>
      <c r="B30" s="836" t="s">
        <v>873</v>
      </c>
      <c r="C30" s="891">
        <v>0</v>
      </c>
      <c r="D30" s="891">
        <v>454.54</v>
      </c>
      <c r="E30" s="891">
        <v>45.46</v>
      </c>
      <c r="F30" s="891">
        <v>0</v>
      </c>
      <c r="G30" s="891">
        <v>0</v>
      </c>
      <c r="H30" s="891">
        <v>500</v>
      </c>
      <c r="I30" s="891">
        <v>0</v>
      </c>
      <c r="J30" s="891">
        <v>0</v>
      </c>
      <c r="K30" s="891">
        <v>0</v>
      </c>
      <c r="L30" s="891">
        <v>0</v>
      </c>
      <c r="M30" s="891">
        <v>0</v>
      </c>
      <c r="N30" s="891">
        <v>-500</v>
      </c>
      <c r="O30" s="891">
        <v>500</v>
      </c>
      <c r="P30" s="899"/>
      <c r="Q30" s="899"/>
      <c r="R30" s="899"/>
      <c r="S30" s="899"/>
      <c r="T30" s="899"/>
      <c r="U30" s="899"/>
      <c r="V30" s="899"/>
      <c r="W30" s="899"/>
      <c r="X30" s="899"/>
      <c r="Y30" s="899"/>
      <c r="Z30" s="899"/>
      <c r="AA30" s="899"/>
      <c r="AB30" s="899"/>
      <c r="AC30" s="899"/>
      <c r="AD30" s="899"/>
      <c r="AE30" s="899"/>
      <c r="AF30" s="899"/>
      <c r="AG30" s="899"/>
      <c r="AH30" s="899"/>
      <c r="AI30" s="899"/>
      <c r="AJ30" s="899"/>
      <c r="AK30" s="899"/>
      <c r="AL30" s="899"/>
      <c r="AM30" s="899"/>
      <c r="AN30" s="899"/>
      <c r="AO30" s="899"/>
      <c r="AP30" s="899"/>
      <c r="AQ30" s="899"/>
      <c r="AR30" s="899"/>
      <c r="AS30" s="899"/>
      <c r="AT30" s="899"/>
      <c r="AU30" s="899"/>
      <c r="AV30" s="899"/>
    </row>
    <row r="31" spans="1:48" s="875" customFormat="1">
      <c r="A31" s="835" t="s">
        <v>874</v>
      </c>
      <c r="B31" s="836" t="s">
        <v>875</v>
      </c>
      <c r="C31" s="891">
        <v>0</v>
      </c>
      <c r="D31" s="891">
        <v>0</v>
      </c>
      <c r="E31" s="891">
        <v>0</v>
      </c>
      <c r="F31" s="891">
        <v>0</v>
      </c>
      <c r="G31" s="891">
        <v>0</v>
      </c>
      <c r="H31" s="891">
        <v>0</v>
      </c>
      <c r="I31" s="891">
        <v>0</v>
      </c>
      <c r="J31" s="891">
        <v>0</v>
      </c>
      <c r="K31" s="891">
        <v>0</v>
      </c>
      <c r="L31" s="891">
        <v>0</v>
      </c>
      <c r="M31" s="891">
        <v>0</v>
      </c>
      <c r="N31" s="891">
        <v>2788.85</v>
      </c>
      <c r="O31" s="891">
        <v>2788.85</v>
      </c>
      <c r="P31" s="899"/>
      <c r="Q31" s="899"/>
      <c r="R31" s="899"/>
      <c r="S31" s="899"/>
      <c r="T31" s="899"/>
      <c r="U31" s="899"/>
      <c r="V31" s="899"/>
      <c r="W31" s="899"/>
      <c r="X31" s="899"/>
      <c r="Y31" s="899"/>
      <c r="Z31" s="899"/>
      <c r="AA31" s="899"/>
      <c r="AB31" s="899"/>
      <c r="AC31" s="899"/>
      <c r="AD31" s="899"/>
      <c r="AE31" s="899"/>
      <c r="AF31" s="899"/>
      <c r="AG31" s="899"/>
      <c r="AH31" s="899"/>
      <c r="AI31" s="899"/>
      <c r="AJ31" s="899"/>
      <c r="AK31" s="899"/>
      <c r="AL31" s="899"/>
      <c r="AM31" s="899"/>
      <c r="AN31" s="899"/>
      <c r="AO31" s="899"/>
      <c r="AP31" s="899"/>
      <c r="AQ31" s="899"/>
      <c r="AR31" s="899"/>
      <c r="AS31" s="899"/>
      <c r="AT31" s="899"/>
      <c r="AU31" s="899"/>
      <c r="AV31" s="899"/>
    </row>
    <row r="32" spans="1:48" s="875" customFormat="1">
      <c r="A32" s="835" t="s">
        <v>876</v>
      </c>
      <c r="B32" s="836" t="s">
        <v>877</v>
      </c>
      <c r="C32" s="891">
        <v>0</v>
      </c>
      <c r="D32" s="891">
        <v>0</v>
      </c>
      <c r="E32" s="891">
        <v>0</v>
      </c>
      <c r="F32" s="891">
        <v>0</v>
      </c>
      <c r="G32" s="891">
        <v>0</v>
      </c>
      <c r="H32" s="891">
        <v>2109.6999999999998</v>
      </c>
      <c r="I32" s="891">
        <v>0</v>
      </c>
      <c r="J32" s="891">
        <v>0</v>
      </c>
      <c r="K32" s="891">
        <v>0</v>
      </c>
      <c r="L32" s="891">
        <v>0</v>
      </c>
      <c r="M32" s="891">
        <v>0</v>
      </c>
      <c r="N32" s="891">
        <v>0</v>
      </c>
      <c r="O32" s="891">
        <v>2109.6999999999998</v>
      </c>
      <c r="P32" s="899"/>
      <c r="Q32" s="899"/>
      <c r="R32" s="899"/>
      <c r="S32" s="899"/>
      <c r="T32" s="899"/>
      <c r="U32" s="899"/>
      <c r="V32" s="899"/>
      <c r="W32" s="899"/>
      <c r="X32" s="899"/>
      <c r="Y32" s="899"/>
      <c r="Z32" s="899"/>
      <c r="AA32" s="899"/>
      <c r="AB32" s="899"/>
      <c r="AC32" s="899"/>
      <c r="AD32" s="899"/>
      <c r="AE32" s="899"/>
      <c r="AF32" s="899"/>
      <c r="AG32" s="899"/>
      <c r="AH32" s="899"/>
      <c r="AI32" s="899"/>
      <c r="AJ32" s="899"/>
      <c r="AK32" s="899"/>
      <c r="AL32" s="899"/>
      <c r="AM32" s="899"/>
      <c r="AN32" s="899"/>
      <c r="AO32" s="899"/>
      <c r="AP32" s="899"/>
      <c r="AQ32" s="899"/>
      <c r="AR32" s="899"/>
      <c r="AS32" s="899"/>
      <c r="AT32" s="899"/>
      <c r="AU32" s="899"/>
      <c r="AV32" s="899"/>
    </row>
    <row r="33" spans="1:48" s="875" customFormat="1">
      <c r="A33" s="835" t="s">
        <v>878</v>
      </c>
      <c r="B33" s="836" t="s">
        <v>879</v>
      </c>
      <c r="C33" s="891">
        <v>0</v>
      </c>
      <c r="D33" s="891">
        <v>0</v>
      </c>
      <c r="E33" s="891">
        <v>0</v>
      </c>
      <c r="F33" s="891">
        <v>0</v>
      </c>
      <c r="G33" s="891">
        <v>0.3</v>
      </c>
      <c r="H33" s="891">
        <v>0</v>
      </c>
      <c r="I33" s="891">
        <v>0</v>
      </c>
      <c r="J33" s="891">
        <v>0</v>
      </c>
      <c r="K33" s="891">
        <v>0</v>
      </c>
      <c r="L33" s="891">
        <v>0</v>
      </c>
      <c r="M33" s="891">
        <v>0</v>
      </c>
      <c r="N33" s="891">
        <v>0</v>
      </c>
      <c r="O33" s="891">
        <v>0.3</v>
      </c>
      <c r="P33" s="899"/>
      <c r="Q33" s="899"/>
      <c r="R33" s="899"/>
      <c r="S33" s="899"/>
      <c r="T33" s="899"/>
      <c r="U33" s="899"/>
      <c r="V33" s="899"/>
      <c r="W33" s="899"/>
      <c r="X33" s="899"/>
      <c r="Y33" s="899"/>
      <c r="Z33" s="899"/>
      <c r="AA33" s="899"/>
      <c r="AB33" s="899"/>
      <c r="AC33" s="899"/>
      <c r="AD33" s="899"/>
      <c r="AE33" s="899"/>
      <c r="AF33" s="899"/>
      <c r="AG33" s="899"/>
      <c r="AH33" s="899"/>
      <c r="AI33" s="899"/>
      <c r="AJ33" s="899"/>
      <c r="AK33" s="899"/>
      <c r="AL33" s="899"/>
      <c r="AM33" s="899"/>
      <c r="AN33" s="899"/>
      <c r="AO33" s="899"/>
      <c r="AP33" s="899"/>
      <c r="AQ33" s="899"/>
      <c r="AR33" s="899"/>
      <c r="AS33" s="899"/>
      <c r="AT33" s="899"/>
      <c r="AU33" s="899"/>
      <c r="AV33" s="899"/>
    </row>
    <row r="34" spans="1:48" s="875" customFormat="1">
      <c r="A34" s="897" t="s">
        <v>709</v>
      </c>
      <c r="B34" s="898" t="s">
        <v>760</v>
      </c>
      <c r="C34" s="891">
        <v>0</v>
      </c>
      <c r="D34" s="891">
        <v>454.54</v>
      </c>
      <c r="E34" s="891">
        <v>45.46</v>
      </c>
      <c r="F34" s="891">
        <v>0</v>
      </c>
      <c r="G34" s="891">
        <v>0.3</v>
      </c>
      <c r="H34" s="891">
        <v>2609.6999999999998</v>
      </c>
      <c r="I34" s="891">
        <v>0</v>
      </c>
      <c r="J34" s="891">
        <v>0</v>
      </c>
      <c r="K34" s="891">
        <v>0</v>
      </c>
      <c r="L34" s="891">
        <v>0</v>
      </c>
      <c r="M34" s="891">
        <v>0</v>
      </c>
      <c r="N34" s="891">
        <v>2288.85</v>
      </c>
      <c r="O34" s="891">
        <v>5398.85</v>
      </c>
      <c r="P34" s="899"/>
      <c r="Q34" s="899"/>
      <c r="R34" s="899"/>
      <c r="S34" s="899"/>
      <c r="T34" s="899"/>
      <c r="U34" s="899"/>
      <c r="V34" s="899"/>
      <c r="W34" s="899"/>
      <c r="X34" s="899"/>
      <c r="Y34" s="899"/>
      <c r="Z34" s="899"/>
      <c r="AA34" s="899"/>
      <c r="AB34" s="899"/>
      <c r="AC34" s="899"/>
      <c r="AD34" s="899"/>
      <c r="AE34" s="899"/>
      <c r="AF34" s="899"/>
      <c r="AG34" s="899"/>
      <c r="AH34" s="899"/>
      <c r="AI34" s="899"/>
      <c r="AJ34" s="899"/>
      <c r="AK34" s="899"/>
      <c r="AL34" s="899"/>
      <c r="AM34" s="899"/>
      <c r="AN34" s="899"/>
      <c r="AO34" s="899"/>
      <c r="AP34" s="899"/>
      <c r="AQ34" s="899"/>
      <c r="AR34" s="899"/>
      <c r="AS34" s="899"/>
      <c r="AT34" s="899"/>
      <c r="AU34" s="899"/>
      <c r="AV34" s="899"/>
    </row>
    <row r="35" spans="1:48" s="875" customFormat="1">
      <c r="A35" s="835" t="s">
        <v>709</v>
      </c>
      <c r="B35" s="836" t="s">
        <v>761</v>
      </c>
      <c r="C35" s="891">
        <v>523959.61</v>
      </c>
      <c r="D35" s="891">
        <v>524414.15</v>
      </c>
      <c r="E35" s="891">
        <v>524005.07</v>
      </c>
      <c r="F35" s="891">
        <v>524971.04</v>
      </c>
      <c r="G35" s="891">
        <v>524343.04000000004</v>
      </c>
      <c r="H35" s="891">
        <v>516168.24</v>
      </c>
      <c r="I35" s="891">
        <v>528911.59</v>
      </c>
      <c r="J35" s="891">
        <v>516355.59</v>
      </c>
      <c r="K35" s="891">
        <v>523050.59</v>
      </c>
      <c r="L35" s="891">
        <v>523270.85</v>
      </c>
      <c r="M35" s="891">
        <v>523042.45</v>
      </c>
      <c r="N35" s="891">
        <v>524973.43999999994</v>
      </c>
      <c r="O35" s="891">
        <v>6277465.6600000001</v>
      </c>
      <c r="P35" s="899"/>
      <c r="Q35" s="899"/>
      <c r="R35" s="899"/>
      <c r="S35" s="899"/>
      <c r="T35" s="899"/>
      <c r="U35" s="899"/>
      <c r="V35" s="899"/>
      <c r="W35" s="899"/>
      <c r="X35" s="899"/>
      <c r="Y35" s="899"/>
      <c r="Z35" s="899"/>
      <c r="AA35" s="899"/>
      <c r="AB35" s="899"/>
      <c r="AC35" s="899"/>
      <c r="AD35" s="899"/>
      <c r="AE35" s="899"/>
      <c r="AF35" s="899"/>
      <c r="AG35" s="899"/>
      <c r="AH35" s="899"/>
      <c r="AI35" s="899"/>
      <c r="AJ35" s="899"/>
      <c r="AK35" s="899"/>
      <c r="AL35" s="899"/>
      <c r="AM35" s="899"/>
      <c r="AN35" s="899"/>
      <c r="AO35" s="899"/>
      <c r="AP35" s="899"/>
      <c r="AQ35" s="899"/>
      <c r="AR35" s="899"/>
      <c r="AS35" s="899"/>
      <c r="AT35" s="899"/>
      <c r="AU35" s="899"/>
      <c r="AV35" s="899"/>
    </row>
    <row r="36" spans="1:48" s="875" customFormat="1">
      <c r="A36" s="835" t="s">
        <v>709</v>
      </c>
      <c r="B36" s="836"/>
      <c r="C36" s="891"/>
      <c r="D36" s="891"/>
      <c r="E36" s="891"/>
      <c r="F36" s="891"/>
      <c r="G36" s="891"/>
      <c r="H36" s="891"/>
      <c r="I36" s="891"/>
      <c r="J36" s="891"/>
      <c r="K36" s="891"/>
      <c r="L36" s="891"/>
      <c r="M36" s="891"/>
      <c r="N36" s="891"/>
      <c r="O36" s="891"/>
      <c r="P36" s="899"/>
      <c r="Q36" s="899"/>
      <c r="R36" s="899"/>
      <c r="S36" s="899"/>
      <c r="T36" s="899"/>
      <c r="U36" s="899"/>
      <c r="V36" s="899"/>
      <c r="W36" s="899"/>
      <c r="X36" s="899"/>
      <c r="Y36" s="899"/>
      <c r="Z36" s="899"/>
      <c r="AA36" s="899"/>
      <c r="AB36" s="899"/>
      <c r="AC36" s="899"/>
      <c r="AD36" s="899"/>
      <c r="AE36" s="899"/>
      <c r="AF36" s="899"/>
      <c r="AG36" s="899"/>
      <c r="AH36" s="899"/>
      <c r="AI36" s="899"/>
      <c r="AJ36" s="899"/>
      <c r="AK36" s="899"/>
      <c r="AL36" s="899"/>
      <c r="AM36" s="899"/>
      <c r="AN36" s="899"/>
      <c r="AO36" s="899"/>
      <c r="AP36" s="899"/>
      <c r="AQ36" s="899"/>
      <c r="AR36" s="899"/>
      <c r="AS36" s="899"/>
      <c r="AT36" s="899"/>
      <c r="AU36" s="899"/>
      <c r="AV36" s="899"/>
    </row>
    <row r="37" spans="1:48" s="875" customFormat="1">
      <c r="A37" s="835" t="s">
        <v>762</v>
      </c>
      <c r="B37" s="836" t="s">
        <v>763</v>
      </c>
      <c r="C37" s="891"/>
      <c r="D37" s="891"/>
      <c r="E37" s="891"/>
      <c r="F37" s="891"/>
      <c r="G37" s="891"/>
      <c r="H37" s="891"/>
      <c r="I37" s="891"/>
      <c r="J37" s="891"/>
      <c r="K37" s="891"/>
      <c r="L37" s="891"/>
      <c r="M37" s="891"/>
      <c r="N37" s="891"/>
      <c r="O37" s="891"/>
      <c r="P37" s="899"/>
      <c r="Q37" s="899"/>
      <c r="R37" s="899"/>
      <c r="S37" s="899"/>
      <c r="T37" s="899"/>
      <c r="U37" s="899"/>
      <c r="V37" s="899"/>
      <c r="W37" s="899"/>
      <c r="X37" s="899"/>
      <c r="Y37" s="899"/>
      <c r="Z37" s="899"/>
      <c r="AA37" s="899"/>
      <c r="AB37" s="899"/>
      <c r="AC37" s="899"/>
      <c r="AD37" s="899"/>
      <c r="AE37" s="899"/>
      <c r="AF37" s="899"/>
      <c r="AG37" s="899"/>
      <c r="AH37" s="899"/>
      <c r="AI37" s="899"/>
      <c r="AJ37" s="899"/>
      <c r="AK37" s="899"/>
      <c r="AL37" s="899"/>
      <c r="AM37" s="899"/>
      <c r="AN37" s="899"/>
      <c r="AO37" s="899"/>
      <c r="AP37" s="899"/>
      <c r="AQ37" s="899"/>
      <c r="AR37" s="899"/>
      <c r="AS37" s="899"/>
      <c r="AT37" s="899"/>
      <c r="AU37" s="899"/>
      <c r="AV37" s="899"/>
    </row>
    <row r="38" spans="1:48" s="875" customFormat="1">
      <c r="A38" s="835" t="s">
        <v>764</v>
      </c>
      <c r="B38" s="836" t="s">
        <v>765</v>
      </c>
      <c r="C38" s="891"/>
      <c r="D38" s="891"/>
      <c r="E38" s="891"/>
      <c r="F38" s="891"/>
      <c r="G38" s="891"/>
      <c r="H38" s="891"/>
      <c r="I38" s="891"/>
      <c r="J38" s="891"/>
      <c r="K38" s="891"/>
      <c r="L38" s="891"/>
      <c r="M38" s="891"/>
      <c r="N38" s="891"/>
      <c r="O38" s="891"/>
      <c r="P38" s="899"/>
      <c r="Q38" s="899"/>
      <c r="R38" s="899"/>
      <c r="S38" s="899"/>
      <c r="T38" s="899"/>
      <c r="U38" s="899"/>
      <c r="V38" s="899"/>
      <c r="W38" s="899"/>
      <c r="X38" s="899"/>
      <c r="Y38" s="899"/>
      <c r="Z38" s="899"/>
      <c r="AA38" s="899"/>
      <c r="AB38" s="899"/>
      <c r="AC38" s="899"/>
      <c r="AD38" s="899"/>
      <c r="AE38" s="899"/>
      <c r="AF38" s="899"/>
      <c r="AG38" s="899"/>
      <c r="AH38" s="899"/>
      <c r="AI38" s="899"/>
      <c r="AJ38" s="899"/>
      <c r="AK38" s="899"/>
      <c r="AL38" s="899"/>
      <c r="AM38" s="899"/>
      <c r="AN38" s="899"/>
      <c r="AO38" s="899"/>
      <c r="AP38" s="899"/>
      <c r="AQ38" s="899"/>
      <c r="AR38" s="899"/>
      <c r="AS38" s="899"/>
      <c r="AT38" s="899"/>
      <c r="AU38" s="899"/>
      <c r="AV38" s="899"/>
    </row>
    <row r="39" spans="1:48" s="875" customFormat="1">
      <c r="A39" s="835" t="s">
        <v>880</v>
      </c>
      <c r="B39" s="836" t="s">
        <v>881</v>
      </c>
      <c r="C39" s="891">
        <v>0</v>
      </c>
      <c r="D39" s="891">
        <v>454.54</v>
      </c>
      <c r="E39" s="891">
        <v>45.46</v>
      </c>
      <c r="F39" s="891">
        <v>0</v>
      </c>
      <c r="G39" s="891">
        <v>0</v>
      </c>
      <c r="H39" s="891">
        <v>0</v>
      </c>
      <c r="I39" s="891">
        <v>0</v>
      </c>
      <c r="J39" s="891">
        <v>0</v>
      </c>
      <c r="K39" s="891">
        <v>0</v>
      </c>
      <c r="L39" s="891">
        <v>0</v>
      </c>
      <c r="M39" s="891">
        <v>0</v>
      </c>
      <c r="N39" s="891">
        <v>0</v>
      </c>
      <c r="O39" s="901">
        <v>500</v>
      </c>
      <c r="P39" s="899"/>
      <c r="Q39" s="899"/>
      <c r="R39" s="899"/>
      <c r="S39" s="899"/>
      <c r="T39" s="899"/>
      <c r="U39" s="899"/>
      <c r="V39" s="899"/>
      <c r="W39" s="899"/>
      <c r="X39" s="899"/>
      <c r="Y39" s="899"/>
      <c r="Z39" s="899"/>
      <c r="AA39" s="899"/>
      <c r="AB39" s="899"/>
      <c r="AC39" s="899"/>
      <c r="AD39" s="899"/>
      <c r="AE39" s="899"/>
      <c r="AF39" s="899"/>
      <c r="AG39" s="899"/>
      <c r="AH39" s="899"/>
      <c r="AI39" s="899"/>
      <c r="AJ39" s="899"/>
      <c r="AK39" s="899"/>
      <c r="AL39" s="899"/>
      <c r="AM39" s="899"/>
      <c r="AN39" s="899"/>
      <c r="AO39" s="899"/>
      <c r="AP39" s="899"/>
      <c r="AQ39" s="899"/>
      <c r="AR39" s="899"/>
      <c r="AS39" s="899"/>
      <c r="AT39" s="899"/>
      <c r="AU39" s="899"/>
      <c r="AV39" s="899"/>
    </row>
    <row r="40" spans="1:48" s="875" customFormat="1">
      <c r="A40" s="835" t="s">
        <v>882</v>
      </c>
      <c r="B40" s="836" t="s">
        <v>883</v>
      </c>
      <c r="C40" s="891"/>
      <c r="D40" s="891"/>
      <c r="E40" s="891"/>
      <c r="F40" s="891"/>
      <c r="G40" s="891"/>
      <c r="H40" s="891"/>
      <c r="I40" s="891"/>
      <c r="J40" s="891"/>
      <c r="K40" s="891"/>
      <c r="L40" s="891"/>
      <c r="M40" s="891"/>
      <c r="N40" s="891"/>
      <c r="O40" s="901"/>
      <c r="P40" s="899"/>
      <c r="Q40" s="899"/>
      <c r="R40" s="899"/>
      <c r="S40" s="899"/>
      <c r="T40" s="899"/>
      <c r="U40" s="899"/>
      <c r="V40" s="899"/>
      <c r="W40" s="899"/>
      <c r="X40" s="899"/>
      <c r="Y40" s="899"/>
      <c r="Z40" s="899"/>
      <c r="AA40" s="899"/>
      <c r="AB40" s="899"/>
      <c r="AC40" s="899"/>
      <c r="AD40" s="899"/>
      <c r="AE40" s="899"/>
      <c r="AF40" s="899"/>
      <c r="AG40" s="899"/>
      <c r="AH40" s="899"/>
      <c r="AI40" s="899"/>
      <c r="AJ40" s="899"/>
      <c r="AK40" s="899"/>
      <c r="AL40" s="899"/>
      <c r="AM40" s="899"/>
      <c r="AN40" s="899"/>
      <c r="AO40" s="899"/>
      <c r="AP40" s="899"/>
      <c r="AQ40" s="899"/>
      <c r="AR40" s="899"/>
      <c r="AS40" s="899"/>
      <c r="AT40" s="899"/>
      <c r="AU40" s="899"/>
      <c r="AV40" s="899"/>
    </row>
    <row r="41" spans="1:48" s="875" customFormat="1">
      <c r="A41" s="835" t="s">
        <v>884</v>
      </c>
      <c r="B41" s="836" t="s">
        <v>885</v>
      </c>
      <c r="C41" s="891"/>
      <c r="D41" s="891"/>
      <c r="E41" s="891"/>
      <c r="F41" s="891"/>
      <c r="G41" s="891"/>
      <c r="H41" s="891"/>
      <c r="I41" s="891"/>
      <c r="J41" s="891"/>
      <c r="K41" s="891"/>
      <c r="L41" s="891"/>
      <c r="M41" s="891"/>
      <c r="N41" s="891"/>
      <c r="O41" s="901"/>
      <c r="P41" s="899"/>
      <c r="Q41" s="899"/>
      <c r="R41" s="899"/>
      <c r="S41" s="899"/>
      <c r="T41" s="899"/>
      <c r="U41" s="899"/>
      <c r="V41" s="899"/>
      <c r="W41" s="899"/>
      <c r="X41" s="899"/>
      <c r="Y41" s="899"/>
      <c r="Z41" s="899"/>
      <c r="AA41" s="899"/>
      <c r="AB41" s="899"/>
      <c r="AC41" s="899"/>
      <c r="AD41" s="899"/>
      <c r="AE41" s="899"/>
      <c r="AF41" s="899"/>
      <c r="AG41" s="899"/>
      <c r="AH41" s="899"/>
      <c r="AI41" s="899"/>
      <c r="AJ41" s="899"/>
      <c r="AK41" s="899"/>
      <c r="AL41" s="899"/>
      <c r="AM41" s="899"/>
      <c r="AN41" s="899"/>
      <c r="AO41" s="899"/>
      <c r="AP41" s="899"/>
      <c r="AQ41" s="899"/>
      <c r="AR41" s="899"/>
      <c r="AS41" s="899"/>
      <c r="AT41" s="899"/>
      <c r="AU41" s="899"/>
      <c r="AV41" s="899"/>
    </row>
    <row r="42" spans="1:48" s="875" customFormat="1">
      <c r="A42" s="835" t="s">
        <v>886</v>
      </c>
      <c r="B42" s="836" t="s">
        <v>887</v>
      </c>
      <c r="C42" s="891">
        <v>0</v>
      </c>
      <c r="D42" s="891">
        <v>0</v>
      </c>
      <c r="E42" s="891">
        <v>0</v>
      </c>
      <c r="F42" s="891">
        <v>0</v>
      </c>
      <c r="G42" s="891">
        <v>2109.6999999999998</v>
      </c>
      <c r="H42" s="891">
        <v>0</v>
      </c>
      <c r="I42" s="891">
        <v>0</v>
      </c>
      <c r="J42" s="891">
        <v>0</v>
      </c>
      <c r="K42" s="891">
        <v>0</v>
      </c>
      <c r="L42" s="891">
        <v>0</v>
      </c>
      <c r="M42" s="891">
        <v>0</v>
      </c>
      <c r="N42" s="891">
        <v>0</v>
      </c>
      <c r="O42" s="901">
        <v>2109.6999999999998</v>
      </c>
      <c r="P42" s="899"/>
      <c r="Q42" s="899"/>
      <c r="R42" s="899"/>
      <c r="S42" s="899"/>
      <c r="T42" s="899"/>
      <c r="U42" s="899"/>
      <c r="V42" s="899"/>
      <c r="W42" s="899"/>
      <c r="X42" s="899"/>
      <c r="Y42" s="899"/>
      <c r="Z42" s="899"/>
      <c r="AA42" s="899"/>
      <c r="AB42" s="899"/>
      <c r="AC42" s="899"/>
      <c r="AD42" s="899"/>
      <c r="AE42" s="899"/>
      <c r="AF42" s="899"/>
      <c r="AG42" s="899"/>
      <c r="AH42" s="899"/>
      <c r="AI42" s="899"/>
      <c r="AJ42" s="899"/>
      <c r="AK42" s="899"/>
      <c r="AL42" s="899"/>
      <c r="AM42" s="899"/>
      <c r="AN42" s="899"/>
      <c r="AO42" s="899"/>
      <c r="AP42" s="899"/>
      <c r="AQ42" s="899"/>
      <c r="AR42" s="899"/>
      <c r="AS42" s="899"/>
      <c r="AT42" s="899"/>
      <c r="AU42" s="899"/>
      <c r="AV42" s="899"/>
    </row>
    <row r="43" spans="1:48" s="875" customFormat="1">
      <c r="A43" s="835" t="s">
        <v>888</v>
      </c>
      <c r="B43" s="836" t="s">
        <v>889</v>
      </c>
      <c r="C43" s="891">
        <v>0</v>
      </c>
      <c r="D43" s="891">
        <v>0</v>
      </c>
      <c r="E43" s="891">
        <v>0</v>
      </c>
      <c r="F43" s="891">
        <v>0</v>
      </c>
      <c r="G43" s="891">
        <v>0</v>
      </c>
      <c r="H43" s="891">
        <v>0</v>
      </c>
      <c r="I43" s="891">
        <v>0</v>
      </c>
      <c r="J43" s="891">
        <v>0</v>
      </c>
      <c r="K43" s="891">
        <v>0</v>
      </c>
      <c r="L43" s="891">
        <v>0</v>
      </c>
      <c r="M43" s="891">
        <v>0</v>
      </c>
      <c r="N43" s="891">
        <v>2788.85</v>
      </c>
      <c r="O43" s="901">
        <v>2788.85</v>
      </c>
      <c r="P43" s="899"/>
      <c r="Q43" s="899"/>
      <c r="R43" s="899"/>
      <c r="S43" s="899"/>
      <c r="T43" s="899"/>
      <c r="U43" s="899"/>
      <c r="V43" s="899"/>
      <c r="W43" s="899"/>
      <c r="X43" s="899"/>
      <c r="Y43" s="899"/>
      <c r="Z43" s="899"/>
      <c r="AA43" s="899"/>
      <c r="AB43" s="899"/>
      <c r="AC43" s="899"/>
      <c r="AD43" s="899"/>
      <c r="AE43" s="899"/>
      <c r="AF43" s="899"/>
      <c r="AG43" s="899"/>
      <c r="AH43" s="899"/>
      <c r="AI43" s="899"/>
      <c r="AJ43" s="899"/>
      <c r="AK43" s="899"/>
      <c r="AL43" s="899"/>
      <c r="AM43" s="899"/>
      <c r="AN43" s="899"/>
      <c r="AO43" s="899"/>
      <c r="AP43" s="899"/>
      <c r="AQ43" s="899"/>
      <c r="AR43" s="899"/>
      <c r="AS43" s="899"/>
      <c r="AT43" s="899"/>
      <c r="AU43" s="899"/>
      <c r="AV43" s="899"/>
    </row>
    <row r="44" spans="1:48" s="875" customFormat="1">
      <c r="A44" s="835" t="s">
        <v>768</v>
      </c>
      <c r="B44" s="836" t="s">
        <v>769</v>
      </c>
      <c r="C44" s="891"/>
      <c r="D44" s="891"/>
      <c r="E44" s="891"/>
      <c r="F44" s="891"/>
      <c r="G44" s="891"/>
      <c r="H44" s="891"/>
      <c r="I44" s="891"/>
      <c r="J44" s="891"/>
      <c r="K44" s="891"/>
      <c r="L44" s="891"/>
      <c r="M44" s="891"/>
      <c r="N44" s="891"/>
      <c r="O44" s="901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899"/>
      <c r="AB44" s="899"/>
      <c r="AC44" s="899"/>
      <c r="AD44" s="899"/>
      <c r="AE44" s="899"/>
      <c r="AF44" s="899"/>
      <c r="AG44" s="899"/>
      <c r="AH44" s="899"/>
      <c r="AI44" s="899"/>
      <c r="AJ44" s="899"/>
      <c r="AK44" s="899"/>
      <c r="AL44" s="899"/>
      <c r="AM44" s="899"/>
      <c r="AN44" s="899"/>
      <c r="AO44" s="899"/>
      <c r="AP44" s="899"/>
      <c r="AQ44" s="899"/>
      <c r="AR44" s="899"/>
      <c r="AS44" s="899"/>
      <c r="AT44" s="899"/>
      <c r="AU44" s="899"/>
      <c r="AV44" s="899"/>
    </row>
    <row r="45" spans="1:48" s="875" customFormat="1">
      <c r="A45" s="835" t="s">
        <v>770</v>
      </c>
      <c r="B45" s="836" t="s">
        <v>771</v>
      </c>
      <c r="C45" s="891"/>
      <c r="D45" s="891"/>
      <c r="E45" s="891"/>
      <c r="F45" s="891"/>
      <c r="G45" s="891"/>
      <c r="H45" s="891"/>
      <c r="I45" s="891"/>
      <c r="J45" s="891"/>
      <c r="K45" s="891"/>
      <c r="L45" s="891"/>
      <c r="M45" s="891"/>
      <c r="N45" s="891"/>
      <c r="O45" s="901"/>
      <c r="P45" s="899"/>
      <c r="Q45" s="899"/>
      <c r="R45" s="899"/>
      <c r="S45" s="899"/>
      <c r="T45" s="899"/>
      <c r="U45" s="899"/>
      <c r="V45" s="899"/>
      <c r="W45" s="899"/>
      <c r="X45" s="899"/>
      <c r="Y45" s="899"/>
      <c r="Z45" s="899"/>
      <c r="AA45" s="899"/>
      <c r="AB45" s="899"/>
      <c r="AC45" s="899"/>
      <c r="AD45" s="899"/>
      <c r="AE45" s="899"/>
      <c r="AF45" s="899"/>
      <c r="AG45" s="899"/>
      <c r="AH45" s="899"/>
      <c r="AI45" s="899"/>
      <c r="AJ45" s="899"/>
      <c r="AK45" s="899"/>
      <c r="AL45" s="899"/>
      <c r="AM45" s="899"/>
      <c r="AN45" s="899"/>
      <c r="AO45" s="899"/>
      <c r="AP45" s="899"/>
      <c r="AQ45" s="899"/>
      <c r="AR45" s="899"/>
      <c r="AS45" s="899"/>
      <c r="AT45" s="899"/>
      <c r="AU45" s="899"/>
      <c r="AV45" s="899"/>
    </row>
    <row r="46" spans="1:48" s="875" customFormat="1">
      <c r="A46" s="835" t="s">
        <v>772</v>
      </c>
      <c r="B46" s="836" t="s">
        <v>773</v>
      </c>
      <c r="C46" s="891">
        <v>5663</v>
      </c>
      <c r="D46" s="891">
        <v>4768.8</v>
      </c>
      <c r="E46" s="891">
        <v>5047.6400000000003</v>
      </c>
      <c r="F46" s="891">
        <v>5215.8999999999996</v>
      </c>
      <c r="G46" s="891">
        <v>5047.6400000000003</v>
      </c>
      <c r="H46" s="891">
        <v>5215.8999999999996</v>
      </c>
      <c r="I46" s="891">
        <v>5215.8999999999996</v>
      </c>
      <c r="J46" s="891">
        <v>4711.1400000000003</v>
      </c>
      <c r="K46" s="891">
        <v>5215.8999999999996</v>
      </c>
      <c r="L46" s="891">
        <v>5047.6400000000003</v>
      </c>
      <c r="M46" s="891">
        <v>5215.8999999999996</v>
      </c>
      <c r="N46" s="891">
        <v>5047.6899999999996</v>
      </c>
      <c r="O46" s="901">
        <v>61413.05</v>
      </c>
      <c r="P46" s="899"/>
      <c r="Q46" s="899"/>
      <c r="R46" s="899"/>
      <c r="S46" s="899"/>
      <c r="T46" s="899"/>
      <c r="U46" s="899"/>
      <c r="V46" s="899"/>
      <c r="W46" s="899"/>
      <c r="X46" s="899"/>
      <c r="Y46" s="899"/>
      <c r="Z46" s="899"/>
      <c r="AA46" s="899"/>
      <c r="AB46" s="899"/>
      <c r="AC46" s="899"/>
      <c r="AD46" s="899"/>
      <c r="AE46" s="899"/>
      <c r="AF46" s="899"/>
      <c r="AG46" s="899"/>
      <c r="AH46" s="899"/>
      <c r="AI46" s="899"/>
      <c r="AJ46" s="899"/>
      <c r="AK46" s="899"/>
      <c r="AL46" s="899"/>
      <c r="AM46" s="899"/>
      <c r="AN46" s="899"/>
      <c r="AO46" s="899"/>
      <c r="AP46" s="899"/>
      <c r="AQ46" s="899"/>
      <c r="AR46" s="899"/>
      <c r="AS46" s="899"/>
      <c r="AT46" s="899"/>
      <c r="AU46" s="899"/>
      <c r="AV46" s="899"/>
    </row>
    <row r="47" spans="1:48" s="875" customFormat="1">
      <c r="A47" s="835" t="s">
        <v>774</v>
      </c>
      <c r="B47" s="836" t="s">
        <v>775</v>
      </c>
      <c r="C47" s="891">
        <v>399.52</v>
      </c>
      <c r="D47" s="891">
        <v>399.54</v>
      </c>
      <c r="E47" s="891">
        <v>399.99</v>
      </c>
      <c r="F47" s="891">
        <v>400</v>
      </c>
      <c r="G47" s="891">
        <v>400</v>
      </c>
      <c r="H47" s="891">
        <v>-231.72</v>
      </c>
      <c r="I47" s="891">
        <v>276.52</v>
      </c>
      <c r="J47" s="891">
        <v>384.38</v>
      </c>
      <c r="K47" s="891">
        <v>276.52</v>
      </c>
      <c r="L47" s="891">
        <v>384.66</v>
      </c>
      <c r="M47" s="891">
        <v>281.24</v>
      </c>
      <c r="N47" s="891">
        <v>272.17</v>
      </c>
      <c r="O47" s="901">
        <v>3642.82</v>
      </c>
      <c r="P47" s="899"/>
      <c r="Q47" s="899"/>
      <c r="R47" s="899"/>
      <c r="S47" s="899"/>
      <c r="T47" s="899"/>
      <c r="U47" s="899"/>
      <c r="V47" s="899"/>
      <c r="W47" s="899"/>
      <c r="X47" s="899"/>
      <c r="Y47" s="899"/>
      <c r="Z47" s="899"/>
      <c r="AA47" s="899"/>
      <c r="AB47" s="899"/>
      <c r="AC47" s="899"/>
      <c r="AD47" s="899"/>
      <c r="AE47" s="899"/>
      <c r="AF47" s="899"/>
      <c r="AG47" s="899"/>
      <c r="AH47" s="899"/>
      <c r="AI47" s="899"/>
      <c r="AJ47" s="899"/>
      <c r="AK47" s="899"/>
      <c r="AL47" s="899"/>
      <c r="AM47" s="899"/>
      <c r="AN47" s="899"/>
      <c r="AO47" s="899"/>
      <c r="AP47" s="899"/>
      <c r="AQ47" s="899"/>
      <c r="AR47" s="899"/>
      <c r="AS47" s="899"/>
      <c r="AT47" s="899"/>
      <c r="AU47" s="899"/>
      <c r="AV47" s="899"/>
    </row>
    <row r="48" spans="1:48" s="875" customFormat="1">
      <c r="A48" s="835" t="s">
        <v>776</v>
      </c>
      <c r="B48" s="836" t="s">
        <v>777</v>
      </c>
      <c r="C48" s="891">
        <v>2235.65</v>
      </c>
      <c r="D48" s="891">
        <v>1788.52</v>
      </c>
      <c r="E48" s="891">
        <v>1119.79</v>
      </c>
      <c r="F48" s="891">
        <v>2102.04</v>
      </c>
      <c r="G48" s="891">
        <v>2047.36</v>
      </c>
      <c r="H48" s="891">
        <v>-3874.13</v>
      </c>
      <c r="I48" s="891">
        <v>1178.19</v>
      </c>
      <c r="J48" s="891">
        <v>1177.4000000000001</v>
      </c>
      <c r="K48" s="891">
        <v>1177.69</v>
      </c>
      <c r="L48" s="891">
        <v>1377.13</v>
      </c>
      <c r="M48" s="891">
        <v>1165.26</v>
      </c>
      <c r="N48" s="891">
        <v>1127.67</v>
      </c>
      <c r="O48" s="901">
        <v>12622.57</v>
      </c>
      <c r="P48" s="899"/>
      <c r="Q48" s="899"/>
      <c r="R48" s="899"/>
      <c r="S48" s="899"/>
      <c r="T48" s="899"/>
      <c r="U48" s="899"/>
      <c r="V48" s="899"/>
      <c r="W48" s="899"/>
      <c r="X48" s="899"/>
      <c r="Y48" s="899"/>
      <c r="Z48" s="899"/>
      <c r="AA48" s="899"/>
      <c r="AB48" s="899"/>
      <c r="AC48" s="899"/>
      <c r="AD48" s="899"/>
      <c r="AE48" s="899"/>
      <c r="AF48" s="899"/>
      <c r="AG48" s="899"/>
      <c r="AH48" s="899"/>
      <c r="AI48" s="899"/>
      <c r="AJ48" s="899"/>
      <c r="AK48" s="899"/>
      <c r="AL48" s="899"/>
      <c r="AM48" s="899"/>
      <c r="AN48" s="899"/>
      <c r="AO48" s="899"/>
      <c r="AP48" s="899"/>
      <c r="AQ48" s="899"/>
      <c r="AR48" s="899"/>
      <c r="AS48" s="899"/>
      <c r="AT48" s="899"/>
      <c r="AU48" s="899"/>
      <c r="AV48" s="899"/>
    </row>
    <row r="49" spans="1:48" s="875" customFormat="1">
      <c r="A49" s="835" t="s">
        <v>778</v>
      </c>
      <c r="B49" s="836" t="s">
        <v>674</v>
      </c>
      <c r="C49" s="891">
        <v>4695.34</v>
      </c>
      <c r="D49" s="891">
        <v>4695.34</v>
      </c>
      <c r="E49" s="891">
        <v>4543.87</v>
      </c>
      <c r="F49" s="891">
        <v>4695.34</v>
      </c>
      <c r="G49" s="891">
        <v>4543.87</v>
      </c>
      <c r="H49" s="891">
        <v>4695.33</v>
      </c>
      <c r="I49" s="891">
        <v>4861</v>
      </c>
      <c r="J49" s="891">
        <v>4214.7</v>
      </c>
      <c r="K49" s="891">
        <v>4768.59</v>
      </c>
      <c r="L49" s="891">
        <v>4614.76</v>
      </c>
      <c r="M49" s="891">
        <v>4768.59</v>
      </c>
      <c r="N49" s="891">
        <v>4614.76</v>
      </c>
      <c r="O49" s="901">
        <v>55711.49</v>
      </c>
      <c r="P49" s="899"/>
      <c r="Q49" s="899"/>
      <c r="R49" s="899"/>
      <c r="S49" s="899"/>
      <c r="T49" s="899"/>
      <c r="U49" s="899"/>
      <c r="V49" s="899"/>
      <c r="W49" s="899"/>
      <c r="X49" s="899"/>
      <c r="Y49" s="899"/>
      <c r="Z49" s="899"/>
      <c r="AA49" s="899"/>
      <c r="AB49" s="899"/>
      <c r="AC49" s="899"/>
      <c r="AD49" s="899"/>
      <c r="AE49" s="899"/>
      <c r="AF49" s="899"/>
      <c r="AG49" s="899"/>
      <c r="AH49" s="899"/>
      <c r="AI49" s="899"/>
      <c r="AJ49" s="899"/>
      <c r="AK49" s="899"/>
      <c r="AL49" s="899"/>
      <c r="AM49" s="899"/>
      <c r="AN49" s="899"/>
      <c r="AO49" s="899"/>
      <c r="AP49" s="899"/>
      <c r="AQ49" s="899"/>
      <c r="AR49" s="899"/>
      <c r="AS49" s="899"/>
      <c r="AT49" s="899"/>
      <c r="AU49" s="899"/>
      <c r="AV49" s="899"/>
    </row>
    <row r="50" spans="1:48" s="875" customFormat="1">
      <c r="A50" s="835" t="s">
        <v>779</v>
      </c>
      <c r="B50" s="836" t="s">
        <v>780</v>
      </c>
      <c r="C50" s="891"/>
      <c r="D50" s="891"/>
      <c r="E50" s="891"/>
      <c r="F50" s="891"/>
      <c r="G50" s="891"/>
      <c r="H50" s="891"/>
      <c r="I50" s="891"/>
      <c r="J50" s="891"/>
      <c r="K50" s="891"/>
      <c r="L50" s="891"/>
      <c r="M50" s="891"/>
      <c r="N50" s="891"/>
      <c r="O50" s="901"/>
      <c r="P50" s="899"/>
      <c r="Q50" s="899"/>
      <c r="R50" s="899"/>
      <c r="S50" s="899"/>
      <c r="T50" s="899"/>
      <c r="U50" s="899"/>
      <c r="V50" s="899"/>
      <c r="W50" s="899"/>
      <c r="X50" s="899"/>
      <c r="Y50" s="899"/>
      <c r="Z50" s="899"/>
      <c r="AA50" s="899"/>
      <c r="AB50" s="899"/>
      <c r="AC50" s="899"/>
      <c r="AD50" s="899"/>
      <c r="AE50" s="899"/>
      <c r="AF50" s="899"/>
      <c r="AG50" s="899"/>
      <c r="AH50" s="899"/>
      <c r="AI50" s="899"/>
      <c r="AJ50" s="899"/>
      <c r="AK50" s="899"/>
      <c r="AL50" s="899"/>
      <c r="AM50" s="899"/>
      <c r="AN50" s="899"/>
      <c r="AO50" s="899"/>
      <c r="AP50" s="899"/>
      <c r="AQ50" s="899"/>
      <c r="AR50" s="899"/>
      <c r="AS50" s="899"/>
      <c r="AT50" s="899"/>
      <c r="AU50" s="899"/>
      <c r="AV50" s="899"/>
    </row>
    <row r="51" spans="1:48" s="875" customFormat="1">
      <c r="A51" s="835" t="s">
        <v>781</v>
      </c>
      <c r="B51" s="836" t="s">
        <v>782</v>
      </c>
      <c r="C51" s="891">
        <v>1342</v>
      </c>
      <c r="D51" s="891">
        <v>1342</v>
      </c>
      <c r="E51" s="891">
        <v>2205.12</v>
      </c>
      <c r="F51" s="891">
        <v>1629.66</v>
      </c>
      <c r="G51" s="891">
        <v>1577.14</v>
      </c>
      <c r="H51" s="891">
        <v>1629.69</v>
      </c>
      <c r="I51" s="891">
        <v>1629.69</v>
      </c>
      <c r="J51" s="891">
        <v>1471.99</v>
      </c>
      <c r="K51" s="891">
        <v>1629.69</v>
      </c>
      <c r="L51" s="891">
        <v>1577.14</v>
      </c>
      <c r="M51" s="891">
        <v>1629.69</v>
      </c>
      <c r="N51" s="891">
        <v>1577.25</v>
      </c>
      <c r="O51" s="901">
        <v>19241.060000000001</v>
      </c>
      <c r="P51" s="899"/>
      <c r="Q51" s="899"/>
      <c r="R51" s="899"/>
      <c r="S51" s="899"/>
      <c r="T51" s="899"/>
      <c r="U51" s="899"/>
      <c r="V51" s="899"/>
      <c r="W51" s="899"/>
      <c r="X51" s="899"/>
      <c r="Y51" s="899"/>
      <c r="Z51" s="899"/>
      <c r="AA51" s="899"/>
      <c r="AB51" s="899"/>
      <c r="AC51" s="899"/>
      <c r="AD51" s="899"/>
      <c r="AE51" s="899"/>
      <c r="AF51" s="899"/>
      <c r="AG51" s="899"/>
      <c r="AH51" s="899"/>
      <c r="AI51" s="899"/>
      <c r="AJ51" s="899"/>
      <c r="AK51" s="899"/>
      <c r="AL51" s="899"/>
      <c r="AM51" s="899"/>
      <c r="AN51" s="899"/>
      <c r="AO51" s="899"/>
      <c r="AP51" s="899"/>
      <c r="AQ51" s="899"/>
      <c r="AR51" s="899"/>
      <c r="AS51" s="899"/>
      <c r="AT51" s="899"/>
      <c r="AU51" s="899"/>
      <c r="AV51" s="899"/>
    </row>
    <row r="52" spans="1:48" s="875" customFormat="1">
      <c r="A52" s="835" t="s">
        <v>675</v>
      </c>
      <c r="B52" s="836" t="s">
        <v>676</v>
      </c>
      <c r="C52" s="891">
        <v>1116</v>
      </c>
      <c r="D52" s="891">
        <v>1116</v>
      </c>
      <c r="E52" s="891">
        <v>-1257.93</v>
      </c>
      <c r="F52" s="891">
        <v>332.47</v>
      </c>
      <c r="G52" s="891">
        <v>316.08999999999997</v>
      </c>
      <c r="H52" s="891">
        <v>326.64</v>
      </c>
      <c r="I52" s="891">
        <v>326.64</v>
      </c>
      <c r="J52" s="891">
        <v>295.02999999999997</v>
      </c>
      <c r="K52" s="891">
        <v>326.64</v>
      </c>
      <c r="L52" s="891">
        <v>316.08999999999997</v>
      </c>
      <c r="M52" s="891">
        <v>326.64</v>
      </c>
      <c r="N52" s="891">
        <v>316.10000000000002</v>
      </c>
      <c r="O52" s="901">
        <v>3856.41</v>
      </c>
      <c r="P52" s="899"/>
      <c r="Q52" s="899"/>
      <c r="R52" s="899"/>
      <c r="S52" s="899"/>
      <c r="T52" s="899"/>
      <c r="U52" s="899"/>
      <c r="V52" s="899"/>
      <c r="W52" s="899"/>
      <c r="X52" s="899"/>
      <c r="Y52" s="899"/>
      <c r="Z52" s="899"/>
      <c r="AA52" s="899"/>
      <c r="AB52" s="899"/>
      <c r="AC52" s="899"/>
      <c r="AD52" s="899"/>
      <c r="AE52" s="899"/>
      <c r="AF52" s="899"/>
      <c r="AG52" s="899"/>
      <c r="AH52" s="899"/>
      <c r="AI52" s="899"/>
      <c r="AJ52" s="899"/>
      <c r="AK52" s="899"/>
      <c r="AL52" s="899"/>
      <c r="AM52" s="899"/>
      <c r="AN52" s="899"/>
      <c r="AO52" s="899"/>
      <c r="AP52" s="899"/>
      <c r="AQ52" s="899"/>
      <c r="AR52" s="899"/>
      <c r="AS52" s="899"/>
      <c r="AT52" s="899"/>
      <c r="AU52" s="899"/>
      <c r="AV52" s="899"/>
    </row>
    <row r="53" spans="1:48" s="875" customFormat="1">
      <c r="A53" s="835" t="s">
        <v>791</v>
      </c>
      <c r="B53" s="836" t="s">
        <v>792</v>
      </c>
      <c r="C53" s="891"/>
      <c r="D53" s="891"/>
      <c r="E53" s="891"/>
      <c r="F53" s="891"/>
      <c r="G53" s="891"/>
      <c r="H53" s="891"/>
      <c r="I53" s="891"/>
      <c r="J53" s="891"/>
      <c r="K53" s="891"/>
      <c r="L53" s="891"/>
      <c r="M53" s="891"/>
      <c r="N53" s="891"/>
      <c r="O53" s="901"/>
      <c r="P53" s="899"/>
      <c r="Q53" s="899"/>
      <c r="R53" s="899"/>
      <c r="S53" s="899"/>
      <c r="T53" s="899"/>
      <c r="U53" s="899"/>
      <c r="V53" s="899"/>
      <c r="W53" s="899"/>
      <c r="X53" s="899"/>
      <c r="Y53" s="899"/>
      <c r="Z53" s="899"/>
      <c r="AA53" s="899"/>
      <c r="AB53" s="899"/>
      <c r="AC53" s="899"/>
      <c r="AD53" s="899"/>
      <c r="AE53" s="899"/>
      <c r="AF53" s="899"/>
      <c r="AG53" s="899"/>
      <c r="AH53" s="899"/>
      <c r="AI53" s="899"/>
      <c r="AJ53" s="899"/>
      <c r="AK53" s="899"/>
      <c r="AL53" s="899"/>
      <c r="AM53" s="899"/>
      <c r="AN53" s="899"/>
      <c r="AO53" s="899"/>
      <c r="AP53" s="899"/>
      <c r="AQ53" s="899"/>
      <c r="AR53" s="899"/>
      <c r="AS53" s="899"/>
      <c r="AT53" s="899"/>
      <c r="AU53" s="899"/>
      <c r="AV53" s="899"/>
    </row>
    <row r="54" spans="1:48" s="875" customFormat="1">
      <c r="A54" s="835" t="s">
        <v>795</v>
      </c>
      <c r="B54" s="836" t="s">
        <v>796</v>
      </c>
      <c r="C54" s="891">
        <v>50882.74</v>
      </c>
      <c r="D54" s="891">
        <v>50882.75</v>
      </c>
      <c r="E54" s="891">
        <v>50882.76</v>
      </c>
      <c r="F54" s="891">
        <v>52113.72</v>
      </c>
      <c r="G54" s="891">
        <v>52409.18</v>
      </c>
      <c r="H54" s="891">
        <v>52409.17</v>
      </c>
      <c r="I54" s="891">
        <v>52409.17</v>
      </c>
      <c r="J54" s="891">
        <v>52409.17</v>
      </c>
      <c r="K54" s="891">
        <v>52409.17</v>
      </c>
      <c r="L54" s="891">
        <v>52409.17</v>
      </c>
      <c r="M54" s="891">
        <v>52409.17</v>
      </c>
      <c r="N54" s="891">
        <v>52409.14</v>
      </c>
      <c r="O54" s="901">
        <v>624035.31000000006</v>
      </c>
      <c r="P54" s="899"/>
      <c r="Q54" s="899"/>
      <c r="R54" s="899"/>
      <c r="S54" s="899"/>
      <c r="T54" s="899"/>
      <c r="U54" s="899"/>
      <c r="V54" s="899"/>
      <c r="W54" s="899"/>
      <c r="X54" s="899"/>
      <c r="Y54" s="899"/>
      <c r="Z54" s="899"/>
      <c r="AA54" s="899"/>
      <c r="AB54" s="899"/>
      <c r="AC54" s="899"/>
      <c r="AD54" s="899"/>
      <c r="AE54" s="899"/>
      <c r="AF54" s="899"/>
      <c r="AG54" s="899"/>
      <c r="AH54" s="899"/>
      <c r="AI54" s="899"/>
      <c r="AJ54" s="899"/>
      <c r="AK54" s="899"/>
      <c r="AL54" s="899"/>
      <c r="AM54" s="899"/>
      <c r="AN54" s="899"/>
      <c r="AO54" s="899"/>
      <c r="AP54" s="899"/>
      <c r="AQ54" s="899"/>
      <c r="AR54" s="899"/>
      <c r="AS54" s="899"/>
      <c r="AT54" s="899"/>
      <c r="AU54" s="899"/>
      <c r="AV54" s="899"/>
    </row>
    <row r="55" spans="1:48" s="875" customFormat="1">
      <c r="A55" s="835" t="s">
        <v>799</v>
      </c>
      <c r="B55" s="836" t="s">
        <v>800</v>
      </c>
      <c r="C55" s="891"/>
      <c r="D55" s="891"/>
      <c r="E55" s="891"/>
      <c r="F55" s="891"/>
      <c r="G55" s="891"/>
      <c r="H55" s="891"/>
      <c r="I55" s="891"/>
      <c r="J55" s="891"/>
      <c r="K55" s="891"/>
      <c r="L55" s="891"/>
      <c r="M55" s="891"/>
      <c r="N55" s="891"/>
      <c r="O55" s="901"/>
      <c r="P55" s="899"/>
      <c r="Q55" s="899"/>
      <c r="R55" s="899"/>
      <c r="S55" s="899"/>
      <c r="T55" s="899"/>
      <c r="U55" s="899"/>
      <c r="V55" s="899"/>
      <c r="W55" s="899"/>
      <c r="X55" s="899"/>
      <c r="Y55" s="899"/>
      <c r="Z55" s="899"/>
      <c r="AA55" s="899"/>
      <c r="AB55" s="899"/>
      <c r="AC55" s="899"/>
      <c r="AD55" s="899"/>
      <c r="AE55" s="899"/>
      <c r="AF55" s="899"/>
      <c r="AG55" s="899"/>
      <c r="AH55" s="899"/>
      <c r="AI55" s="899"/>
      <c r="AJ55" s="899"/>
      <c r="AK55" s="899"/>
      <c r="AL55" s="899"/>
      <c r="AM55" s="899"/>
      <c r="AN55" s="899"/>
      <c r="AO55" s="899"/>
      <c r="AP55" s="899"/>
      <c r="AQ55" s="899"/>
      <c r="AR55" s="899"/>
      <c r="AS55" s="899"/>
      <c r="AT55" s="899"/>
      <c r="AU55" s="899"/>
      <c r="AV55" s="899"/>
    </row>
    <row r="56" spans="1:48">
      <c r="A56" s="835" t="s">
        <v>801</v>
      </c>
      <c r="B56" s="836" t="s">
        <v>802</v>
      </c>
      <c r="C56" s="891">
        <v>277.08</v>
      </c>
      <c r="D56" s="891">
        <v>277.08999999999997</v>
      </c>
      <c r="E56" s="891">
        <v>277.88</v>
      </c>
      <c r="F56" s="891">
        <v>281.19</v>
      </c>
      <c r="G56" s="891">
        <v>281.19</v>
      </c>
      <c r="H56" s="891">
        <v>281.19</v>
      </c>
      <c r="I56" s="891">
        <v>284.18</v>
      </c>
      <c r="J56" s="891">
        <v>281.93</v>
      </c>
      <c r="K56" s="891">
        <v>272.88</v>
      </c>
      <c r="L56" s="891">
        <v>277.33999999999997</v>
      </c>
      <c r="M56" s="891">
        <v>-709.02</v>
      </c>
      <c r="N56" s="891">
        <v>112.02</v>
      </c>
      <c r="O56" s="901">
        <v>2194.9499999999998</v>
      </c>
    </row>
    <row r="57" spans="1:48">
      <c r="A57" s="835" t="s">
        <v>803</v>
      </c>
      <c r="B57" s="836" t="s">
        <v>804</v>
      </c>
      <c r="C57" s="891"/>
      <c r="D57" s="891"/>
      <c r="E57" s="891"/>
      <c r="F57" s="891"/>
      <c r="G57" s="891"/>
      <c r="H57" s="891"/>
      <c r="I57" s="891"/>
      <c r="J57" s="891"/>
      <c r="K57" s="891"/>
      <c r="L57" s="891"/>
      <c r="M57" s="891"/>
      <c r="N57" s="891"/>
      <c r="O57" s="901"/>
    </row>
    <row r="58" spans="1:48">
      <c r="A58" s="835" t="s">
        <v>805</v>
      </c>
      <c r="B58" s="836" t="s">
        <v>806</v>
      </c>
      <c r="C58" s="891">
        <v>3234</v>
      </c>
      <c r="D58" s="891">
        <v>3234</v>
      </c>
      <c r="E58" s="891">
        <v>3234.74</v>
      </c>
      <c r="F58" s="891">
        <v>3329.32</v>
      </c>
      <c r="G58" s="891">
        <v>3347.96</v>
      </c>
      <c r="H58" s="891">
        <v>3233.98</v>
      </c>
      <c r="I58" s="891">
        <v>3461.15</v>
      </c>
      <c r="J58" s="891">
        <v>3347.56</v>
      </c>
      <c r="K58" s="891">
        <v>3347.57</v>
      </c>
      <c r="L58" s="891">
        <v>3347.57</v>
      </c>
      <c r="M58" s="891">
        <v>3347.57</v>
      </c>
      <c r="N58" s="891">
        <v>3347.57</v>
      </c>
      <c r="O58" s="901">
        <v>39812.99</v>
      </c>
    </row>
    <row r="59" spans="1:48">
      <c r="A59" s="835" t="s">
        <v>709</v>
      </c>
      <c r="B59" s="836" t="s">
        <v>807</v>
      </c>
      <c r="C59" s="891">
        <v>69845.33</v>
      </c>
      <c r="D59" s="891">
        <v>68504.039999999994</v>
      </c>
      <c r="E59" s="891">
        <v>66453.86</v>
      </c>
      <c r="F59" s="891">
        <v>70099.64</v>
      </c>
      <c r="G59" s="891">
        <v>69970.429999999993</v>
      </c>
      <c r="H59" s="891">
        <v>63686.05</v>
      </c>
      <c r="I59" s="891">
        <v>69642.44</v>
      </c>
      <c r="J59" s="891">
        <v>68293.3</v>
      </c>
      <c r="K59" s="891">
        <v>69424.649999999994</v>
      </c>
      <c r="L59" s="891">
        <v>69351.5</v>
      </c>
      <c r="M59" s="891">
        <v>68435.039999999994</v>
      </c>
      <c r="N59" s="891">
        <v>68824.37</v>
      </c>
      <c r="O59" s="891">
        <v>822530.65</v>
      </c>
    </row>
    <row r="60" spans="1:48">
      <c r="A60" s="835" t="s">
        <v>808</v>
      </c>
      <c r="B60" s="836" t="s">
        <v>809</v>
      </c>
      <c r="C60" s="891"/>
      <c r="D60" s="891"/>
      <c r="E60" s="891"/>
      <c r="F60" s="891"/>
      <c r="G60" s="891"/>
      <c r="H60" s="891"/>
      <c r="I60" s="891"/>
      <c r="J60" s="891"/>
      <c r="K60" s="891"/>
      <c r="L60" s="891"/>
      <c r="M60" s="891"/>
      <c r="N60" s="891"/>
      <c r="O60" s="891"/>
    </row>
    <row r="61" spans="1:48">
      <c r="A61" s="835" t="s">
        <v>810</v>
      </c>
      <c r="B61" s="836" t="s">
        <v>811</v>
      </c>
      <c r="C61" s="891">
        <v>375</v>
      </c>
      <c r="D61" s="891">
        <v>375</v>
      </c>
      <c r="E61" s="891">
        <v>375</v>
      </c>
      <c r="F61" s="891">
        <v>375</v>
      </c>
      <c r="G61" s="891">
        <v>375</v>
      </c>
      <c r="H61" s="891">
        <v>751.8</v>
      </c>
      <c r="I61" s="891">
        <v>-2000</v>
      </c>
      <c r="J61" s="891">
        <v>17750</v>
      </c>
      <c r="K61" s="891">
        <v>252.05</v>
      </c>
      <c r="L61" s="891">
        <v>1746.58</v>
      </c>
      <c r="M61" s="891">
        <v>254.79</v>
      </c>
      <c r="N61" s="891">
        <v>246.58</v>
      </c>
      <c r="O61" s="901">
        <v>20876.8</v>
      </c>
    </row>
    <row r="62" spans="1:48">
      <c r="A62" s="835" t="s">
        <v>812</v>
      </c>
      <c r="B62" s="836" t="s">
        <v>813</v>
      </c>
      <c r="C62" s="891"/>
      <c r="D62" s="891"/>
      <c r="E62" s="891"/>
      <c r="F62" s="891"/>
      <c r="G62" s="891"/>
      <c r="H62" s="891"/>
      <c r="I62" s="891"/>
      <c r="J62" s="891"/>
      <c r="K62" s="891"/>
      <c r="L62" s="891"/>
      <c r="M62" s="891"/>
      <c r="N62" s="891"/>
      <c r="O62" s="891"/>
    </row>
    <row r="63" spans="1:48">
      <c r="A63" s="835" t="s">
        <v>814</v>
      </c>
      <c r="B63" s="836" t="s">
        <v>815</v>
      </c>
      <c r="C63" s="891">
        <v>14622.17</v>
      </c>
      <c r="D63" s="891">
        <v>14622.17</v>
      </c>
      <c r="E63" s="891">
        <v>14622.17</v>
      </c>
      <c r="F63" s="891">
        <v>14622.17</v>
      </c>
      <c r="G63" s="891">
        <v>14622.17</v>
      </c>
      <c r="H63" s="891">
        <v>14622.17</v>
      </c>
      <c r="I63" s="891">
        <v>14622.17</v>
      </c>
      <c r="J63" s="891">
        <v>14622.17</v>
      </c>
      <c r="K63" s="891">
        <v>14622.17</v>
      </c>
      <c r="L63" s="891">
        <v>14622.17</v>
      </c>
      <c r="M63" s="891">
        <v>14622.17</v>
      </c>
      <c r="N63" s="891">
        <v>14622.17</v>
      </c>
      <c r="O63" s="891">
        <v>175466.04</v>
      </c>
    </row>
    <row r="64" spans="1:48">
      <c r="A64" s="835" t="s">
        <v>816</v>
      </c>
      <c r="B64" s="836" t="s">
        <v>817</v>
      </c>
      <c r="C64" s="891">
        <v>3359.49</v>
      </c>
      <c r="D64" s="891">
        <v>3656.29</v>
      </c>
      <c r="E64" s="891">
        <v>3380.69</v>
      </c>
      <c r="F64" s="891">
        <v>4281.6899999999996</v>
      </c>
      <c r="G64" s="891">
        <v>3380.7</v>
      </c>
      <c r="H64" s="891">
        <v>3380.69</v>
      </c>
      <c r="I64" s="891">
        <v>3581.12</v>
      </c>
      <c r="J64" s="891">
        <v>3482.02</v>
      </c>
      <c r="K64" s="891">
        <v>3482.01</v>
      </c>
      <c r="L64" s="891">
        <v>3482.01</v>
      </c>
      <c r="M64" s="891">
        <v>3482.01</v>
      </c>
      <c r="N64" s="891">
        <v>3482.01</v>
      </c>
      <c r="O64" s="891">
        <v>42430.73</v>
      </c>
    </row>
    <row r="65" spans="1:17">
      <c r="A65" s="835" t="s">
        <v>818</v>
      </c>
      <c r="B65" s="836" t="s">
        <v>819</v>
      </c>
      <c r="C65" s="891">
        <v>39.770000000000003</v>
      </c>
      <c r="D65" s="891">
        <v>16.989999999999998</v>
      </c>
      <c r="E65" s="891">
        <v>2.8</v>
      </c>
      <c r="F65" s="891">
        <v>2.04</v>
      </c>
      <c r="G65" s="891">
        <v>1.61</v>
      </c>
      <c r="H65" s="891">
        <v>2.54</v>
      </c>
      <c r="I65" s="891">
        <v>38.81</v>
      </c>
      <c r="J65" s="891">
        <v>16.98</v>
      </c>
      <c r="K65" s="891">
        <v>1.93</v>
      </c>
      <c r="L65" s="891">
        <v>2.35</v>
      </c>
      <c r="M65" s="891">
        <v>0.6</v>
      </c>
      <c r="N65" s="891">
        <v>1.65</v>
      </c>
      <c r="O65" s="891">
        <v>128.07</v>
      </c>
    </row>
    <row r="66" spans="1:17">
      <c r="A66" s="835" t="s">
        <v>820</v>
      </c>
      <c r="B66" s="836" t="s">
        <v>821</v>
      </c>
      <c r="C66" s="891">
        <v>1083.33</v>
      </c>
      <c r="D66" s="891">
        <v>1083.33</v>
      </c>
      <c r="E66" s="891">
        <v>1083.33</v>
      </c>
      <c r="F66" s="891">
        <v>1025.28</v>
      </c>
      <c r="G66" s="891">
        <v>1083.3399999999999</v>
      </c>
      <c r="H66" s="891">
        <v>1083.33</v>
      </c>
      <c r="I66" s="891">
        <v>1083.3399999999999</v>
      </c>
      <c r="J66" s="891">
        <v>1083.33</v>
      </c>
      <c r="K66" s="891">
        <v>1083.33</v>
      </c>
      <c r="L66" s="891">
        <v>1083.33</v>
      </c>
      <c r="M66" s="891">
        <v>1083.33</v>
      </c>
      <c r="N66" s="891">
        <v>1083.3499999999999</v>
      </c>
      <c r="O66" s="891">
        <v>12941.95</v>
      </c>
    </row>
    <row r="67" spans="1:17">
      <c r="A67" s="835" t="s">
        <v>822</v>
      </c>
      <c r="B67" s="836" t="s">
        <v>823</v>
      </c>
      <c r="C67" s="891">
        <v>0</v>
      </c>
      <c r="D67" s="891">
        <v>0</v>
      </c>
      <c r="E67" s="891">
        <v>0</v>
      </c>
      <c r="F67" s="891">
        <v>0</v>
      </c>
      <c r="G67" s="891">
        <v>0</v>
      </c>
      <c r="H67" s="891">
        <v>0</v>
      </c>
      <c r="I67" s="891">
        <v>0</v>
      </c>
      <c r="J67" s="891">
        <v>0</v>
      </c>
      <c r="K67" s="891">
        <v>122.73</v>
      </c>
      <c r="L67" s="891">
        <v>0</v>
      </c>
      <c r="M67" s="891">
        <v>0</v>
      </c>
      <c r="N67" s="891">
        <v>0</v>
      </c>
      <c r="O67" s="891">
        <v>122.73</v>
      </c>
    </row>
    <row r="68" spans="1:17">
      <c r="A68" s="835" t="s">
        <v>824</v>
      </c>
      <c r="B68" s="836" t="s">
        <v>825</v>
      </c>
      <c r="C68" s="891">
        <v>477</v>
      </c>
      <c r="D68" s="891">
        <v>496.8</v>
      </c>
      <c r="E68" s="891">
        <v>478.41</v>
      </c>
      <c r="F68" s="891">
        <v>478.41</v>
      </c>
      <c r="G68" s="891">
        <v>478.41</v>
      </c>
      <c r="H68" s="891">
        <v>1496.01</v>
      </c>
      <c r="I68" s="891">
        <v>593.42999999999995</v>
      </c>
      <c r="J68" s="891">
        <v>505.44</v>
      </c>
      <c r="K68" s="891">
        <v>505.44</v>
      </c>
      <c r="L68" s="891">
        <v>505.44</v>
      </c>
      <c r="M68" s="891">
        <v>505.44</v>
      </c>
      <c r="N68" s="891">
        <v>7005.44</v>
      </c>
      <c r="O68" s="891">
        <v>13525.67</v>
      </c>
    </row>
    <row r="69" spans="1:17">
      <c r="A69" s="835" t="s">
        <v>826</v>
      </c>
      <c r="B69" s="836" t="s">
        <v>827</v>
      </c>
      <c r="C69" s="891">
        <v>3376.67</v>
      </c>
      <c r="D69" s="891">
        <v>3376.67</v>
      </c>
      <c r="E69" s="891">
        <v>3376.67</v>
      </c>
      <c r="F69" s="891">
        <v>3376.67</v>
      </c>
      <c r="G69" s="891">
        <v>3376.66</v>
      </c>
      <c r="H69" s="891">
        <v>3376.67</v>
      </c>
      <c r="I69" s="891">
        <v>3376.67</v>
      </c>
      <c r="J69" s="891">
        <v>3684.15</v>
      </c>
      <c r="K69" s="891">
        <v>3438</v>
      </c>
      <c r="L69" s="891">
        <v>3438</v>
      </c>
      <c r="M69" s="891">
        <v>3438.82</v>
      </c>
      <c r="N69" s="891">
        <v>3438</v>
      </c>
      <c r="O69" s="891">
        <v>41073.65</v>
      </c>
    </row>
    <row r="70" spans="1:17">
      <c r="A70" s="835" t="s">
        <v>830</v>
      </c>
      <c r="B70" s="836" t="s">
        <v>831</v>
      </c>
      <c r="C70" s="891"/>
      <c r="D70" s="891"/>
      <c r="E70" s="891"/>
      <c r="F70" s="891"/>
      <c r="G70" s="891"/>
      <c r="H70" s="891"/>
      <c r="I70" s="891"/>
      <c r="J70" s="891"/>
      <c r="K70" s="891"/>
      <c r="L70" s="891"/>
      <c r="M70" s="891"/>
      <c r="N70" s="891"/>
      <c r="O70" s="891"/>
    </row>
    <row r="71" spans="1:17">
      <c r="A71" s="835" t="s">
        <v>686</v>
      </c>
      <c r="B71" s="836" t="s">
        <v>687</v>
      </c>
      <c r="C71" s="891">
        <v>86826.82</v>
      </c>
      <c r="D71" s="891">
        <v>86533.52</v>
      </c>
      <c r="E71" s="891">
        <v>83581.27</v>
      </c>
      <c r="F71" s="891">
        <v>86384.46</v>
      </c>
      <c r="G71" s="891">
        <v>83889</v>
      </c>
      <c r="H71" s="891">
        <v>88269.29</v>
      </c>
      <c r="I71" s="891">
        <v>89605.98</v>
      </c>
      <c r="J71" s="891">
        <v>80489.59</v>
      </c>
      <c r="K71" s="891">
        <v>90038.71</v>
      </c>
      <c r="L71" s="891">
        <v>90182.96</v>
      </c>
      <c r="M71" s="891">
        <v>94423.33</v>
      </c>
      <c r="N71" s="891">
        <v>92115.86</v>
      </c>
      <c r="O71" s="902">
        <v>1052340.79</v>
      </c>
      <c r="Q71" s="912">
        <f>SUM(O71:O72)</f>
        <v>1193295.1200000001</v>
      </c>
    </row>
    <row r="72" spans="1:17">
      <c r="A72" s="835" t="s">
        <v>688</v>
      </c>
      <c r="B72" s="836" t="s">
        <v>689</v>
      </c>
      <c r="C72" s="891">
        <v>14578.53</v>
      </c>
      <c r="D72" s="891">
        <v>14953.56</v>
      </c>
      <c r="E72" s="891">
        <v>14453.52</v>
      </c>
      <c r="F72" s="891">
        <v>14905.48</v>
      </c>
      <c r="G72" s="891">
        <v>14193.86</v>
      </c>
      <c r="H72" s="891">
        <v>13044.71</v>
      </c>
      <c r="I72" s="891">
        <v>11746.48</v>
      </c>
      <c r="J72" s="891">
        <v>11212.77</v>
      </c>
      <c r="K72" s="891">
        <v>10986.78</v>
      </c>
      <c r="L72" s="891">
        <v>8125.89</v>
      </c>
      <c r="M72" s="891">
        <v>6640.16</v>
      </c>
      <c r="N72" s="891">
        <v>6112.59</v>
      </c>
      <c r="O72" s="902">
        <v>140954.32999999999</v>
      </c>
    </row>
    <row r="73" spans="1:17">
      <c r="A73" s="835" t="s">
        <v>832</v>
      </c>
      <c r="B73" s="836" t="s">
        <v>833</v>
      </c>
      <c r="C73" s="891">
        <v>292090.78999999998</v>
      </c>
      <c r="D73" s="891">
        <v>292090.78999999998</v>
      </c>
      <c r="E73" s="891">
        <v>282668.51</v>
      </c>
      <c r="F73" s="891">
        <v>292090.78999999998</v>
      </c>
      <c r="G73" s="891">
        <v>282668.5</v>
      </c>
      <c r="H73" s="891">
        <v>292090.78999999998</v>
      </c>
      <c r="I73" s="891">
        <v>292090.69</v>
      </c>
      <c r="J73" s="891">
        <v>263823.94</v>
      </c>
      <c r="K73" s="891">
        <v>292090.78999999998</v>
      </c>
      <c r="L73" s="891">
        <v>282668.51</v>
      </c>
      <c r="M73" s="891">
        <v>292090.78999999998</v>
      </c>
      <c r="N73" s="891">
        <v>282668.51</v>
      </c>
      <c r="O73" s="891">
        <v>3439133.4</v>
      </c>
    </row>
    <row r="74" spans="1:17">
      <c r="A74" s="835" t="s">
        <v>834</v>
      </c>
      <c r="B74" s="836" t="s">
        <v>835</v>
      </c>
      <c r="C74" s="891">
        <v>-34043.760000000002</v>
      </c>
      <c r="D74" s="891">
        <v>-33602.33</v>
      </c>
      <c r="E74" s="891">
        <v>-18385.43</v>
      </c>
      <c r="F74" s="891">
        <v>-19848.580000000002</v>
      </c>
      <c r="G74" s="891">
        <v>-8610.43</v>
      </c>
      <c r="H74" s="891">
        <v>-21857.4</v>
      </c>
      <c r="I74" s="891">
        <v>-11882.09</v>
      </c>
      <c r="J74" s="891">
        <v>-5737.17</v>
      </c>
      <c r="K74" s="891">
        <v>-19775.240000000002</v>
      </c>
      <c r="L74" s="891">
        <v>-8174.41</v>
      </c>
      <c r="M74" s="891">
        <v>-17913.72</v>
      </c>
      <c r="N74" s="891">
        <v>-13270.56</v>
      </c>
      <c r="O74" s="891">
        <v>-213101.12</v>
      </c>
    </row>
    <row r="75" spans="1:17">
      <c r="A75" s="835" t="s">
        <v>836</v>
      </c>
      <c r="B75" s="836" t="s">
        <v>837</v>
      </c>
      <c r="C75" s="891">
        <v>8379.49</v>
      </c>
      <c r="D75" s="891">
        <v>8379.49</v>
      </c>
      <c r="E75" s="891">
        <v>8109.19</v>
      </c>
      <c r="F75" s="891">
        <v>8379.49</v>
      </c>
      <c r="G75" s="891">
        <v>8109.19</v>
      </c>
      <c r="H75" s="891">
        <v>8379.49</v>
      </c>
      <c r="I75" s="891">
        <v>8379.49</v>
      </c>
      <c r="J75" s="891">
        <v>7568.57</v>
      </c>
      <c r="K75" s="891">
        <v>8379.51</v>
      </c>
      <c r="L75" s="891">
        <v>8109.19</v>
      </c>
      <c r="M75" s="891">
        <v>8379.49</v>
      </c>
      <c r="N75" s="891">
        <v>8109.19</v>
      </c>
      <c r="O75" s="891">
        <v>98661.78</v>
      </c>
    </row>
    <row r="76" spans="1:17">
      <c r="A76" s="835" t="s">
        <v>838</v>
      </c>
      <c r="B76" s="836" t="s">
        <v>839</v>
      </c>
      <c r="C76" s="891">
        <v>2632.88</v>
      </c>
      <c r="D76" s="891">
        <v>2632.88</v>
      </c>
      <c r="E76" s="891">
        <v>2547.9499999999998</v>
      </c>
      <c r="F76" s="891">
        <v>2632.88</v>
      </c>
      <c r="G76" s="891">
        <v>2547.9299999999998</v>
      </c>
      <c r="H76" s="891">
        <v>2632.88</v>
      </c>
      <c r="I76" s="891">
        <v>2632.88</v>
      </c>
      <c r="J76" s="891">
        <v>2378.08</v>
      </c>
      <c r="K76" s="891">
        <v>2632.88</v>
      </c>
      <c r="L76" s="891">
        <v>2547.9499999999998</v>
      </c>
      <c r="M76" s="891">
        <v>2632.88</v>
      </c>
      <c r="N76" s="891">
        <v>2547.9499999999998</v>
      </c>
      <c r="O76" s="891">
        <v>31000.02</v>
      </c>
    </row>
    <row r="77" spans="1:17">
      <c r="A77" s="835" t="s">
        <v>709</v>
      </c>
      <c r="B77" s="836" t="s">
        <v>842</v>
      </c>
      <c r="C77" s="891">
        <v>370464.75</v>
      </c>
      <c r="D77" s="891">
        <v>370987.91</v>
      </c>
      <c r="E77" s="891">
        <v>372975.01</v>
      </c>
      <c r="F77" s="891">
        <v>384544.52</v>
      </c>
      <c r="G77" s="891">
        <v>382798.05</v>
      </c>
      <c r="H77" s="891">
        <v>382559.76</v>
      </c>
      <c r="I77" s="891">
        <v>392573.43</v>
      </c>
      <c r="J77" s="891">
        <v>359735.78</v>
      </c>
      <c r="K77" s="891">
        <v>384353.43</v>
      </c>
      <c r="L77" s="891">
        <v>383460.09</v>
      </c>
      <c r="M77" s="891">
        <v>386252.93</v>
      </c>
      <c r="N77" s="891">
        <v>378283.54</v>
      </c>
      <c r="O77" s="891">
        <v>4548989.2</v>
      </c>
    </row>
    <row r="78" spans="1:17">
      <c r="A78" s="835" t="s">
        <v>843</v>
      </c>
      <c r="B78" s="836" t="s">
        <v>844</v>
      </c>
      <c r="C78" s="891"/>
      <c r="D78" s="891"/>
      <c r="E78" s="891"/>
      <c r="F78" s="891"/>
      <c r="G78" s="891"/>
      <c r="H78" s="891"/>
      <c r="I78" s="891"/>
      <c r="J78" s="891"/>
      <c r="K78" s="891"/>
      <c r="L78" s="891"/>
      <c r="M78" s="891"/>
      <c r="N78" s="891"/>
      <c r="O78" s="891"/>
    </row>
    <row r="79" spans="1:17">
      <c r="A79" s="835" t="s">
        <v>845</v>
      </c>
      <c r="B79" s="836" t="s">
        <v>846</v>
      </c>
      <c r="C79" s="891">
        <v>0</v>
      </c>
      <c r="D79" s="891">
        <v>0</v>
      </c>
      <c r="E79" s="891">
        <v>0</v>
      </c>
      <c r="F79" s="891">
        <v>0</v>
      </c>
      <c r="G79" s="891">
        <v>11894</v>
      </c>
      <c r="H79" s="891">
        <v>0</v>
      </c>
      <c r="I79" s="891">
        <v>0</v>
      </c>
      <c r="J79" s="891">
        <v>0</v>
      </c>
      <c r="K79" s="891">
        <v>0</v>
      </c>
      <c r="L79" s="891">
        <v>0</v>
      </c>
      <c r="M79" s="891">
        <v>12790</v>
      </c>
      <c r="N79" s="891">
        <v>-1934</v>
      </c>
      <c r="O79" s="891">
        <v>22750</v>
      </c>
    </row>
    <row r="80" spans="1:17">
      <c r="A80" s="835" t="s">
        <v>847</v>
      </c>
      <c r="B80" s="836" t="s">
        <v>848</v>
      </c>
      <c r="C80" s="891">
        <v>72487.399999999994</v>
      </c>
      <c r="D80" s="891">
        <v>72487.399999999994</v>
      </c>
      <c r="E80" s="891">
        <v>72487.399999999994</v>
      </c>
      <c r="F80" s="891">
        <v>58160.29</v>
      </c>
      <c r="G80" s="891">
        <v>57917.74</v>
      </c>
      <c r="H80" s="891">
        <v>57640.53</v>
      </c>
      <c r="I80" s="891">
        <v>57640.53</v>
      </c>
      <c r="J80" s="891">
        <v>57640.53</v>
      </c>
      <c r="K80" s="891">
        <v>57640.53</v>
      </c>
      <c r="L80" s="891">
        <v>57640.53</v>
      </c>
      <c r="M80" s="891">
        <v>57640.53</v>
      </c>
      <c r="N80" s="891">
        <v>57640.53</v>
      </c>
      <c r="O80" s="891">
        <v>737023.94</v>
      </c>
    </row>
    <row r="81" spans="1:15">
      <c r="A81" s="835" t="s">
        <v>709</v>
      </c>
      <c r="B81" s="836" t="s">
        <v>849</v>
      </c>
      <c r="C81" s="891">
        <v>72487.399999999994</v>
      </c>
      <c r="D81" s="891">
        <v>72487.399999999994</v>
      </c>
      <c r="E81" s="891">
        <v>72487.399999999994</v>
      </c>
      <c r="F81" s="891">
        <v>58160.29</v>
      </c>
      <c r="G81" s="891">
        <v>69811.740000000005</v>
      </c>
      <c r="H81" s="891">
        <v>57640.53</v>
      </c>
      <c r="I81" s="891">
        <v>57640.53</v>
      </c>
      <c r="J81" s="891">
        <v>57640.53</v>
      </c>
      <c r="K81" s="891">
        <v>57640.53</v>
      </c>
      <c r="L81" s="891">
        <v>57640.53</v>
      </c>
      <c r="M81" s="891">
        <v>70430.53</v>
      </c>
      <c r="N81" s="891">
        <v>55706.53</v>
      </c>
      <c r="O81" s="891">
        <v>759773.94</v>
      </c>
    </row>
    <row r="82" spans="1:15">
      <c r="A82" s="835" t="s">
        <v>850</v>
      </c>
      <c r="B82" s="836" t="s">
        <v>851</v>
      </c>
      <c r="C82" s="891">
        <v>-905.83</v>
      </c>
      <c r="D82" s="891">
        <v>-23232.63</v>
      </c>
      <c r="E82" s="891">
        <v>-18657.57</v>
      </c>
      <c r="F82" s="891">
        <v>14572.28</v>
      </c>
      <c r="G82" s="891">
        <v>-15320.48</v>
      </c>
      <c r="H82" s="891">
        <v>-27334.58</v>
      </c>
      <c r="I82" s="891">
        <v>-8234.81</v>
      </c>
      <c r="J82" s="891">
        <v>-12667.41</v>
      </c>
      <c r="K82" s="891">
        <v>-18512.2</v>
      </c>
      <c r="L82" s="891">
        <v>-18071.11</v>
      </c>
      <c r="M82" s="891">
        <v>-11874.92</v>
      </c>
      <c r="N82" s="891">
        <v>-14238.13</v>
      </c>
      <c r="O82" s="891">
        <v>-154477.39000000001</v>
      </c>
    </row>
    <row r="83" spans="1:15">
      <c r="A83" s="835" t="s">
        <v>709</v>
      </c>
      <c r="B83" s="836" t="s">
        <v>852</v>
      </c>
      <c r="C83" s="891">
        <v>535225.07999999996</v>
      </c>
      <c r="D83" s="891">
        <v>512828.51</v>
      </c>
      <c r="E83" s="891">
        <v>516623.23</v>
      </c>
      <c r="F83" s="891">
        <v>551537.99</v>
      </c>
      <c r="G83" s="891">
        <v>532687.32999999996</v>
      </c>
      <c r="H83" s="891">
        <v>501264.97</v>
      </c>
      <c r="I83" s="891">
        <v>532917.13</v>
      </c>
      <c r="J83" s="891">
        <v>514146.29</v>
      </c>
      <c r="K83" s="891">
        <v>516414.07</v>
      </c>
      <c r="L83" s="891">
        <v>517260.89</v>
      </c>
      <c r="M83" s="891">
        <v>536630.74</v>
      </c>
      <c r="N83" s="891">
        <v>521244.36</v>
      </c>
      <c r="O83" s="891">
        <v>6288780.5899999999</v>
      </c>
    </row>
    <row r="84" spans="1:15">
      <c r="A84" s="835" t="s">
        <v>709</v>
      </c>
      <c r="B84" s="836"/>
      <c r="C84" s="891"/>
      <c r="D84" s="891"/>
      <c r="E84" s="891"/>
      <c r="F84" s="891"/>
      <c r="G84" s="891"/>
      <c r="H84" s="891"/>
      <c r="I84" s="891"/>
      <c r="J84" s="891"/>
      <c r="K84" s="891"/>
      <c r="L84" s="891"/>
      <c r="M84" s="891"/>
      <c r="N84" s="891"/>
      <c r="O84" s="891"/>
    </row>
    <row r="85" spans="1:15">
      <c r="A85" s="835" t="s">
        <v>709</v>
      </c>
      <c r="B85" s="836" t="s">
        <v>853</v>
      </c>
      <c r="C85" s="891">
        <v>-11265.47</v>
      </c>
      <c r="D85" s="891">
        <v>11585.64</v>
      </c>
      <c r="E85" s="891">
        <v>7381.84</v>
      </c>
      <c r="F85" s="891">
        <v>-26566.95</v>
      </c>
      <c r="G85" s="891">
        <v>-8344.2900000000009</v>
      </c>
      <c r="H85" s="891">
        <v>14903.27</v>
      </c>
      <c r="I85" s="891">
        <v>-4005.54</v>
      </c>
      <c r="J85" s="891">
        <v>2209.3000000000002</v>
      </c>
      <c r="K85" s="891">
        <v>6636.52</v>
      </c>
      <c r="L85" s="891">
        <v>6009.96</v>
      </c>
      <c r="M85" s="891">
        <v>-13588.29</v>
      </c>
      <c r="N85" s="891">
        <v>3729.08</v>
      </c>
      <c r="O85" s="891">
        <v>-11314.93</v>
      </c>
    </row>
    <row r="86" spans="1:15">
      <c r="A86" s="835" t="s">
        <v>709</v>
      </c>
      <c r="B86" s="836"/>
      <c r="C86" s="891"/>
      <c r="D86" s="891"/>
      <c r="E86" s="891"/>
      <c r="F86" s="891"/>
      <c r="G86" s="891"/>
      <c r="H86" s="891"/>
      <c r="I86" s="891"/>
      <c r="J86" s="891"/>
      <c r="K86" s="891"/>
      <c r="L86" s="891"/>
      <c r="M86" s="891"/>
      <c r="N86" s="891"/>
      <c r="O86" s="891"/>
    </row>
    <row r="87" spans="1:15">
      <c r="A87" s="835" t="s">
        <v>854</v>
      </c>
      <c r="B87" s="836" t="s">
        <v>855</v>
      </c>
      <c r="C87" s="891"/>
      <c r="D87" s="891"/>
      <c r="E87" s="891"/>
      <c r="F87" s="891"/>
      <c r="G87" s="891"/>
      <c r="H87" s="891"/>
      <c r="I87" s="891"/>
      <c r="J87" s="891"/>
      <c r="K87" s="891"/>
      <c r="L87" s="891"/>
      <c r="M87" s="891"/>
      <c r="N87" s="891"/>
      <c r="O87" s="891"/>
    </row>
    <row r="88" spans="1:15">
      <c r="A88" s="835" t="s">
        <v>856</v>
      </c>
      <c r="B88" s="836" t="s">
        <v>857</v>
      </c>
      <c r="C88" s="891"/>
      <c r="D88" s="891"/>
      <c r="E88" s="891"/>
      <c r="F88" s="891"/>
      <c r="G88" s="891"/>
      <c r="H88" s="891"/>
      <c r="I88" s="891"/>
      <c r="J88" s="891"/>
      <c r="K88" s="891"/>
      <c r="L88" s="891"/>
      <c r="M88" s="891"/>
      <c r="N88" s="891"/>
      <c r="O88" s="891"/>
    </row>
    <row r="89" spans="1:15">
      <c r="A89" s="835" t="s">
        <v>858</v>
      </c>
      <c r="B89" s="836" t="s">
        <v>859</v>
      </c>
      <c r="C89" s="891"/>
      <c r="D89" s="891"/>
      <c r="E89" s="891"/>
      <c r="F89" s="891"/>
      <c r="G89" s="891"/>
      <c r="H89" s="891"/>
      <c r="I89" s="891"/>
      <c r="J89" s="891"/>
      <c r="K89" s="891"/>
      <c r="L89" s="891"/>
      <c r="M89" s="891"/>
      <c r="N89" s="891"/>
      <c r="O89" s="891"/>
    </row>
    <row r="90" spans="1:15">
      <c r="A90" s="835" t="s">
        <v>860</v>
      </c>
      <c r="B90" s="836" t="s">
        <v>861</v>
      </c>
      <c r="C90" s="891">
        <v>1158.94</v>
      </c>
      <c r="D90" s="891">
        <v>634.62</v>
      </c>
      <c r="E90" s="891">
        <v>619.59</v>
      </c>
      <c r="F90" s="891">
        <v>983.63</v>
      </c>
      <c r="G90" s="891">
        <v>1114.98</v>
      </c>
      <c r="H90" s="891">
        <v>1415.27</v>
      </c>
      <c r="I90" s="891">
        <v>1227.98</v>
      </c>
      <c r="J90" s="891">
        <v>511.46</v>
      </c>
      <c r="K90" s="891">
        <v>863.29</v>
      </c>
      <c r="L90" s="891">
        <v>1404.01</v>
      </c>
      <c r="M90" s="891">
        <v>1660.85</v>
      </c>
      <c r="N90" s="891">
        <v>1785.91</v>
      </c>
      <c r="O90" s="891">
        <v>13380.53</v>
      </c>
    </row>
    <row r="91" spans="1:15">
      <c r="A91" s="835" t="s">
        <v>709</v>
      </c>
      <c r="B91" s="836" t="s">
        <v>862</v>
      </c>
      <c r="C91" s="891">
        <v>1158.94</v>
      </c>
      <c r="D91" s="891">
        <v>634.62</v>
      </c>
      <c r="E91" s="891">
        <v>619.59</v>
      </c>
      <c r="F91" s="891">
        <v>983.63</v>
      </c>
      <c r="G91" s="891">
        <v>1114.98</v>
      </c>
      <c r="H91" s="891">
        <v>1415.27</v>
      </c>
      <c r="I91" s="891">
        <v>1227.98</v>
      </c>
      <c r="J91" s="891">
        <v>511.46</v>
      </c>
      <c r="K91" s="891">
        <v>863.29</v>
      </c>
      <c r="L91" s="891">
        <v>1404.01</v>
      </c>
      <c r="M91" s="891">
        <v>1660.85</v>
      </c>
      <c r="N91" s="891">
        <v>1785.91</v>
      </c>
      <c r="O91" s="891">
        <v>13380.53</v>
      </c>
    </row>
    <row r="92" spans="1:15">
      <c r="A92" s="835" t="s">
        <v>709</v>
      </c>
      <c r="B92" s="836"/>
      <c r="C92" s="891"/>
      <c r="D92" s="891"/>
      <c r="E92" s="891"/>
      <c r="F92" s="891"/>
      <c r="G92" s="891"/>
      <c r="H92" s="891"/>
      <c r="I92" s="891"/>
      <c r="J92" s="891"/>
      <c r="K92" s="891"/>
      <c r="L92" s="891"/>
      <c r="M92" s="891"/>
      <c r="N92" s="891"/>
      <c r="O92" s="891"/>
    </row>
    <row r="93" spans="1:15">
      <c r="A93" s="835" t="s">
        <v>863</v>
      </c>
      <c r="B93" s="836" t="s">
        <v>864</v>
      </c>
      <c r="C93" s="891"/>
      <c r="D93" s="891"/>
      <c r="E93" s="891"/>
      <c r="F93" s="891"/>
      <c r="G93" s="891"/>
      <c r="H93" s="891"/>
      <c r="I93" s="891"/>
      <c r="J93" s="891"/>
      <c r="K93" s="891"/>
      <c r="L93" s="891"/>
      <c r="M93" s="891"/>
      <c r="N93" s="891"/>
      <c r="O93" s="891"/>
    </row>
    <row r="94" spans="1:15">
      <c r="A94" s="835" t="s">
        <v>709</v>
      </c>
      <c r="B94" s="836"/>
      <c r="C94" s="891"/>
      <c r="D94" s="891"/>
      <c r="E94" s="891"/>
      <c r="F94" s="891"/>
      <c r="G94" s="891"/>
      <c r="H94" s="891"/>
      <c r="I94" s="891"/>
      <c r="J94" s="891"/>
      <c r="K94" s="891"/>
      <c r="L94" s="891"/>
      <c r="M94" s="891"/>
      <c r="N94" s="891"/>
      <c r="O94" s="891"/>
    </row>
    <row r="95" spans="1:15">
      <c r="A95" s="835" t="s">
        <v>709</v>
      </c>
      <c r="B95" s="836" t="s">
        <v>868</v>
      </c>
      <c r="C95" s="891">
        <v>-10106.530000000001</v>
      </c>
      <c r="D95" s="891">
        <v>12220.26</v>
      </c>
      <c r="E95" s="891">
        <v>8001.43</v>
      </c>
      <c r="F95" s="891">
        <v>-25583.32</v>
      </c>
      <c r="G95" s="891">
        <v>-7229.31</v>
      </c>
      <c r="H95" s="891">
        <v>16318.54</v>
      </c>
      <c r="I95" s="891">
        <v>-2777.56</v>
      </c>
      <c r="J95" s="891">
        <v>2720.76</v>
      </c>
      <c r="K95" s="891">
        <v>7499.81</v>
      </c>
      <c r="L95" s="891">
        <v>7413.97</v>
      </c>
      <c r="M95" s="891">
        <v>-11927.44</v>
      </c>
      <c r="N95" s="891">
        <v>5514.99</v>
      </c>
      <c r="O95" s="891">
        <v>2065.6</v>
      </c>
    </row>
    <row r="96" spans="1:15">
      <c r="A96" s="899"/>
      <c r="B96" s="899"/>
      <c r="C96" s="899"/>
      <c r="D96" s="899"/>
      <c r="E96" s="899"/>
      <c r="F96" s="899"/>
      <c r="G96" s="899"/>
      <c r="H96" s="899"/>
      <c r="I96" s="899"/>
      <c r="J96" s="899"/>
    </row>
    <row r="97" spans="1:15">
      <c r="A97" s="899"/>
      <c r="B97" s="899"/>
      <c r="C97" s="899"/>
      <c r="D97" s="899"/>
      <c r="E97" s="899"/>
      <c r="F97" s="899"/>
      <c r="G97" s="899"/>
      <c r="H97" s="899"/>
      <c r="I97" s="899"/>
      <c r="J97" s="899"/>
    </row>
    <row r="98" spans="1:15">
      <c r="A98" s="899"/>
      <c r="B98" s="899"/>
      <c r="C98" s="903">
        <f>SUM(C39:C58,C61)</f>
        <v>70220.33</v>
      </c>
      <c r="D98" s="903">
        <f t="shared" ref="D98:O98" si="0">SUM(D39:D58,D61)</f>
        <v>69333.58</v>
      </c>
      <c r="E98" s="903">
        <f t="shared" si="0"/>
        <v>66874.319999999992</v>
      </c>
      <c r="F98" s="903">
        <f t="shared" si="0"/>
        <v>70474.640000000014</v>
      </c>
      <c r="G98" s="903">
        <f t="shared" si="0"/>
        <v>72455.13</v>
      </c>
      <c r="H98" s="903">
        <f t="shared" si="0"/>
        <v>64437.850000000006</v>
      </c>
      <c r="I98" s="903">
        <f t="shared" si="0"/>
        <v>67642.439999999988</v>
      </c>
      <c r="J98" s="903">
        <f t="shared" si="0"/>
        <v>86043.3</v>
      </c>
      <c r="K98" s="903">
        <f t="shared" si="0"/>
        <v>69676.700000000012</v>
      </c>
      <c r="L98" s="903">
        <f t="shared" si="0"/>
        <v>71098.080000000002</v>
      </c>
      <c r="M98" s="903">
        <f t="shared" si="0"/>
        <v>68689.829999999987</v>
      </c>
      <c r="N98" s="903">
        <f t="shared" si="0"/>
        <v>71859.800000000017</v>
      </c>
      <c r="O98" s="903">
        <f t="shared" si="0"/>
        <v>848806</v>
      </c>
    </row>
    <row r="99" spans="1:15">
      <c r="A99" s="899"/>
      <c r="B99" s="899"/>
      <c r="C99" s="899"/>
      <c r="D99" s="899"/>
      <c r="E99" s="899"/>
      <c r="F99" s="899"/>
      <c r="G99" s="899"/>
      <c r="H99" s="899"/>
      <c r="I99" s="899"/>
      <c r="J99" s="899"/>
    </row>
    <row r="100" spans="1:15">
      <c r="A100" s="899"/>
      <c r="B100" s="899"/>
      <c r="C100" s="903"/>
      <c r="D100" s="903"/>
      <c r="E100" s="903"/>
      <c r="F100" s="903"/>
      <c r="G100" s="903"/>
      <c r="H100" s="903"/>
      <c r="I100" s="903"/>
      <c r="J100" s="903"/>
    </row>
    <row r="101" spans="1:15">
      <c r="A101" s="899"/>
      <c r="B101" s="899"/>
      <c r="C101" s="903"/>
      <c r="D101" s="903"/>
      <c r="E101" s="903"/>
      <c r="F101" s="903"/>
      <c r="G101" s="903"/>
      <c r="H101" s="903"/>
      <c r="I101" s="903"/>
      <c r="J101" s="903"/>
    </row>
    <row r="102" spans="1:15">
      <c r="A102" s="899"/>
      <c r="B102" s="899"/>
      <c r="C102" s="903"/>
      <c r="D102" s="903"/>
      <c r="E102" s="903"/>
      <c r="F102" s="903"/>
      <c r="G102" s="903"/>
      <c r="H102" s="903"/>
      <c r="I102" s="903"/>
      <c r="J102" s="903"/>
    </row>
  </sheetData>
  <phoneticPr fontId="3" type="noConversion"/>
  <printOptions horizontalCentered="1"/>
  <pageMargins left="0.47244094488188981" right="0.38958333333333334" top="1.3875" bottom="0.74803149606299213" header="0.39370078740157483" footer="0.39370078740157483"/>
  <pageSetup paperSize="9" scale="47" firstPageNumber="30" orientation="portrait" useFirstPageNumber="1" r:id="rId1"/>
  <headerFooter scaleWithDoc="0">
    <oddHeader>&amp;L&amp;20
&amp;A&amp;R&amp;G</oddHeader>
    <oddFooter>&amp;C&amp;F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S91"/>
  <sheetViews>
    <sheetView view="pageBreakPreview" topLeftCell="A31" zoomScaleNormal="100" zoomScaleSheetLayoutView="100" workbookViewId="0">
      <selection activeCell="C24" sqref="C24"/>
    </sheetView>
  </sheetViews>
  <sheetFormatPr defaultColWidth="9" defaultRowHeight="11.25"/>
  <cols>
    <col min="1" max="1" width="11.42578125" style="896" customWidth="1"/>
    <col min="2" max="2" width="32.7109375" style="896" bestFit="1" customWidth="1"/>
    <col min="3" max="3" width="18.85546875" style="896" customWidth="1"/>
    <col min="4" max="4" width="12" style="896" customWidth="1"/>
    <col min="5" max="9" width="12.85546875" style="896" customWidth="1"/>
    <col min="10" max="14" width="13.42578125" style="896" customWidth="1"/>
    <col min="15" max="15" width="13.42578125" style="896" bestFit="1" customWidth="1"/>
    <col min="16" max="16" width="10.42578125" style="896" bestFit="1" customWidth="1"/>
    <col min="17" max="239" width="9" style="896"/>
    <col min="240" max="240" width="11.42578125" style="896" customWidth="1"/>
    <col min="241" max="241" width="30.42578125" style="896" bestFit="1" customWidth="1"/>
    <col min="242" max="242" width="12" style="896" bestFit="1" customWidth="1"/>
    <col min="243" max="243" width="15.42578125" style="896" customWidth="1"/>
    <col min="244" max="246" width="12.7109375" style="896" customWidth="1"/>
    <col min="247" max="495" width="9" style="896"/>
    <col min="496" max="496" width="11.42578125" style="896" customWidth="1"/>
    <col min="497" max="497" width="30.42578125" style="896" bestFit="1" customWidth="1"/>
    <col min="498" max="498" width="12" style="896" bestFit="1" customWidth="1"/>
    <col min="499" max="499" width="15.42578125" style="896" customWidth="1"/>
    <col min="500" max="502" width="12.7109375" style="896" customWidth="1"/>
    <col min="503" max="751" width="9" style="896"/>
    <col min="752" max="752" width="11.42578125" style="896" customWidth="1"/>
    <col min="753" max="753" width="30.42578125" style="896" bestFit="1" customWidth="1"/>
    <col min="754" max="754" width="12" style="896" bestFit="1" customWidth="1"/>
    <col min="755" max="755" width="15.42578125" style="896" customWidth="1"/>
    <col min="756" max="758" width="12.7109375" style="896" customWidth="1"/>
    <col min="759" max="1007" width="9" style="896"/>
    <col min="1008" max="1008" width="11.42578125" style="896" customWidth="1"/>
    <col min="1009" max="1009" width="30.42578125" style="896" bestFit="1" customWidth="1"/>
    <col min="1010" max="1010" width="12" style="896" bestFit="1" customWidth="1"/>
    <col min="1011" max="1011" width="15.42578125" style="896" customWidth="1"/>
    <col min="1012" max="1014" width="12.7109375" style="896" customWidth="1"/>
    <col min="1015" max="1263" width="9" style="896"/>
    <col min="1264" max="1264" width="11.42578125" style="896" customWidth="1"/>
    <col min="1265" max="1265" width="30.42578125" style="896" bestFit="1" customWidth="1"/>
    <col min="1266" max="1266" width="12" style="896" bestFit="1" customWidth="1"/>
    <col min="1267" max="1267" width="15.42578125" style="896" customWidth="1"/>
    <col min="1268" max="1270" width="12.7109375" style="896" customWidth="1"/>
    <col min="1271" max="1519" width="9" style="896"/>
    <col min="1520" max="1520" width="11.42578125" style="896" customWidth="1"/>
    <col min="1521" max="1521" width="30.42578125" style="896" bestFit="1" customWidth="1"/>
    <col min="1522" max="1522" width="12" style="896" bestFit="1" customWidth="1"/>
    <col min="1523" max="1523" width="15.42578125" style="896" customWidth="1"/>
    <col min="1524" max="1526" width="12.7109375" style="896" customWidth="1"/>
    <col min="1527" max="1775" width="9" style="896"/>
    <col min="1776" max="1776" width="11.42578125" style="896" customWidth="1"/>
    <col min="1777" max="1777" width="30.42578125" style="896" bestFit="1" customWidth="1"/>
    <col min="1778" max="1778" width="12" style="896" bestFit="1" customWidth="1"/>
    <col min="1779" max="1779" width="15.42578125" style="896" customWidth="1"/>
    <col min="1780" max="1782" width="12.7109375" style="896" customWidth="1"/>
    <col min="1783" max="2031" width="9" style="896"/>
    <col min="2032" max="2032" width="11.42578125" style="896" customWidth="1"/>
    <col min="2033" max="2033" width="30.42578125" style="896" bestFit="1" customWidth="1"/>
    <col min="2034" max="2034" width="12" style="896" bestFit="1" customWidth="1"/>
    <col min="2035" max="2035" width="15.42578125" style="896" customWidth="1"/>
    <col min="2036" max="2038" width="12.7109375" style="896" customWidth="1"/>
    <col min="2039" max="2287" width="9" style="896"/>
    <col min="2288" max="2288" width="11.42578125" style="896" customWidth="1"/>
    <col min="2289" max="2289" width="30.42578125" style="896" bestFit="1" customWidth="1"/>
    <col min="2290" max="2290" width="12" style="896" bestFit="1" customWidth="1"/>
    <col min="2291" max="2291" width="15.42578125" style="896" customWidth="1"/>
    <col min="2292" max="2294" width="12.7109375" style="896" customWidth="1"/>
    <col min="2295" max="2543" width="9" style="896"/>
    <col min="2544" max="2544" width="11.42578125" style="896" customWidth="1"/>
    <col min="2545" max="2545" width="30.42578125" style="896" bestFit="1" customWidth="1"/>
    <col min="2546" max="2546" width="12" style="896" bestFit="1" customWidth="1"/>
    <col min="2547" max="2547" width="15.42578125" style="896" customWidth="1"/>
    <col min="2548" max="2550" width="12.7109375" style="896" customWidth="1"/>
    <col min="2551" max="2799" width="9" style="896"/>
    <col min="2800" max="2800" width="11.42578125" style="896" customWidth="1"/>
    <col min="2801" max="2801" width="30.42578125" style="896" bestFit="1" customWidth="1"/>
    <col min="2802" max="2802" width="12" style="896" bestFit="1" customWidth="1"/>
    <col min="2803" max="2803" width="15.42578125" style="896" customWidth="1"/>
    <col min="2804" max="2806" width="12.7109375" style="896" customWidth="1"/>
    <col min="2807" max="3055" width="9" style="896"/>
    <col min="3056" max="3056" width="11.42578125" style="896" customWidth="1"/>
    <col min="3057" max="3057" width="30.42578125" style="896" bestFit="1" customWidth="1"/>
    <col min="3058" max="3058" width="12" style="896" bestFit="1" customWidth="1"/>
    <col min="3059" max="3059" width="15.42578125" style="896" customWidth="1"/>
    <col min="3060" max="3062" width="12.7109375" style="896" customWidth="1"/>
    <col min="3063" max="3311" width="9" style="896"/>
    <col min="3312" max="3312" width="11.42578125" style="896" customWidth="1"/>
    <col min="3313" max="3313" width="30.42578125" style="896" bestFit="1" customWidth="1"/>
    <col min="3314" max="3314" width="12" style="896" bestFit="1" customWidth="1"/>
    <col min="3315" max="3315" width="15.42578125" style="896" customWidth="1"/>
    <col min="3316" max="3318" width="12.7109375" style="896" customWidth="1"/>
    <col min="3319" max="3567" width="9" style="896"/>
    <col min="3568" max="3568" width="11.42578125" style="896" customWidth="1"/>
    <col min="3569" max="3569" width="30.42578125" style="896" bestFit="1" customWidth="1"/>
    <col min="3570" max="3570" width="12" style="896" bestFit="1" customWidth="1"/>
    <col min="3571" max="3571" width="15.42578125" style="896" customWidth="1"/>
    <col min="3572" max="3574" width="12.7109375" style="896" customWidth="1"/>
    <col min="3575" max="3823" width="9" style="896"/>
    <col min="3824" max="3824" width="11.42578125" style="896" customWidth="1"/>
    <col min="3825" max="3825" width="30.42578125" style="896" bestFit="1" customWidth="1"/>
    <col min="3826" max="3826" width="12" style="896" bestFit="1" customWidth="1"/>
    <col min="3827" max="3827" width="15.42578125" style="896" customWidth="1"/>
    <col min="3828" max="3830" width="12.7109375" style="896" customWidth="1"/>
    <col min="3831" max="4079" width="9" style="896"/>
    <col min="4080" max="4080" width="11.42578125" style="896" customWidth="1"/>
    <col min="4081" max="4081" width="30.42578125" style="896" bestFit="1" customWidth="1"/>
    <col min="4082" max="4082" width="12" style="896" bestFit="1" customWidth="1"/>
    <col min="4083" max="4083" width="15.42578125" style="896" customWidth="1"/>
    <col min="4084" max="4086" width="12.7109375" style="896" customWidth="1"/>
    <col min="4087" max="4335" width="9" style="896"/>
    <col min="4336" max="4336" width="11.42578125" style="896" customWidth="1"/>
    <col min="4337" max="4337" width="30.42578125" style="896" bestFit="1" customWidth="1"/>
    <col min="4338" max="4338" width="12" style="896" bestFit="1" customWidth="1"/>
    <col min="4339" max="4339" width="15.42578125" style="896" customWidth="1"/>
    <col min="4340" max="4342" width="12.7109375" style="896" customWidth="1"/>
    <col min="4343" max="4591" width="9" style="896"/>
    <col min="4592" max="4592" width="11.42578125" style="896" customWidth="1"/>
    <col min="4593" max="4593" width="30.42578125" style="896" bestFit="1" customWidth="1"/>
    <col min="4594" max="4594" width="12" style="896" bestFit="1" customWidth="1"/>
    <col min="4595" max="4595" width="15.42578125" style="896" customWidth="1"/>
    <col min="4596" max="4598" width="12.7109375" style="896" customWidth="1"/>
    <col min="4599" max="4847" width="9" style="896"/>
    <col min="4848" max="4848" width="11.42578125" style="896" customWidth="1"/>
    <col min="4849" max="4849" width="30.42578125" style="896" bestFit="1" customWidth="1"/>
    <col min="4850" max="4850" width="12" style="896" bestFit="1" customWidth="1"/>
    <col min="4851" max="4851" width="15.42578125" style="896" customWidth="1"/>
    <col min="4852" max="4854" width="12.7109375" style="896" customWidth="1"/>
    <col min="4855" max="5103" width="9" style="896"/>
    <col min="5104" max="5104" width="11.42578125" style="896" customWidth="1"/>
    <col min="5105" max="5105" width="30.42578125" style="896" bestFit="1" customWidth="1"/>
    <col min="5106" max="5106" width="12" style="896" bestFit="1" customWidth="1"/>
    <col min="5107" max="5107" width="15.42578125" style="896" customWidth="1"/>
    <col min="5108" max="5110" width="12.7109375" style="896" customWidth="1"/>
    <col min="5111" max="5359" width="9" style="896"/>
    <col min="5360" max="5360" width="11.42578125" style="896" customWidth="1"/>
    <col min="5361" max="5361" width="30.42578125" style="896" bestFit="1" customWidth="1"/>
    <col min="5362" max="5362" width="12" style="896" bestFit="1" customWidth="1"/>
    <col min="5363" max="5363" width="15.42578125" style="896" customWidth="1"/>
    <col min="5364" max="5366" width="12.7109375" style="896" customWidth="1"/>
    <col min="5367" max="5615" width="9" style="896"/>
    <col min="5616" max="5616" width="11.42578125" style="896" customWidth="1"/>
    <col min="5617" max="5617" width="30.42578125" style="896" bestFit="1" customWidth="1"/>
    <col min="5618" max="5618" width="12" style="896" bestFit="1" customWidth="1"/>
    <col min="5619" max="5619" width="15.42578125" style="896" customWidth="1"/>
    <col min="5620" max="5622" width="12.7109375" style="896" customWidth="1"/>
    <col min="5623" max="5871" width="9" style="896"/>
    <col min="5872" max="5872" width="11.42578125" style="896" customWidth="1"/>
    <col min="5873" max="5873" width="30.42578125" style="896" bestFit="1" customWidth="1"/>
    <col min="5874" max="5874" width="12" style="896" bestFit="1" customWidth="1"/>
    <col min="5875" max="5875" width="15.42578125" style="896" customWidth="1"/>
    <col min="5876" max="5878" width="12.7109375" style="896" customWidth="1"/>
    <col min="5879" max="6127" width="9" style="896"/>
    <col min="6128" max="6128" width="11.42578125" style="896" customWidth="1"/>
    <col min="6129" max="6129" width="30.42578125" style="896" bestFit="1" customWidth="1"/>
    <col min="6130" max="6130" width="12" style="896" bestFit="1" customWidth="1"/>
    <col min="6131" max="6131" width="15.42578125" style="896" customWidth="1"/>
    <col min="6132" max="6134" width="12.7109375" style="896" customWidth="1"/>
    <col min="6135" max="6383" width="9" style="896"/>
    <col min="6384" max="6384" width="11.42578125" style="896" customWidth="1"/>
    <col min="6385" max="6385" width="30.42578125" style="896" bestFit="1" customWidth="1"/>
    <col min="6386" max="6386" width="12" style="896" bestFit="1" customWidth="1"/>
    <col min="6387" max="6387" width="15.42578125" style="896" customWidth="1"/>
    <col min="6388" max="6390" width="12.7109375" style="896" customWidth="1"/>
    <col min="6391" max="6639" width="9" style="896"/>
    <col min="6640" max="6640" width="11.42578125" style="896" customWidth="1"/>
    <col min="6641" max="6641" width="30.42578125" style="896" bestFit="1" customWidth="1"/>
    <col min="6642" max="6642" width="12" style="896" bestFit="1" customWidth="1"/>
    <col min="6643" max="6643" width="15.42578125" style="896" customWidth="1"/>
    <col min="6644" max="6646" width="12.7109375" style="896" customWidth="1"/>
    <col min="6647" max="6895" width="9" style="896"/>
    <col min="6896" max="6896" width="11.42578125" style="896" customWidth="1"/>
    <col min="6897" max="6897" width="30.42578125" style="896" bestFit="1" customWidth="1"/>
    <col min="6898" max="6898" width="12" style="896" bestFit="1" customWidth="1"/>
    <col min="6899" max="6899" width="15.42578125" style="896" customWidth="1"/>
    <col min="6900" max="6902" width="12.7109375" style="896" customWidth="1"/>
    <col min="6903" max="7151" width="9" style="896"/>
    <col min="7152" max="7152" width="11.42578125" style="896" customWidth="1"/>
    <col min="7153" max="7153" width="30.42578125" style="896" bestFit="1" customWidth="1"/>
    <col min="7154" max="7154" width="12" style="896" bestFit="1" customWidth="1"/>
    <col min="7155" max="7155" width="15.42578125" style="896" customWidth="1"/>
    <col min="7156" max="7158" width="12.7109375" style="896" customWidth="1"/>
    <col min="7159" max="7407" width="9" style="896"/>
    <col min="7408" max="7408" width="11.42578125" style="896" customWidth="1"/>
    <col min="7409" max="7409" width="30.42578125" style="896" bestFit="1" customWidth="1"/>
    <col min="7410" max="7410" width="12" style="896" bestFit="1" customWidth="1"/>
    <col min="7411" max="7411" width="15.42578125" style="896" customWidth="1"/>
    <col min="7412" max="7414" width="12.7109375" style="896" customWidth="1"/>
    <col min="7415" max="7663" width="9" style="896"/>
    <col min="7664" max="7664" width="11.42578125" style="896" customWidth="1"/>
    <col min="7665" max="7665" width="30.42578125" style="896" bestFit="1" customWidth="1"/>
    <col min="7666" max="7666" width="12" style="896" bestFit="1" customWidth="1"/>
    <col min="7667" max="7667" width="15.42578125" style="896" customWidth="1"/>
    <col min="7668" max="7670" width="12.7109375" style="896" customWidth="1"/>
    <col min="7671" max="7919" width="9" style="896"/>
    <col min="7920" max="7920" width="11.42578125" style="896" customWidth="1"/>
    <col min="7921" max="7921" width="30.42578125" style="896" bestFit="1" customWidth="1"/>
    <col min="7922" max="7922" width="12" style="896" bestFit="1" customWidth="1"/>
    <col min="7923" max="7923" width="15.42578125" style="896" customWidth="1"/>
    <col min="7924" max="7926" width="12.7109375" style="896" customWidth="1"/>
    <col min="7927" max="8175" width="9" style="896"/>
    <col min="8176" max="8176" width="11.42578125" style="896" customWidth="1"/>
    <col min="8177" max="8177" width="30.42578125" style="896" bestFit="1" customWidth="1"/>
    <col min="8178" max="8178" width="12" style="896" bestFit="1" customWidth="1"/>
    <col min="8179" max="8179" width="15.42578125" style="896" customWidth="1"/>
    <col min="8180" max="8182" width="12.7109375" style="896" customWidth="1"/>
    <col min="8183" max="8431" width="9" style="896"/>
    <col min="8432" max="8432" width="11.42578125" style="896" customWidth="1"/>
    <col min="8433" max="8433" width="30.42578125" style="896" bestFit="1" customWidth="1"/>
    <col min="8434" max="8434" width="12" style="896" bestFit="1" customWidth="1"/>
    <col min="8435" max="8435" width="15.42578125" style="896" customWidth="1"/>
    <col min="8436" max="8438" width="12.7109375" style="896" customWidth="1"/>
    <col min="8439" max="8687" width="9" style="896"/>
    <col min="8688" max="8688" width="11.42578125" style="896" customWidth="1"/>
    <col min="8689" max="8689" width="30.42578125" style="896" bestFit="1" customWidth="1"/>
    <col min="8690" max="8690" width="12" style="896" bestFit="1" customWidth="1"/>
    <col min="8691" max="8691" width="15.42578125" style="896" customWidth="1"/>
    <col min="8692" max="8694" width="12.7109375" style="896" customWidth="1"/>
    <col min="8695" max="8943" width="9" style="896"/>
    <col min="8944" max="8944" width="11.42578125" style="896" customWidth="1"/>
    <col min="8945" max="8945" width="30.42578125" style="896" bestFit="1" customWidth="1"/>
    <col min="8946" max="8946" width="12" style="896" bestFit="1" customWidth="1"/>
    <col min="8947" max="8947" width="15.42578125" style="896" customWidth="1"/>
    <col min="8948" max="8950" width="12.7109375" style="896" customWidth="1"/>
    <col min="8951" max="9199" width="9" style="896"/>
    <col min="9200" max="9200" width="11.42578125" style="896" customWidth="1"/>
    <col min="9201" max="9201" width="30.42578125" style="896" bestFit="1" customWidth="1"/>
    <col min="9202" max="9202" width="12" style="896" bestFit="1" customWidth="1"/>
    <col min="9203" max="9203" width="15.42578125" style="896" customWidth="1"/>
    <col min="9204" max="9206" width="12.7109375" style="896" customWidth="1"/>
    <col min="9207" max="9455" width="9" style="896"/>
    <col min="9456" max="9456" width="11.42578125" style="896" customWidth="1"/>
    <col min="9457" max="9457" width="30.42578125" style="896" bestFit="1" customWidth="1"/>
    <col min="9458" max="9458" width="12" style="896" bestFit="1" customWidth="1"/>
    <col min="9459" max="9459" width="15.42578125" style="896" customWidth="1"/>
    <col min="9460" max="9462" width="12.7109375" style="896" customWidth="1"/>
    <col min="9463" max="9711" width="9" style="896"/>
    <col min="9712" max="9712" width="11.42578125" style="896" customWidth="1"/>
    <col min="9713" max="9713" width="30.42578125" style="896" bestFit="1" customWidth="1"/>
    <col min="9714" max="9714" width="12" style="896" bestFit="1" customWidth="1"/>
    <col min="9715" max="9715" width="15.42578125" style="896" customWidth="1"/>
    <col min="9716" max="9718" width="12.7109375" style="896" customWidth="1"/>
    <col min="9719" max="9967" width="9" style="896"/>
    <col min="9968" max="9968" width="11.42578125" style="896" customWidth="1"/>
    <col min="9969" max="9969" width="30.42578125" style="896" bestFit="1" customWidth="1"/>
    <col min="9970" max="9970" width="12" style="896" bestFit="1" customWidth="1"/>
    <col min="9971" max="9971" width="15.42578125" style="896" customWidth="1"/>
    <col min="9972" max="9974" width="12.7109375" style="896" customWidth="1"/>
    <col min="9975" max="10223" width="9" style="896"/>
    <col min="10224" max="10224" width="11.42578125" style="896" customWidth="1"/>
    <col min="10225" max="10225" width="30.42578125" style="896" bestFit="1" customWidth="1"/>
    <col min="10226" max="10226" width="12" style="896" bestFit="1" customWidth="1"/>
    <col min="10227" max="10227" width="15.42578125" style="896" customWidth="1"/>
    <col min="10228" max="10230" width="12.7109375" style="896" customWidth="1"/>
    <col min="10231" max="10479" width="9" style="896"/>
    <col min="10480" max="10480" width="11.42578125" style="896" customWidth="1"/>
    <col min="10481" max="10481" width="30.42578125" style="896" bestFit="1" customWidth="1"/>
    <col min="10482" max="10482" width="12" style="896" bestFit="1" customWidth="1"/>
    <col min="10483" max="10483" width="15.42578125" style="896" customWidth="1"/>
    <col min="10484" max="10486" width="12.7109375" style="896" customWidth="1"/>
    <col min="10487" max="10735" width="9" style="896"/>
    <col min="10736" max="10736" width="11.42578125" style="896" customWidth="1"/>
    <col min="10737" max="10737" width="30.42578125" style="896" bestFit="1" customWidth="1"/>
    <col min="10738" max="10738" width="12" style="896" bestFit="1" customWidth="1"/>
    <col min="10739" max="10739" width="15.42578125" style="896" customWidth="1"/>
    <col min="10740" max="10742" width="12.7109375" style="896" customWidth="1"/>
    <col min="10743" max="10991" width="9" style="896"/>
    <col min="10992" max="10992" width="11.42578125" style="896" customWidth="1"/>
    <col min="10993" max="10993" width="30.42578125" style="896" bestFit="1" customWidth="1"/>
    <col min="10994" max="10994" width="12" style="896" bestFit="1" customWidth="1"/>
    <col min="10995" max="10995" width="15.42578125" style="896" customWidth="1"/>
    <col min="10996" max="10998" width="12.7109375" style="896" customWidth="1"/>
    <col min="10999" max="11247" width="9" style="896"/>
    <col min="11248" max="11248" width="11.42578125" style="896" customWidth="1"/>
    <col min="11249" max="11249" width="30.42578125" style="896" bestFit="1" customWidth="1"/>
    <col min="11250" max="11250" width="12" style="896" bestFit="1" customWidth="1"/>
    <col min="11251" max="11251" width="15.42578125" style="896" customWidth="1"/>
    <col min="11252" max="11254" width="12.7109375" style="896" customWidth="1"/>
    <col min="11255" max="11503" width="9" style="896"/>
    <col min="11504" max="11504" width="11.42578125" style="896" customWidth="1"/>
    <col min="11505" max="11505" width="30.42578125" style="896" bestFit="1" customWidth="1"/>
    <col min="11506" max="11506" width="12" style="896" bestFit="1" customWidth="1"/>
    <col min="11507" max="11507" width="15.42578125" style="896" customWidth="1"/>
    <col min="11508" max="11510" width="12.7109375" style="896" customWidth="1"/>
    <col min="11511" max="11759" width="9" style="896"/>
    <col min="11760" max="11760" width="11.42578125" style="896" customWidth="1"/>
    <col min="11761" max="11761" width="30.42578125" style="896" bestFit="1" customWidth="1"/>
    <col min="11762" max="11762" width="12" style="896" bestFit="1" customWidth="1"/>
    <col min="11763" max="11763" width="15.42578125" style="896" customWidth="1"/>
    <col min="11764" max="11766" width="12.7109375" style="896" customWidth="1"/>
    <col min="11767" max="12015" width="9" style="896"/>
    <col min="12016" max="12016" width="11.42578125" style="896" customWidth="1"/>
    <col min="12017" max="12017" width="30.42578125" style="896" bestFit="1" customWidth="1"/>
    <col min="12018" max="12018" width="12" style="896" bestFit="1" customWidth="1"/>
    <col min="12019" max="12019" width="15.42578125" style="896" customWidth="1"/>
    <col min="12020" max="12022" width="12.7109375" style="896" customWidth="1"/>
    <col min="12023" max="12271" width="9" style="896"/>
    <col min="12272" max="12272" width="11.42578125" style="896" customWidth="1"/>
    <col min="12273" max="12273" width="30.42578125" style="896" bestFit="1" customWidth="1"/>
    <col min="12274" max="12274" width="12" style="896" bestFit="1" customWidth="1"/>
    <col min="12275" max="12275" width="15.42578125" style="896" customWidth="1"/>
    <col min="12276" max="12278" width="12.7109375" style="896" customWidth="1"/>
    <col min="12279" max="12527" width="9" style="896"/>
    <col min="12528" max="12528" width="11.42578125" style="896" customWidth="1"/>
    <col min="12529" max="12529" width="30.42578125" style="896" bestFit="1" customWidth="1"/>
    <col min="12530" max="12530" width="12" style="896" bestFit="1" customWidth="1"/>
    <col min="12531" max="12531" width="15.42578125" style="896" customWidth="1"/>
    <col min="12532" max="12534" width="12.7109375" style="896" customWidth="1"/>
    <col min="12535" max="12783" width="9" style="896"/>
    <col min="12784" max="12784" width="11.42578125" style="896" customWidth="1"/>
    <col min="12785" max="12785" width="30.42578125" style="896" bestFit="1" customWidth="1"/>
    <col min="12786" max="12786" width="12" style="896" bestFit="1" customWidth="1"/>
    <col min="12787" max="12787" width="15.42578125" style="896" customWidth="1"/>
    <col min="12788" max="12790" width="12.7109375" style="896" customWidth="1"/>
    <col min="12791" max="13039" width="9" style="896"/>
    <col min="13040" max="13040" width="11.42578125" style="896" customWidth="1"/>
    <col min="13041" max="13041" width="30.42578125" style="896" bestFit="1" customWidth="1"/>
    <col min="13042" max="13042" width="12" style="896" bestFit="1" customWidth="1"/>
    <col min="13043" max="13043" width="15.42578125" style="896" customWidth="1"/>
    <col min="13044" max="13046" width="12.7109375" style="896" customWidth="1"/>
    <col min="13047" max="13295" width="9" style="896"/>
    <col min="13296" max="13296" width="11.42578125" style="896" customWidth="1"/>
    <col min="13297" max="13297" width="30.42578125" style="896" bestFit="1" customWidth="1"/>
    <col min="13298" max="13298" width="12" style="896" bestFit="1" customWidth="1"/>
    <col min="13299" max="13299" width="15.42578125" style="896" customWidth="1"/>
    <col min="13300" max="13302" width="12.7109375" style="896" customWidth="1"/>
    <col min="13303" max="13551" width="9" style="896"/>
    <col min="13552" max="13552" width="11.42578125" style="896" customWidth="1"/>
    <col min="13553" max="13553" width="30.42578125" style="896" bestFit="1" customWidth="1"/>
    <col min="13554" max="13554" width="12" style="896" bestFit="1" customWidth="1"/>
    <col min="13555" max="13555" width="15.42578125" style="896" customWidth="1"/>
    <col min="13556" max="13558" width="12.7109375" style="896" customWidth="1"/>
    <col min="13559" max="13807" width="9" style="896"/>
    <col min="13808" max="13808" width="11.42578125" style="896" customWidth="1"/>
    <col min="13809" max="13809" width="30.42578125" style="896" bestFit="1" customWidth="1"/>
    <col min="13810" max="13810" width="12" style="896" bestFit="1" customWidth="1"/>
    <col min="13811" max="13811" width="15.42578125" style="896" customWidth="1"/>
    <col min="13812" max="13814" width="12.7109375" style="896" customWidth="1"/>
    <col min="13815" max="14063" width="9" style="896"/>
    <col min="14064" max="14064" width="11.42578125" style="896" customWidth="1"/>
    <col min="14065" max="14065" width="30.42578125" style="896" bestFit="1" customWidth="1"/>
    <col min="14066" max="14066" width="12" style="896" bestFit="1" customWidth="1"/>
    <col min="14067" max="14067" width="15.42578125" style="896" customWidth="1"/>
    <col min="14068" max="14070" width="12.7109375" style="896" customWidth="1"/>
    <col min="14071" max="14319" width="9" style="896"/>
    <col min="14320" max="14320" width="11.42578125" style="896" customWidth="1"/>
    <col min="14321" max="14321" width="30.42578125" style="896" bestFit="1" customWidth="1"/>
    <col min="14322" max="14322" width="12" style="896" bestFit="1" customWidth="1"/>
    <col min="14323" max="14323" width="15.42578125" style="896" customWidth="1"/>
    <col min="14324" max="14326" width="12.7109375" style="896" customWidth="1"/>
    <col min="14327" max="14575" width="9" style="896"/>
    <col min="14576" max="14576" width="11.42578125" style="896" customWidth="1"/>
    <col min="14577" max="14577" width="30.42578125" style="896" bestFit="1" customWidth="1"/>
    <col min="14578" max="14578" width="12" style="896" bestFit="1" customWidth="1"/>
    <col min="14579" max="14579" width="15.42578125" style="896" customWidth="1"/>
    <col min="14580" max="14582" width="12.7109375" style="896" customWidth="1"/>
    <col min="14583" max="14831" width="9" style="896"/>
    <col min="14832" max="14832" width="11.42578125" style="896" customWidth="1"/>
    <col min="14833" max="14833" width="30.42578125" style="896" bestFit="1" customWidth="1"/>
    <col min="14834" max="14834" width="12" style="896" bestFit="1" customWidth="1"/>
    <col min="14835" max="14835" width="15.42578125" style="896" customWidth="1"/>
    <col min="14836" max="14838" width="12.7109375" style="896" customWidth="1"/>
    <col min="14839" max="15087" width="9" style="896"/>
    <col min="15088" max="15088" width="11.42578125" style="896" customWidth="1"/>
    <col min="15089" max="15089" width="30.42578125" style="896" bestFit="1" customWidth="1"/>
    <col min="15090" max="15090" width="12" style="896" bestFit="1" customWidth="1"/>
    <col min="15091" max="15091" width="15.42578125" style="896" customWidth="1"/>
    <col min="15092" max="15094" width="12.7109375" style="896" customWidth="1"/>
    <col min="15095" max="15343" width="9" style="896"/>
    <col min="15344" max="15344" width="11.42578125" style="896" customWidth="1"/>
    <col min="15345" max="15345" width="30.42578125" style="896" bestFit="1" customWidth="1"/>
    <col min="15346" max="15346" width="12" style="896" bestFit="1" customWidth="1"/>
    <col min="15347" max="15347" width="15.42578125" style="896" customWidth="1"/>
    <col min="15348" max="15350" width="12.7109375" style="896" customWidth="1"/>
    <col min="15351" max="15599" width="9" style="896"/>
    <col min="15600" max="15600" width="11.42578125" style="896" customWidth="1"/>
    <col min="15601" max="15601" width="30.42578125" style="896" bestFit="1" customWidth="1"/>
    <col min="15602" max="15602" width="12" style="896" bestFit="1" customWidth="1"/>
    <col min="15603" max="15603" width="15.42578125" style="896" customWidth="1"/>
    <col min="15604" max="15606" width="12.7109375" style="896" customWidth="1"/>
    <col min="15607" max="15855" width="9" style="896"/>
    <col min="15856" max="15856" width="11.42578125" style="896" customWidth="1"/>
    <col min="15857" max="15857" width="30.42578125" style="896" bestFit="1" customWidth="1"/>
    <col min="15858" max="15858" width="12" style="896" bestFit="1" customWidth="1"/>
    <col min="15859" max="15859" width="15.42578125" style="896" customWidth="1"/>
    <col min="15860" max="15862" width="12.7109375" style="896" customWidth="1"/>
    <col min="15863" max="16111" width="9" style="896"/>
    <col min="16112" max="16112" width="11.42578125" style="896" customWidth="1"/>
    <col min="16113" max="16113" width="30.42578125" style="896" bestFit="1" customWidth="1"/>
    <col min="16114" max="16114" width="12" style="896" bestFit="1" customWidth="1"/>
    <col min="16115" max="16115" width="15.42578125" style="896" customWidth="1"/>
    <col min="16116" max="16118" width="12.7109375" style="896" customWidth="1"/>
    <col min="16119" max="16384" width="9" style="896"/>
  </cols>
  <sheetData>
    <row r="1" spans="1:19" s="875" customFormat="1" ht="13.5" thickTop="1">
      <c r="A1" s="871" t="s">
        <v>705</v>
      </c>
      <c r="B1" s="871"/>
      <c r="C1" s="872"/>
      <c r="D1" s="872"/>
      <c r="E1" s="873"/>
      <c r="F1" s="874"/>
      <c r="G1" s="874"/>
      <c r="H1" s="874"/>
      <c r="I1" s="874"/>
      <c r="J1" s="874"/>
      <c r="K1" s="874"/>
      <c r="L1" s="874"/>
      <c r="M1" s="874"/>
      <c r="N1" s="874"/>
      <c r="O1" s="874"/>
    </row>
    <row r="2" spans="1:19" s="875" customFormat="1" ht="12">
      <c r="A2" s="876" t="s">
        <v>706</v>
      </c>
      <c r="B2" s="876"/>
      <c r="C2" s="877"/>
      <c r="D2" s="877"/>
      <c r="E2" s="878"/>
      <c r="F2" s="879"/>
      <c r="G2" s="879"/>
      <c r="H2" s="879"/>
      <c r="I2" s="879"/>
      <c r="J2" s="879"/>
      <c r="K2" s="879"/>
      <c r="L2" s="879"/>
      <c r="M2" s="879"/>
      <c r="N2" s="879"/>
      <c r="O2" s="879"/>
    </row>
    <row r="3" spans="1:19" s="875" customFormat="1" ht="12">
      <c r="A3" s="876" t="s">
        <v>707</v>
      </c>
      <c r="B3" s="876"/>
      <c r="C3" s="877"/>
      <c r="D3" s="877"/>
      <c r="E3" s="878"/>
      <c r="F3" s="879"/>
      <c r="G3" s="879"/>
      <c r="H3" s="879"/>
      <c r="I3" s="879"/>
      <c r="J3" s="879"/>
      <c r="K3" s="879"/>
      <c r="L3" s="879"/>
      <c r="M3" s="879"/>
      <c r="N3" s="879"/>
      <c r="O3" s="879"/>
    </row>
    <row r="4" spans="1:19" s="875" customFormat="1" ht="12">
      <c r="A4" s="876" t="s">
        <v>708</v>
      </c>
      <c r="B4" s="876"/>
      <c r="C4" s="877"/>
      <c r="D4" s="877"/>
      <c r="E4" s="878"/>
      <c r="F4" s="879"/>
      <c r="G4" s="879"/>
      <c r="H4" s="879"/>
      <c r="I4" s="879"/>
      <c r="J4" s="879"/>
      <c r="K4" s="879"/>
      <c r="L4" s="879"/>
      <c r="M4" s="879"/>
      <c r="N4" s="879"/>
      <c r="O4" s="879"/>
    </row>
    <row r="5" spans="1:19" s="875" customFormat="1" ht="12">
      <c r="A5" s="876" t="s">
        <v>709</v>
      </c>
      <c r="B5" s="876"/>
      <c r="C5" s="877"/>
      <c r="D5" s="877"/>
      <c r="E5" s="878"/>
      <c r="F5" s="879"/>
      <c r="G5" s="879"/>
      <c r="H5" s="879"/>
      <c r="I5" s="879"/>
      <c r="J5" s="879"/>
      <c r="K5" s="879"/>
      <c r="L5" s="879"/>
      <c r="M5" s="879"/>
      <c r="N5" s="879"/>
      <c r="O5" s="879"/>
    </row>
    <row r="6" spans="1:19" s="875" customFormat="1" ht="20.25">
      <c r="A6" s="880" t="s">
        <v>710</v>
      </c>
      <c r="B6" s="880"/>
      <c r="C6" s="881"/>
      <c r="D6" s="881"/>
      <c r="E6" s="882"/>
      <c r="F6" s="883"/>
      <c r="G6" s="878"/>
      <c r="H6" s="878"/>
      <c r="I6" s="878"/>
      <c r="J6" s="878"/>
      <c r="K6" s="878"/>
      <c r="L6" s="878"/>
      <c r="M6" s="878"/>
      <c r="N6" s="878"/>
      <c r="O6" s="878"/>
    </row>
    <row r="7" spans="1:19" s="875" customFormat="1" ht="12.75">
      <c r="A7" s="884" t="s">
        <v>890</v>
      </c>
      <c r="B7" s="884"/>
      <c r="C7" s="885"/>
      <c r="D7" s="885"/>
      <c r="E7" s="882"/>
      <c r="F7" s="886"/>
      <c r="G7" s="878"/>
      <c r="H7" s="878"/>
      <c r="I7" s="878"/>
      <c r="J7" s="878"/>
      <c r="K7" s="878"/>
      <c r="L7" s="878"/>
      <c r="M7" s="878"/>
      <c r="N7" s="878"/>
      <c r="O7" s="878">
        <f>COLUMN()</f>
        <v>15</v>
      </c>
    </row>
    <row r="8" spans="1:19" s="875" customFormat="1">
      <c r="A8" s="878"/>
      <c r="B8" s="878"/>
      <c r="C8" s="887"/>
      <c r="D8" s="887"/>
      <c r="E8" s="878"/>
      <c r="F8" s="878"/>
      <c r="G8" s="878"/>
      <c r="H8" s="878"/>
      <c r="I8" s="878"/>
      <c r="J8" s="878"/>
      <c r="K8" s="878"/>
      <c r="L8" s="878"/>
      <c r="M8" s="878"/>
      <c r="N8" s="878"/>
      <c r="O8" s="878"/>
    </row>
    <row r="9" spans="1:19" s="875" customFormat="1" ht="13.5" thickBot="1">
      <c r="A9" s="888" t="s">
        <v>709</v>
      </c>
      <c r="B9" s="889" t="s">
        <v>709</v>
      </c>
      <c r="C9" s="890" t="s">
        <v>870</v>
      </c>
      <c r="D9" s="890" t="s">
        <v>871</v>
      </c>
      <c r="E9" s="890" t="s">
        <v>713</v>
      </c>
      <c r="F9" s="890" t="s">
        <v>714</v>
      </c>
      <c r="G9" s="890" t="s">
        <v>715</v>
      </c>
      <c r="H9" s="890" t="s">
        <v>716</v>
      </c>
      <c r="I9" s="890" t="s">
        <v>717</v>
      </c>
      <c r="J9" s="890" t="s">
        <v>718</v>
      </c>
      <c r="K9" s="890" t="s">
        <v>719</v>
      </c>
      <c r="L9" s="890" t="s">
        <v>720</v>
      </c>
      <c r="M9" s="890" t="s">
        <v>721</v>
      </c>
      <c r="N9" s="890" t="s">
        <v>722</v>
      </c>
      <c r="O9" s="890" t="s">
        <v>723</v>
      </c>
    </row>
    <row r="10" spans="1:19" s="875" customFormat="1" ht="12.75" thickTop="1">
      <c r="A10" s="835" t="s">
        <v>724</v>
      </c>
      <c r="B10" s="836" t="s">
        <v>725</v>
      </c>
      <c r="C10" s="891"/>
      <c r="D10" s="891"/>
      <c r="E10" s="891"/>
      <c r="F10" s="891"/>
      <c r="G10" s="891"/>
      <c r="H10" s="891"/>
      <c r="I10" s="891"/>
      <c r="J10" s="891"/>
      <c r="K10" s="891"/>
      <c r="L10" s="891"/>
      <c r="M10" s="891"/>
      <c r="N10" s="891"/>
      <c r="O10" s="891"/>
    </row>
    <row r="11" spans="1:19" s="875" customFormat="1" ht="12">
      <c r="A11" s="835" t="s">
        <v>726</v>
      </c>
      <c r="B11" s="836" t="s">
        <v>727</v>
      </c>
      <c r="C11" s="891"/>
      <c r="D11" s="891"/>
      <c r="E11" s="891"/>
      <c r="F11" s="891"/>
      <c r="G11" s="891"/>
      <c r="H11" s="891"/>
      <c r="I11" s="891"/>
      <c r="J11" s="891"/>
      <c r="K11" s="891"/>
      <c r="L11" s="891"/>
      <c r="M11" s="891"/>
      <c r="N11" s="891"/>
      <c r="O11" s="891"/>
      <c r="R11" s="875" t="s">
        <v>709</v>
      </c>
      <c r="S11" s="875" t="s">
        <v>733</v>
      </c>
    </row>
    <row r="12" spans="1:19" s="875" customFormat="1" ht="12">
      <c r="A12" s="835" t="s">
        <v>728</v>
      </c>
      <c r="B12" s="836" t="s">
        <v>693</v>
      </c>
      <c r="C12" s="891"/>
      <c r="D12" s="891"/>
      <c r="E12" s="891"/>
      <c r="F12" s="891"/>
      <c r="G12" s="891"/>
      <c r="H12" s="891"/>
      <c r="I12" s="891"/>
      <c r="J12" s="891"/>
      <c r="K12" s="891"/>
      <c r="L12" s="891"/>
      <c r="M12" s="891"/>
      <c r="N12" s="891"/>
      <c r="O12" s="891"/>
      <c r="R12" s="875" t="s">
        <v>736</v>
      </c>
      <c r="S12" s="875" t="s">
        <v>671</v>
      </c>
    </row>
    <row r="13" spans="1:19" s="875" customFormat="1" ht="12">
      <c r="A13" s="835" t="s">
        <v>729</v>
      </c>
      <c r="B13" s="836" t="s">
        <v>730</v>
      </c>
      <c r="C13" s="891">
        <v>395503.42</v>
      </c>
      <c r="D13" s="891">
        <v>395503.42</v>
      </c>
      <c r="E13" s="891">
        <v>395503.42</v>
      </c>
      <c r="F13" s="891">
        <v>409346.04</v>
      </c>
      <c r="G13" s="891">
        <v>409346.04</v>
      </c>
      <c r="H13" s="891">
        <v>409346.04</v>
      </c>
      <c r="I13" s="891">
        <v>409346.04</v>
      </c>
      <c r="J13" s="891">
        <v>409346.04</v>
      </c>
      <c r="K13" s="891">
        <v>409346.04</v>
      </c>
      <c r="L13" s="891">
        <v>409346.04</v>
      </c>
      <c r="M13" s="891">
        <v>409346.04</v>
      </c>
      <c r="N13" s="891">
        <v>409346.04</v>
      </c>
      <c r="O13" s="891">
        <v>4870624.62</v>
      </c>
      <c r="R13" s="875" t="s">
        <v>709</v>
      </c>
      <c r="S13" s="875" t="s">
        <v>741</v>
      </c>
    </row>
    <row r="14" spans="1:19" s="875" customFormat="1" ht="12">
      <c r="A14" s="835" t="s">
        <v>731</v>
      </c>
      <c r="B14" s="836" t="s">
        <v>732</v>
      </c>
      <c r="C14" s="891">
        <v>76265.289999999994</v>
      </c>
      <c r="D14" s="891">
        <v>76265.289999999994</v>
      </c>
      <c r="E14" s="891">
        <v>76265.53</v>
      </c>
      <c r="F14" s="891">
        <v>76265.53</v>
      </c>
      <c r="G14" s="891">
        <v>76265.53</v>
      </c>
      <c r="H14" s="891">
        <v>76265.53</v>
      </c>
      <c r="I14" s="891">
        <v>76265.53</v>
      </c>
      <c r="J14" s="891">
        <v>76265.53</v>
      </c>
      <c r="K14" s="891">
        <v>76265.53</v>
      </c>
      <c r="L14" s="891">
        <v>76265.53</v>
      </c>
      <c r="M14" s="891">
        <v>76265.53</v>
      </c>
      <c r="N14" s="891">
        <v>76265.53</v>
      </c>
      <c r="O14" s="891">
        <v>915185.88</v>
      </c>
      <c r="R14" s="875" t="s">
        <v>709</v>
      </c>
      <c r="S14" s="875" t="s">
        <v>746</v>
      </c>
    </row>
    <row r="15" spans="1:19" s="875" customFormat="1" ht="12">
      <c r="A15" s="897" t="s">
        <v>709</v>
      </c>
      <c r="B15" s="898" t="s">
        <v>733</v>
      </c>
      <c r="C15" s="891">
        <v>471768.71</v>
      </c>
      <c r="D15" s="891">
        <v>471768.71</v>
      </c>
      <c r="E15" s="891">
        <v>471768.95</v>
      </c>
      <c r="F15" s="891">
        <v>485611.57</v>
      </c>
      <c r="G15" s="891">
        <v>485611.57</v>
      </c>
      <c r="H15" s="891">
        <v>485611.57</v>
      </c>
      <c r="I15" s="891">
        <v>485611.57</v>
      </c>
      <c r="J15" s="891">
        <v>485611.57</v>
      </c>
      <c r="K15" s="891">
        <v>485611.57</v>
      </c>
      <c r="L15" s="891">
        <v>485611.57</v>
      </c>
      <c r="M15" s="891">
        <v>485611.57</v>
      </c>
      <c r="N15" s="891">
        <v>485611.57</v>
      </c>
      <c r="O15" s="901">
        <v>5785810.5</v>
      </c>
      <c r="R15" s="875" t="s">
        <v>709</v>
      </c>
      <c r="S15" s="875" t="s">
        <v>753</v>
      </c>
    </row>
    <row r="16" spans="1:19" s="875" customFormat="1" ht="12">
      <c r="A16" s="835" t="s">
        <v>734</v>
      </c>
      <c r="B16" s="836" t="s">
        <v>735</v>
      </c>
      <c r="C16" s="891"/>
      <c r="D16" s="891"/>
      <c r="E16" s="891"/>
      <c r="F16" s="891"/>
      <c r="G16" s="891"/>
      <c r="H16" s="891"/>
      <c r="I16" s="891"/>
      <c r="J16" s="891"/>
      <c r="K16" s="891"/>
      <c r="L16" s="891"/>
      <c r="M16" s="891"/>
      <c r="N16" s="891"/>
      <c r="O16" s="891"/>
      <c r="R16" s="875" t="s">
        <v>709</v>
      </c>
      <c r="S16" s="875" t="s">
        <v>760</v>
      </c>
    </row>
    <row r="17" spans="1:19" s="875" customFormat="1" ht="12">
      <c r="A17" s="897" t="s">
        <v>736</v>
      </c>
      <c r="B17" s="898" t="s">
        <v>671</v>
      </c>
      <c r="C17" s="891">
        <v>19021.77</v>
      </c>
      <c r="D17" s="891">
        <v>19021.77</v>
      </c>
      <c r="E17" s="891">
        <v>19021.77</v>
      </c>
      <c r="F17" s="891">
        <v>19021.77</v>
      </c>
      <c r="G17" s="891">
        <v>19256.12</v>
      </c>
      <c r="H17" s="891">
        <v>19547.41</v>
      </c>
      <c r="I17" s="891">
        <v>19584.53</v>
      </c>
      <c r="J17" s="891">
        <v>19584.53</v>
      </c>
      <c r="K17" s="891">
        <v>19584.53</v>
      </c>
      <c r="L17" s="891">
        <v>19584.53</v>
      </c>
      <c r="M17" s="891">
        <v>19584.53</v>
      </c>
      <c r="N17" s="891">
        <v>19584.53</v>
      </c>
      <c r="O17" s="901">
        <v>232397.79</v>
      </c>
      <c r="S17" s="875" t="s">
        <v>763</v>
      </c>
    </row>
    <row r="18" spans="1:19" s="875" customFormat="1" ht="12">
      <c r="A18" s="835" t="s">
        <v>737</v>
      </c>
      <c r="B18" s="836" t="s">
        <v>738</v>
      </c>
      <c r="C18" s="891"/>
      <c r="D18" s="891"/>
      <c r="E18" s="891"/>
      <c r="F18" s="891"/>
      <c r="G18" s="891"/>
      <c r="H18" s="891"/>
      <c r="I18" s="891"/>
      <c r="J18" s="891"/>
      <c r="K18" s="891"/>
      <c r="L18" s="891"/>
      <c r="M18" s="891"/>
      <c r="N18" s="891"/>
      <c r="O18" s="891"/>
      <c r="R18" s="875" t="s">
        <v>766</v>
      </c>
      <c r="S18" s="875" t="s">
        <v>767</v>
      </c>
    </row>
    <row r="19" spans="1:19" s="875" customFormat="1" ht="12">
      <c r="A19" s="835" t="s">
        <v>739</v>
      </c>
      <c r="B19" s="836" t="s">
        <v>740</v>
      </c>
      <c r="C19" s="891">
        <v>4350</v>
      </c>
      <c r="D19" s="891">
        <v>4350</v>
      </c>
      <c r="E19" s="891">
        <v>4350</v>
      </c>
      <c r="F19" s="891">
        <v>4350</v>
      </c>
      <c r="G19" s="891">
        <v>4350</v>
      </c>
      <c r="H19" s="891">
        <v>4350</v>
      </c>
      <c r="I19" s="891">
        <v>4350</v>
      </c>
      <c r="J19" s="891">
        <v>4350</v>
      </c>
      <c r="K19" s="891">
        <v>4350</v>
      </c>
      <c r="L19" s="891">
        <v>4350</v>
      </c>
      <c r="M19" s="891">
        <v>4350</v>
      </c>
      <c r="N19" s="891">
        <v>4350</v>
      </c>
      <c r="O19" s="891">
        <v>52200</v>
      </c>
      <c r="R19" s="875" t="s">
        <v>768</v>
      </c>
      <c r="S19" s="875" t="s">
        <v>769</v>
      </c>
    </row>
    <row r="20" spans="1:19" s="875" customFormat="1" ht="12">
      <c r="A20" s="897" t="s">
        <v>709</v>
      </c>
      <c r="B20" s="898" t="s">
        <v>741</v>
      </c>
      <c r="C20" s="891">
        <v>4350</v>
      </c>
      <c r="D20" s="891">
        <v>4350</v>
      </c>
      <c r="E20" s="891">
        <v>4350</v>
      </c>
      <c r="F20" s="891">
        <v>4350</v>
      </c>
      <c r="G20" s="891">
        <v>4350</v>
      </c>
      <c r="H20" s="891">
        <v>4350</v>
      </c>
      <c r="I20" s="891">
        <v>4350</v>
      </c>
      <c r="J20" s="891">
        <v>4350</v>
      </c>
      <c r="K20" s="891">
        <v>4350</v>
      </c>
      <c r="L20" s="891">
        <v>4350</v>
      </c>
      <c r="M20" s="891">
        <v>4350</v>
      </c>
      <c r="N20" s="891">
        <v>4350</v>
      </c>
      <c r="O20" s="901">
        <v>52200</v>
      </c>
      <c r="R20" s="875" t="s">
        <v>770</v>
      </c>
      <c r="S20" s="875" t="s">
        <v>771</v>
      </c>
    </row>
    <row r="21" spans="1:19" s="875" customFormat="1" ht="12">
      <c r="A21" s="835" t="s">
        <v>742</v>
      </c>
      <c r="B21" s="836" t="s">
        <v>743</v>
      </c>
      <c r="C21" s="891"/>
      <c r="D21" s="891"/>
      <c r="E21" s="891"/>
      <c r="F21" s="891"/>
      <c r="G21" s="891"/>
      <c r="H21" s="891"/>
      <c r="I21" s="891"/>
      <c r="J21" s="891"/>
      <c r="K21" s="891"/>
      <c r="L21" s="891"/>
      <c r="M21" s="891"/>
      <c r="N21" s="891"/>
      <c r="O21" s="891"/>
      <c r="R21" s="875" t="s">
        <v>772</v>
      </c>
      <c r="S21" s="875" t="s">
        <v>773</v>
      </c>
    </row>
    <row r="22" spans="1:19" s="875" customFormat="1" ht="12">
      <c r="A22" s="835" t="s">
        <v>744</v>
      </c>
      <c r="B22" s="836" t="s">
        <v>745</v>
      </c>
      <c r="C22" s="891">
        <v>11105.07</v>
      </c>
      <c r="D22" s="891">
        <v>11105.07</v>
      </c>
      <c r="E22" s="891">
        <v>11105.07</v>
      </c>
      <c r="F22" s="891">
        <v>11476.09</v>
      </c>
      <c r="G22" s="891">
        <v>11476.09</v>
      </c>
      <c r="H22" s="891">
        <v>11476.09</v>
      </c>
      <c r="I22" s="891">
        <v>11476.09</v>
      </c>
      <c r="J22" s="891">
        <v>11476.09</v>
      </c>
      <c r="K22" s="891">
        <v>11476.09</v>
      </c>
      <c r="L22" s="891">
        <v>11476.09</v>
      </c>
      <c r="M22" s="891">
        <v>11476.09</v>
      </c>
      <c r="N22" s="891">
        <v>11476.09</v>
      </c>
      <c r="O22" s="891">
        <v>136600.01999999999</v>
      </c>
      <c r="R22" s="875" t="s">
        <v>774</v>
      </c>
      <c r="S22" s="875" t="s">
        <v>775</v>
      </c>
    </row>
    <row r="23" spans="1:19" s="875" customFormat="1" ht="12">
      <c r="A23" s="897" t="s">
        <v>709</v>
      </c>
      <c r="B23" s="898" t="s">
        <v>746</v>
      </c>
      <c r="C23" s="891">
        <v>11105.07</v>
      </c>
      <c r="D23" s="891">
        <v>11105.07</v>
      </c>
      <c r="E23" s="891">
        <v>11105.07</v>
      </c>
      <c r="F23" s="891">
        <v>11476.09</v>
      </c>
      <c r="G23" s="891">
        <v>11476.09</v>
      </c>
      <c r="H23" s="891">
        <v>11476.09</v>
      </c>
      <c r="I23" s="891">
        <v>11476.09</v>
      </c>
      <c r="J23" s="891">
        <v>11476.09</v>
      </c>
      <c r="K23" s="891">
        <v>11476.09</v>
      </c>
      <c r="L23" s="891">
        <v>11476.09</v>
      </c>
      <c r="M23" s="891">
        <v>11476.09</v>
      </c>
      <c r="N23" s="891">
        <v>11476.09</v>
      </c>
      <c r="O23" s="901">
        <v>136600.01999999999</v>
      </c>
      <c r="R23" s="875" t="s">
        <v>776</v>
      </c>
      <c r="S23" s="875" t="s">
        <v>777</v>
      </c>
    </row>
    <row r="24" spans="1:19" s="875" customFormat="1" ht="12">
      <c r="A24" s="835" t="s">
        <v>747</v>
      </c>
      <c r="B24" s="836" t="s">
        <v>748</v>
      </c>
      <c r="C24" s="891"/>
      <c r="D24" s="891"/>
      <c r="E24" s="891"/>
      <c r="F24" s="891"/>
      <c r="G24" s="891"/>
      <c r="H24" s="891"/>
      <c r="I24" s="891"/>
      <c r="J24" s="891"/>
      <c r="K24" s="891"/>
      <c r="L24" s="891"/>
      <c r="M24" s="891"/>
      <c r="N24" s="891"/>
      <c r="O24" s="891"/>
      <c r="R24" s="875" t="s">
        <v>778</v>
      </c>
      <c r="S24" s="875" t="s">
        <v>674</v>
      </c>
    </row>
    <row r="25" spans="1:19" s="875" customFormat="1" ht="12">
      <c r="A25" s="835" t="s">
        <v>749</v>
      </c>
      <c r="B25" s="836" t="s">
        <v>750</v>
      </c>
      <c r="C25" s="891">
        <v>5761.99</v>
      </c>
      <c r="D25" s="891">
        <v>5762.01</v>
      </c>
      <c r="E25" s="891">
        <v>5513</v>
      </c>
      <c r="F25" s="891">
        <v>5679</v>
      </c>
      <c r="G25" s="891">
        <v>5679</v>
      </c>
      <c r="H25" s="891">
        <v>5678.73</v>
      </c>
      <c r="I25" s="891">
        <v>5679</v>
      </c>
      <c r="J25" s="891">
        <v>5679</v>
      </c>
      <c r="K25" s="891">
        <v>5679</v>
      </c>
      <c r="L25" s="891">
        <v>5679</v>
      </c>
      <c r="M25" s="891">
        <v>5679</v>
      </c>
      <c r="N25" s="891">
        <v>5679</v>
      </c>
      <c r="O25" s="891">
        <v>68147.73</v>
      </c>
      <c r="R25" s="875" t="s">
        <v>779</v>
      </c>
      <c r="S25" s="875" t="s">
        <v>780</v>
      </c>
    </row>
    <row r="26" spans="1:19" s="875" customFormat="1" ht="12">
      <c r="A26" s="835" t="s">
        <v>751</v>
      </c>
      <c r="B26" s="836" t="s">
        <v>752</v>
      </c>
      <c r="C26" s="891">
        <v>0</v>
      </c>
      <c r="D26" s="891">
        <v>0</v>
      </c>
      <c r="E26" s="891">
        <v>0</v>
      </c>
      <c r="F26" s="891">
        <v>0</v>
      </c>
      <c r="G26" s="891">
        <v>0</v>
      </c>
      <c r="H26" s="891">
        <v>0</v>
      </c>
      <c r="I26" s="891">
        <v>0</v>
      </c>
      <c r="J26" s="891">
        <v>-923.07</v>
      </c>
      <c r="K26" s="891">
        <v>0</v>
      </c>
      <c r="L26" s="891">
        <v>0</v>
      </c>
      <c r="M26" s="891">
        <v>-4338</v>
      </c>
      <c r="N26" s="891">
        <v>6218</v>
      </c>
      <c r="O26" s="891">
        <v>956.93</v>
      </c>
      <c r="R26" s="875" t="s">
        <v>781</v>
      </c>
      <c r="S26" s="875" t="s">
        <v>782</v>
      </c>
    </row>
    <row r="27" spans="1:19" s="875" customFormat="1" ht="12">
      <c r="A27" s="897" t="s">
        <v>709</v>
      </c>
      <c r="B27" s="898" t="s">
        <v>753</v>
      </c>
      <c r="C27" s="891">
        <v>5761.99</v>
      </c>
      <c r="D27" s="891">
        <v>5762.01</v>
      </c>
      <c r="E27" s="891">
        <v>5513</v>
      </c>
      <c r="F27" s="891">
        <v>5679</v>
      </c>
      <c r="G27" s="891">
        <v>5679</v>
      </c>
      <c r="H27" s="891">
        <v>5678.73</v>
      </c>
      <c r="I27" s="891">
        <v>5679</v>
      </c>
      <c r="J27" s="891">
        <v>4755.93</v>
      </c>
      <c r="K27" s="891">
        <v>5679</v>
      </c>
      <c r="L27" s="891">
        <v>5679</v>
      </c>
      <c r="M27" s="891">
        <v>1341</v>
      </c>
      <c r="N27" s="891">
        <v>11897</v>
      </c>
      <c r="O27" s="901">
        <v>69104.66</v>
      </c>
      <c r="R27" s="875" t="s">
        <v>783</v>
      </c>
      <c r="S27" s="875" t="s">
        <v>784</v>
      </c>
    </row>
    <row r="28" spans="1:19" s="875" customFormat="1" ht="12">
      <c r="A28" s="835" t="s">
        <v>709</v>
      </c>
      <c r="B28" s="836" t="s">
        <v>761</v>
      </c>
      <c r="C28" s="891">
        <v>512007.54</v>
      </c>
      <c r="D28" s="891">
        <v>512007.56</v>
      </c>
      <c r="E28" s="891">
        <v>511758.79</v>
      </c>
      <c r="F28" s="891">
        <v>526138.43000000005</v>
      </c>
      <c r="G28" s="891">
        <v>526372.78</v>
      </c>
      <c r="H28" s="891">
        <v>526663.80000000005</v>
      </c>
      <c r="I28" s="891">
        <v>526701.18999999994</v>
      </c>
      <c r="J28" s="891">
        <v>525778.12</v>
      </c>
      <c r="K28" s="891">
        <v>526701.18999999994</v>
      </c>
      <c r="L28" s="891">
        <v>526701.18999999994</v>
      </c>
      <c r="M28" s="891">
        <v>522363.19</v>
      </c>
      <c r="N28" s="891">
        <v>532919.18999999994</v>
      </c>
      <c r="O28" s="891">
        <v>6276112.9699999997</v>
      </c>
      <c r="R28" s="875" t="s">
        <v>785</v>
      </c>
      <c r="S28" s="875" t="s">
        <v>786</v>
      </c>
    </row>
    <row r="29" spans="1:19" s="875" customFormat="1" ht="12">
      <c r="A29" s="835" t="s">
        <v>709</v>
      </c>
      <c r="B29" s="836"/>
      <c r="C29" s="891"/>
      <c r="D29" s="891"/>
      <c r="E29" s="891"/>
      <c r="F29" s="891"/>
      <c r="G29" s="891"/>
      <c r="H29" s="891"/>
      <c r="I29" s="891"/>
      <c r="J29" s="891"/>
      <c r="K29" s="891"/>
      <c r="L29" s="891"/>
      <c r="M29" s="891"/>
      <c r="N29" s="891"/>
      <c r="O29" s="891"/>
      <c r="R29" s="875" t="s">
        <v>787</v>
      </c>
      <c r="S29" s="875" t="s">
        <v>788</v>
      </c>
    </row>
    <row r="30" spans="1:19" s="875" customFormat="1" ht="12">
      <c r="A30" s="835" t="s">
        <v>762</v>
      </c>
      <c r="B30" s="836" t="s">
        <v>763</v>
      </c>
      <c r="C30" s="891"/>
      <c r="D30" s="891"/>
      <c r="E30" s="891"/>
      <c r="F30" s="891"/>
      <c r="G30" s="891"/>
      <c r="H30" s="891"/>
      <c r="I30" s="891"/>
      <c r="J30" s="891"/>
      <c r="K30" s="891"/>
      <c r="L30" s="891"/>
      <c r="M30" s="891"/>
      <c r="N30" s="891"/>
      <c r="O30" s="891"/>
      <c r="R30" s="875" t="s">
        <v>789</v>
      </c>
      <c r="S30" s="875" t="s">
        <v>790</v>
      </c>
    </row>
    <row r="31" spans="1:19" s="875" customFormat="1" ht="12">
      <c r="A31" s="835" t="s">
        <v>768</v>
      </c>
      <c r="B31" s="836" t="s">
        <v>769</v>
      </c>
      <c r="C31" s="891"/>
      <c r="D31" s="891"/>
      <c r="E31" s="891"/>
      <c r="F31" s="891"/>
      <c r="G31" s="891"/>
      <c r="H31" s="891"/>
      <c r="I31" s="891"/>
      <c r="J31" s="891"/>
      <c r="K31" s="891"/>
      <c r="L31" s="891"/>
      <c r="M31" s="891"/>
      <c r="N31" s="891"/>
      <c r="O31" s="891"/>
      <c r="R31" s="875" t="s">
        <v>791</v>
      </c>
      <c r="S31" s="875" t="s">
        <v>792</v>
      </c>
    </row>
    <row r="32" spans="1:19" s="875" customFormat="1" ht="12">
      <c r="A32" s="835" t="s">
        <v>770</v>
      </c>
      <c r="B32" s="836" t="s">
        <v>771</v>
      </c>
      <c r="C32" s="891"/>
      <c r="D32" s="891"/>
      <c r="E32" s="891"/>
      <c r="F32" s="891"/>
      <c r="G32" s="891"/>
      <c r="H32" s="891"/>
      <c r="I32" s="891"/>
      <c r="J32" s="891"/>
      <c r="K32" s="891"/>
      <c r="L32" s="891"/>
      <c r="M32" s="891"/>
      <c r="N32" s="891"/>
      <c r="O32" s="891"/>
      <c r="R32" s="875" t="s">
        <v>793</v>
      </c>
      <c r="S32" s="875" t="s">
        <v>794</v>
      </c>
    </row>
    <row r="33" spans="1:19" s="875" customFormat="1" ht="12">
      <c r="A33" s="835" t="s">
        <v>772</v>
      </c>
      <c r="B33" s="836" t="s">
        <v>773</v>
      </c>
      <c r="C33" s="891">
        <v>5119</v>
      </c>
      <c r="D33" s="891">
        <v>4956.66</v>
      </c>
      <c r="E33" s="891">
        <v>4875.32</v>
      </c>
      <c r="F33" s="891">
        <v>5036.16</v>
      </c>
      <c r="G33" s="891">
        <v>4873.7</v>
      </c>
      <c r="H33" s="891">
        <v>5036.1400000000003</v>
      </c>
      <c r="I33" s="891">
        <v>5148.07</v>
      </c>
      <c r="J33" s="891">
        <v>4649.87</v>
      </c>
      <c r="K33" s="891">
        <v>5148.0600000000004</v>
      </c>
      <c r="L33" s="891">
        <v>4927.26</v>
      </c>
      <c r="M33" s="891">
        <v>5091.5</v>
      </c>
      <c r="N33" s="891">
        <v>4927.24</v>
      </c>
      <c r="O33" s="891">
        <v>59788.98</v>
      </c>
      <c r="R33" s="875" t="s">
        <v>795</v>
      </c>
      <c r="S33" s="875" t="s">
        <v>796</v>
      </c>
    </row>
    <row r="34" spans="1:19" s="875" customFormat="1" ht="12">
      <c r="A34" s="835" t="s">
        <v>774</v>
      </c>
      <c r="B34" s="836" t="s">
        <v>775</v>
      </c>
      <c r="C34" s="891">
        <v>336.56</v>
      </c>
      <c r="D34" s="891">
        <v>349.92</v>
      </c>
      <c r="E34" s="891">
        <v>350.13</v>
      </c>
      <c r="F34" s="891">
        <v>350</v>
      </c>
      <c r="G34" s="891">
        <v>349.62</v>
      </c>
      <c r="H34" s="891">
        <v>350</v>
      </c>
      <c r="I34" s="891">
        <v>334.67</v>
      </c>
      <c r="J34" s="891">
        <v>333.33</v>
      </c>
      <c r="K34" s="891">
        <v>-61.53</v>
      </c>
      <c r="L34" s="891">
        <v>493.21</v>
      </c>
      <c r="M34" s="891">
        <v>276.52</v>
      </c>
      <c r="N34" s="891">
        <v>276.52</v>
      </c>
      <c r="O34" s="891">
        <v>3738.95</v>
      </c>
      <c r="R34" s="875" t="s">
        <v>797</v>
      </c>
      <c r="S34" s="875" t="s">
        <v>798</v>
      </c>
    </row>
    <row r="35" spans="1:19" s="875" customFormat="1" ht="12">
      <c r="A35" s="835" t="s">
        <v>776</v>
      </c>
      <c r="B35" s="836" t="s">
        <v>777</v>
      </c>
      <c r="C35" s="891">
        <v>1961.56</v>
      </c>
      <c r="D35" s="891">
        <v>1961.56</v>
      </c>
      <c r="E35" s="891">
        <v>1962.49</v>
      </c>
      <c r="F35" s="891">
        <v>1961.54</v>
      </c>
      <c r="G35" s="891">
        <v>48.25</v>
      </c>
      <c r="H35" s="891">
        <v>1567.56</v>
      </c>
      <c r="I35" s="891">
        <v>1512.2</v>
      </c>
      <c r="J35" s="891">
        <v>1583.88</v>
      </c>
      <c r="K35" s="891">
        <v>1422</v>
      </c>
      <c r="L35" s="891">
        <v>3065.8</v>
      </c>
      <c r="M35" s="891">
        <v>2235.83</v>
      </c>
      <c r="N35" s="891">
        <v>1341.39</v>
      </c>
      <c r="O35" s="891">
        <v>20624.060000000001</v>
      </c>
      <c r="R35" s="875" t="s">
        <v>799</v>
      </c>
      <c r="S35" s="875" t="s">
        <v>800</v>
      </c>
    </row>
    <row r="36" spans="1:19" s="875" customFormat="1" ht="12">
      <c r="A36" s="835" t="s">
        <v>778</v>
      </c>
      <c r="B36" s="836" t="s">
        <v>674</v>
      </c>
      <c r="C36" s="891">
        <v>4630</v>
      </c>
      <c r="D36" s="891">
        <v>4630</v>
      </c>
      <c r="E36" s="891">
        <v>4517.37</v>
      </c>
      <c r="F36" s="891">
        <v>4667.95</v>
      </c>
      <c r="G36" s="891">
        <v>4517.37</v>
      </c>
      <c r="H36" s="891">
        <v>4667.96</v>
      </c>
      <c r="I36" s="891">
        <v>4695</v>
      </c>
      <c r="J36" s="891">
        <v>4241.29</v>
      </c>
      <c r="K36" s="891">
        <v>4695.34</v>
      </c>
      <c r="L36" s="891">
        <v>4543.87</v>
      </c>
      <c r="M36" s="891">
        <v>4695.34</v>
      </c>
      <c r="N36" s="891">
        <v>4543.87</v>
      </c>
      <c r="O36" s="891">
        <v>55045.36</v>
      </c>
      <c r="R36" s="875" t="s">
        <v>801</v>
      </c>
      <c r="S36" s="875" t="s">
        <v>802</v>
      </c>
    </row>
    <row r="37" spans="1:19" s="875" customFormat="1" ht="12">
      <c r="A37" s="835" t="s">
        <v>779</v>
      </c>
      <c r="B37" s="836" t="s">
        <v>780</v>
      </c>
      <c r="C37" s="891"/>
      <c r="D37" s="891"/>
      <c r="E37" s="891"/>
      <c r="F37" s="891"/>
      <c r="G37" s="891"/>
      <c r="H37" s="891"/>
      <c r="I37" s="891"/>
      <c r="J37" s="891"/>
      <c r="K37" s="891"/>
      <c r="L37" s="891"/>
      <c r="M37" s="891"/>
      <c r="N37" s="891"/>
      <c r="O37" s="891"/>
      <c r="R37" s="875" t="s">
        <v>803</v>
      </c>
      <c r="S37" s="875" t="s">
        <v>804</v>
      </c>
    </row>
    <row r="38" spans="1:19" s="875" customFormat="1" ht="12">
      <c r="A38" s="835" t="s">
        <v>781</v>
      </c>
      <c r="B38" s="836" t="s">
        <v>782</v>
      </c>
      <c r="C38" s="891">
        <v>1232.06</v>
      </c>
      <c r="D38" s="891">
        <v>1232.07</v>
      </c>
      <c r="E38" s="891">
        <v>1234</v>
      </c>
      <c r="F38" s="891">
        <v>1190.3699999999999</v>
      </c>
      <c r="G38" s="891">
        <v>1192.31</v>
      </c>
      <c r="H38" s="891">
        <v>1232.07</v>
      </c>
      <c r="I38" s="891">
        <v>1232.01</v>
      </c>
      <c r="J38" s="891">
        <v>1112.83</v>
      </c>
      <c r="K38" s="891">
        <v>1232.05</v>
      </c>
      <c r="L38" s="891">
        <v>1192.32</v>
      </c>
      <c r="M38" s="891">
        <v>1232.05</v>
      </c>
      <c r="N38" s="891">
        <v>1192.3800000000001</v>
      </c>
      <c r="O38" s="891">
        <v>14506.52</v>
      </c>
      <c r="R38" s="875" t="s">
        <v>805</v>
      </c>
      <c r="S38" s="875" t="s">
        <v>806</v>
      </c>
    </row>
    <row r="39" spans="1:19" s="875" customFormat="1" ht="12">
      <c r="A39" s="835" t="s">
        <v>675</v>
      </c>
      <c r="B39" s="836" t="s">
        <v>676</v>
      </c>
      <c r="C39" s="891">
        <v>1022.88</v>
      </c>
      <c r="D39" s="891">
        <v>1022.89</v>
      </c>
      <c r="E39" s="891">
        <v>1023</v>
      </c>
      <c r="F39" s="891">
        <v>989.75</v>
      </c>
      <c r="G39" s="891">
        <v>989.88</v>
      </c>
      <c r="H39" s="891">
        <v>1022.88</v>
      </c>
      <c r="I39" s="891">
        <v>1022.83</v>
      </c>
      <c r="J39" s="891">
        <v>923.89</v>
      </c>
      <c r="K39" s="891">
        <v>1022.87</v>
      </c>
      <c r="L39" s="891">
        <v>989.88</v>
      </c>
      <c r="M39" s="891">
        <v>1022.87</v>
      </c>
      <c r="N39" s="891">
        <v>989.96</v>
      </c>
      <c r="O39" s="891">
        <v>12043.58</v>
      </c>
      <c r="R39" s="875" t="s">
        <v>810</v>
      </c>
      <c r="S39" s="875" t="s">
        <v>811</v>
      </c>
    </row>
    <row r="40" spans="1:19" s="875" customFormat="1" ht="12">
      <c r="A40" s="835" t="s">
        <v>791</v>
      </c>
      <c r="B40" s="836" t="s">
        <v>792</v>
      </c>
      <c r="C40" s="891"/>
      <c r="D40" s="891"/>
      <c r="E40" s="891"/>
      <c r="F40" s="891"/>
      <c r="G40" s="891"/>
      <c r="H40" s="891"/>
      <c r="I40" s="891"/>
      <c r="J40" s="891"/>
      <c r="K40" s="891"/>
      <c r="L40" s="891"/>
      <c r="M40" s="891"/>
      <c r="N40" s="891"/>
      <c r="O40" s="891"/>
      <c r="S40" s="875" t="s">
        <v>891</v>
      </c>
    </row>
    <row r="41" spans="1:19" s="875" customFormat="1" ht="12">
      <c r="A41" s="835" t="s">
        <v>795</v>
      </c>
      <c r="B41" s="836" t="s">
        <v>796</v>
      </c>
      <c r="C41" s="891">
        <v>50882.67</v>
      </c>
      <c r="D41" s="891">
        <v>50883.11</v>
      </c>
      <c r="E41" s="891">
        <v>50883</v>
      </c>
      <c r="F41" s="891">
        <v>50883.13</v>
      </c>
      <c r="G41" s="891">
        <v>50882.75</v>
      </c>
      <c r="H41" s="891">
        <v>50882.77</v>
      </c>
      <c r="I41" s="891">
        <v>50882.75</v>
      </c>
      <c r="J41" s="891">
        <v>46148.75</v>
      </c>
      <c r="K41" s="891">
        <v>50882.75</v>
      </c>
      <c r="L41" s="891">
        <v>50882.75</v>
      </c>
      <c r="M41" s="891">
        <v>50882.75</v>
      </c>
      <c r="N41" s="891">
        <v>50882.75</v>
      </c>
      <c r="O41" s="891">
        <v>605859.93000000005</v>
      </c>
      <c r="S41" s="875" t="s">
        <v>892</v>
      </c>
    </row>
    <row r="42" spans="1:19" s="875" customFormat="1" ht="12">
      <c r="A42" s="835" t="s">
        <v>893</v>
      </c>
      <c r="B42" s="836" t="s">
        <v>894</v>
      </c>
      <c r="C42" s="891"/>
      <c r="D42" s="891"/>
      <c r="E42" s="891"/>
      <c r="F42" s="891"/>
      <c r="G42" s="891"/>
      <c r="H42" s="891"/>
      <c r="I42" s="891"/>
      <c r="J42" s="891"/>
      <c r="K42" s="891"/>
      <c r="L42" s="891"/>
      <c r="M42" s="891"/>
      <c r="N42" s="891"/>
      <c r="O42" s="891"/>
      <c r="R42" s="875" t="s">
        <v>814</v>
      </c>
      <c r="S42" s="875" t="s">
        <v>815</v>
      </c>
    </row>
    <row r="43" spans="1:19" s="875" customFormat="1" ht="12">
      <c r="A43" s="835" t="s">
        <v>895</v>
      </c>
      <c r="B43" s="836" t="s">
        <v>896</v>
      </c>
      <c r="C43" s="891">
        <v>-0.28999999999999998</v>
      </c>
      <c r="D43" s="891">
        <v>0.28999999999999998</v>
      </c>
      <c r="E43" s="891">
        <v>0</v>
      </c>
      <c r="F43" s="891">
        <v>0</v>
      </c>
      <c r="G43" s="891">
        <v>0</v>
      </c>
      <c r="H43" s="891">
        <v>0</v>
      </c>
      <c r="I43" s="891">
        <v>0</v>
      </c>
      <c r="J43" s="891">
        <v>0</v>
      </c>
      <c r="K43" s="891">
        <v>0</v>
      </c>
      <c r="L43" s="891">
        <v>0</v>
      </c>
      <c r="M43" s="891">
        <v>0</v>
      </c>
      <c r="N43" s="891">
        <v>0</v>
      </c>
      <c r="O43" s="891">
        <v>0</v>
      </c>
      <c r="R43" s="875" t="s">
        <v>816</v>
      </c>
      <c r="S43" s="875" t="s">
        <v>817</v>
      </c>
    </row>
    <row r="44" spans="1:19" s="875" customFormat="1" ht="12">
      <c r="A44" s="835" t="s">
        <v>799</v>
      </c>
      <c r="B44" s="836" t="s">
        <v>800</v>
      </c>
      <c r="C44" s="891"/>
      <c r="D44" s="891"/>
      <c r="E44" s="891"/>
      <c r="F44" s="891"/>
      <c r="G44" s="891"/>
      <c r="H44" s="891"/>
      <c r="I44" s="891"/>
      <c r="J44" s="891"/>
      <c r="K44" s="891"/>
      <c r="L44" s="891"/>
      <c r="M44" s="891"/>
      <c r="N44" s="891"/>
      <c r="O44" s="891"/>
      <c r="R44" s="875" t="s">
        <v>818</v>
      </c>
      <c r="S44" s="875" t="s">
        <v>819</v>
      </c>
    </row>
    <row r="45" spans="1:19" s="875" customFormat="1" ht="12">
      <c r="A45" s="835" t="s">
        <v>801</v>
      </c>
      <c r="B45" s="836" t="s">
        <v>802</v>
      </c>
      <c r="C45" s="891">
        <v>275.58</v>
      </c>
      <c r="D45" s="891">
        <v>275.58</v>
      </c>
      <c r="E45" s="891">
        <v>275.58</v>
      </c>
      <c r="F45" s="891">
        <v>-1377.89</v>
      </c>
      <c r="G45" s="891">
        <v>1942.59</v>
      </c>
      <c r="H45" s="891">
        <v>280.10000000000002</v>
      </c>
      <c r="I45" s="891">
        <v>277.02</v>
      </c>
      <c r="J45" s="891">
        <v>277.14999999999998</v>
      </c>
      <c r="K45" s="891">
        <v>277.08</v>
      </c>
      <c r="L45" s="891">
        <v>277.08</v>
      </c>
      <c r="M45" s="891">
        <v>277.08999999999997</v>
      </c>
      <c r="N45" s="891">
        <v>277.08</v>
      </c>
      <c r="O45" s="891">
        <v>3334.04</v>
      </c>
      <c r="R45" s="875" t="s">
        <v>820</v>
      </c>
      <c r="S45" s="875" t="s">
        <v>821</v>
      </c>
    </row>
    <row r="46" spans="1:19" s="875" customFormat="1" ht="12">
      <c r="A46" s="835" t="s">
        <v>803</v>
      </c>
      <c r="B46" s="836" t="s">
        <v>804</v>
      </c>
      <c r="C46" s="891"/>
      <c r="D46" s="891"/>
      <c r="E46" s="891"/>
      <c r="F46" s="891"/>
      <c r="G46" s="891"/>
      <c r="H46" s="891"/>
      <c r="I46" s="891"/>
      <c r="J46" s="891"/>
      <c r="K46" s="891"/>
      <c r="L46" s="891"/>
      <c r="M46" s="891"/>
      <c r="N46" s="891"/>
      <c r="O46" s="891"/>
      <c r="R46" s="875" t="s">
        <v>822</v>
      </c>
      <c r="S46" s="875" t="s">
        <v>823</v>
      </c>
    </row>
    <row r="47" spans="1:19" s="875" customFormat="1" ht="12">
      <c r="A47" s="835" t="s">
        <v>805</v>
      </c>
      <c r="B47" s="836" t="s">
        <v>806</v>
      </c>
      <c r="C47" s="891">
        <v>3125</v>
      </c>
      <c r="D47" s="891">
        <v>3125</v>
      </c>
      <c r="E47" s="891">
        <v>3125</v>
      </c>
      <c r="F47" s="891">
        <v>3216.73</v>
      </c>
      <c r="G47" s="891">
        <v>3234.38</v>
      </c>
      <c r="H47" s="891">
        <v>3234.38</v>
      </c>
      <c r="I47" s="891">
        <v>3234.38</v>
      </c>
      <c r="J47" s="891">
        <v>3234.35</v>
      </c>
      <c r="K47" s="891">
        <v>3234.37</v>
      </c>
      <c r="L47" s="891">
        <v>3234.36</v>
      </c>
      <c r="M47" s="891">
        <v>3234.37</v>
      </c>
      <c r="N47" s="891">
        <v>3234.37</v>
      </c>
      <c r="O47" s="891">
        <v>38466.69</v>
      </c>
      <c r="R47" s="875" t="s">
        <v>824</v>
      </c>
      <c r="S47" s="875" t="s">
        <v>825</v>
      </c>
    </row>
    <row r="48" spans="1:19" s="875" customFormat="1" ht="12">
      <c r="A48" s="835" t="s">
        <v>709</v>
      </c>
      <c r="B48" s="836" t="s">
        <v>807</v>
      </c>
      <c r="C48" s="891">
        <v>68585.02</v>
      </c>
      <c r="D48" s="891">
        <v>68437.08</v>
      </c>
      <c r="E48" s="891">
        <v>68245.89</v>
      </c>
      <c r="F48" s="891">
        <v>66917.740000000005</v>
      </c>
      <c r="G48" s="891">
        <v>68030.850000000006</v>
      </c>
      <c r="H48" s="891">
        <v>68273.86</v>
      </c>
      <c r="I48" s="891">
        <v>68338.929999999993</v>
      </c>
      <c r="J48" s="891">
        <v>62505.34</v>
      </c>
      <c r="K48" s="891">
        <v>67852.990000000005</v>
      </c>
      <c r="L48" s="891">
        <v>69606.53</v>
      </c>
      <c r="M48" s="891">
        <v>68948.320000000007</v>
      </c>
      <c r="N48" s="891">
        <v>67665.56</v>
      </c>
      <c r="O48" s="901">
        <v>813408.11</v>
      </c>
      <c r="R48" s="875" t="s">
        <v>826</v>
      </c>
      <c r="S48" s="875" t="s">
        <v>827</v>
      </c>
    </row>
    <row r="49" spans="1:19" s="875" customFormat="1" ht="12">
      <c r="A49" s="835" t="s">
        <v>808</v>
      </c>
      <c r="B49" s="836" t="s">
        <v>809</v>
      </c>
      <c r="C49" s="891"/>
      <c r="D49" s="891"/>
      <c r="E49" s="891"/>
      <c r="F49" s="891"/>
      <c r="G49" s="891"/>
      <c r="H49" s="891"/>
      <c r="I49" s="891"/>
      <c r="J49" s="891"/>
      <c r="K49" s="891"/>
      <c r="L49" s="891"/>
      <c r="M49" s="891"/>
      <c r="N49" s="891"/>
      <c r="O49" s="901"/>
      <c r="R49" s="875" t="s">
        <v>828</v>
      </c>
      <c r="S49" s="875" t="s">
        <v>829</v>
      </c>
    </row>
    <row r="50" spans="1:19" s="875" customFormat="1" ht="12">
      <c r="A50" s="835" t="s">
        <v>810</v>
      </c>
      <c r="B50" s="836" t="s">
        <v>811</v>
      </c>
      <c r="C50" s="891">
        <v>833.33</v>
      </c>
      <c r="D50" s="891">
        <v>-444.24</v>
      </c>
      <c r="E50" s="891">
        <v>194.44</v>
      </c>
      <c r="F50" s="891">
        <v>194.44</v>
      </c>
      <c r="G50" s="891">
        <v>194.45</v>
      </c>
      <c r="H50" s="891">
        <v>194.44</v>
      </c>
      <c r="I50" s="891">
        <v>194.44</v>
      </c>
      <c r="J50" s="891">
        <v>189.45</v>
      </c>
      <c r="K50" s="891">
        <v>-2133.88</v>
      </c>
      <c r="L50" s="891">
        <v>750</v>
      </c>
      <c r="M50" s="891">
        <v>0</v>
      </c>
      <c r="N50" s="891">
        <v>4500</v>
      </c>
      <c r="O50" s="901">
        <v>4666.87</v>
      </c>
    </row>
    <row r="51" spans="1:19" s="875" customFormat="1" ht="12">
      <c r="A51" s="835" t="s">
        <v>812</v>
      </c>
      <c r="B51" s="836" t="s">
        <v>813</v>
      </c>
      <c r="C51" s="891"/>
      <c r="D51" s="891"/>
      <c r="E51" s="891"/>
      <c r="F51" s="891"/>
      <c r="G51" s="891"/>
      <c r="H51" s="891"/>
      <c r="I51" s="891"/>
      <c r="J51" s="891"/>
      <c r="K51" s="891"/>
      <c r="L51" s="891"/>
      <c r="M51" s="891"/>
      <c r="N51" s="891"/>
      <c r="O51" s="891"/>
    </row>
    <row r="52" spans="1:19" s="875" customFormat="1" ht="12">
      <c r="A52" s="835" t="s">
        <v>814</v>
      </c>
      <c r="B52" s="836" t="s">
        <v>815</v>
      </c>
      <c r="C52" s="891">
        <v>14622.17</v>
      </c>
      <c r="D52" s="891">
        <v>14622.17</v>
      </c>
      <c r="E52" s="891">
        <v>14622.17</v>
      </c>
      <c r="F52" s="891">
        <v>14622.17</v>
      </c>
      <c r="G52" s="891">
        <v>14622.17</v>
      </c>
      <c r="H52" s="891">
        <v>14622.17</v>
      </c>
      <c r="I52" s="891">
        <v>14622.17</v>
      </c>
      <c r="J52" s="891">
        <v>14622.17</v>
      </c>
      <c r="K52" s="891">
        <v>14622.17</v>
      </c>
      <c r="L52" s="891">
        <v>14622.17</v>
      </c>
      <c r="M52" s="891">
        <v>14622.17</v>
      </c>
      <c r="N52" s="891">
        <v>14622.17</v>
      </c>
      <c r="O52" s="891">
        <v>175466.04</v>
      </c>
    </row>
    <row r="53" spans="1:19" s="875" customFormat="1" ht="12">
      <c r="A53" s="835" t="s">
        <v>816</v>
      </c>
      <c r="B53" s="836" t="s">
        <v>817</v>
      </c>
      <c r="C53" s="891">
        <v>3162.33</v>
      </c>
      <c r="D53" s="891">
        <v>3338.99</v>
      </c>
      <c r="E53" s="891">
        <v>3250.67</v>
      </c>
      <c r="F53" s="891">
        <v>2985.67</v>
      </c>
      <c r="G53" s="891">
        <v>3515.67</v>
      </c>
      <c r="H53" s="891">
        <v>3250.67</v>
      </c>
      <c r="I53" s="891">
        <v>3339</v>
      </c>
      <c r="J53" s="891">
        <v>3909.98</v>
      </c>
      <c r="K53" s="891">
        <v>2829.5</v>
      </c>
      <c r="L53" s="891">
        <v>3339</v>
      </c>
      <c r="M53" s="891">
        <v>3379.99</v>
      </c>
      <c r="N53" s="891">
        <v>3359.49</v>
      </c>
      <c r="O53" s="891">
        <v>39660.959999999999</v>
      </c>
    </row>
    <row r="54" spans="1:19" s="875" customFormat="1" ht="12">
      <c r="A54" s="835" t="s">
        <v>818</v>
      </c>
      <c r="B54" s="836" t="s">
        <v>819</v>
      </c>
      <c r="C54" s="891">
        <v>43.06</v>
      </c>
      <c r="D54" s="891">
        <v>17.170000000000002</v>
      </c>
      <c r="E54" s="891">
        <v>1.69</v>
      </c>
      <c r="F54" s="891">
        <v>2.16</v>
      </c>
      <c r="G54" s="891">
        <v>1.98</v>
      </c>
      <c r="H54" s="891">
        <v>2.0699999999999998</v>
      </c>
      <c r="I54" s="891">
        <v>41.66</v>
      </c>
      <c r="J54" s="891">
        <v>15.51</v>
      </c>
      <c r="K54" s="891">
        <v>1.79</v>
      </c>
      <c r="L54" s="891">
        <v>2.6</v>
      </c>
      <c r="M54" s="891">
        <v>2.69</v>
      </c>
      <c r="N54" s="891">
        <v>2.54</v>
      </c>
      <c r="O54" s="891">
        <v>134.91999999999999</v>
      </c>
    </row>
    <row r="55" spans="1:19" s="875" customFormat="1" ht="12">
      <c r="A55" s="835" t="s">
        <v>820</v>
      </c>
      <c r="B55" s="836" t="s">
        <v>821</v>
      </c>
      <c r="C55" s="891">
        <v>1083.33</v>
      </c>
      <c r="D55" s="891">
        <v>1083.3399999999999</v>
      </c>
      <c r="E55" s="891">
        <v>1083.33</v>
      </c>
      <c r="F55" s="891">
        <v>1083.33</v>
      </c>
      <c r="G55" s="891">
        <v>1083.33</v>
      </c>
      <c r="H55" s="891">
        <v>1083.3399999999999</v>
      </c>
      <c r="I55" s="891">
        <v>1083.33</v>
      </c>
      <c r="J55" s="891">
        <v>1083.33</v>
      </c>
      <c r="K55" s="891">
        <v>1083.3399999999999</v>
      </c>
      <c r="L55" s="891">
        <v>1083.33</v>
      </c>
      <c r="M55" s="891">
        <v>1083.33</v>
      </c>
      <c r="N55" s="891">
        <v>1083.3399999999999</v>
      </c>
      <c r="O55" s="891">
        <v>13000</v>
      </c>
    </row>
    <row r="56" spans="1:19" s="875" customFormat="1" ht="12">
      <c r="A56" s="835" t="s">
        <v>680</v>
      </c>
      <c r="B56" s="836" t="s">
        <v>681</v>
      </c>
      <c r="C56" s="891">
        <v>0</v>
      </c>
      <c r="D56" s="891">
        <v>0</v>
      </c>
      <c r="E56" s="891">
        <v>0</v>
      </c>
      <c r="F56" s="891">
        <v>390</v>
      </c>
      <c r="G56" s="891">
        <v>0</v>
      </c>
      <c r="H56" s="891">
        <v>0</v>
      </c>
      <c r="I56" s="891">
        <v>0</v>
      </c>
      <c r="J56" s="891">
        <v>0</v>
      </c>
      <c r="K56" s="891">
        <v>0</v>
      </c>
      <c r="L56" s="891">
        <v>0</v>
      </c>
      <c r="M56" s="891">
        <v>0</v>
      </c>
      <c r="N56" s="891">
        <v>0</v>
      </c>
      <c r="O56" s="891">
        <v>390</v>
      </c>
    </row>
    <row r="57" spans="1:19" ht="12">
      <c r="A57" s="835" t="s">
        <v>822</v>
      </c>
      <c r="B57" s="836" t="s">
        <v>823</v>
      </c>
      <c r="C57" s="891">
        <v>0</v>
      </c>
      <c r="D57" s="891">
        <v>0</v>
      </c>
      <c r="E57" s="891">
        <v>0</v>
      </c>
      <c r="F57" s="891">
        <v>0</v>
      </c>
      <c r="G57" s="891">
        <v>0</v>
      </c>
      <c r="H57" s="891">
        <v>0</v>
      </c>
      <c r="I57" s="891">
        <v>0</v>
      </c>
      <c r="J57" s="891">
        <v>6608.83</v>
      </c>
      <c r="K57" s="891">
        <v>155.5</v>
      </c>
      <c r="L57" s="891">
        <v>815.15</v>
      </c>
      <c r="M57" s="891">
        <v>0</v>
      </c>
      <c r="N57" s="891">
        <v>0</v>
      </c>
      <c r="O57" s="891">
        <v>7579.48</v>
      </c>
    </row>
    <row r="58" spans="1:19" ht="12">
      <c r="A58" s="835" t="s">
        <v>824</v>
      </c>
      <c r="B58" s="836" t="s">
        <v>825</v>
      </c>
      <c r="C58" s="891">
        <v>459.33</v>
      </c>
      <c r="D58" s="891">
        <v>229.67</v>
      </c>
      <c r="E58" s="891">
        <v>344.5</v>
      </c>
      <c r="F58" s="891">
        <v>344.5</v>
      </c>
      <c r="G58" s="891">
        <v>344.5</v>
      </c>
      <c r="H58" s="891">
        <v>344.5</v>
      </c>
      <c r="I58" s="891">
        <v>344.5</v>
      </c>
      <c r="J58" s="891">
        <v>344.5</v>
      </c>
      <c r="K58" s="891">
        <v>344.5</v>
      </c>
      <c r="L58" s="891">
        <v>344.5</v>
      </c>
      <c r="M58" s="891">
        <v>1934.5</v>
      </c>
      <c r="N58" s="891">
        <v>1934.5</v>
      </c>
      <c r="O58" s="891">
        <v>7314</v>
      </c>
    </row>
    <row r="59" spans="1:19" ht="12">
      <c r="A59" s="835" t="s">
        <v>682</v>
      </c>
      <c r="B59" s="836" t="s">
        <v>683</v>
      </c>
      <c r="C59" s="891">
        <v>0</v>
      </c>
      <c r="D59" s="891">
        <v>0</v>
      </c>
      <c r="E59" s="891">
        <v>0</v>
      </c>
      <c r="F59" s="891">
        <v>0</v>
      </c>
      <c r="G59" s="891">
        <v>0</v>
      </c>
      <c r="H59" s="891">
        <v>0</v>
      </c>
      <c r="I59" s="891">
        <v>35000</v>
      </c>
      <c r="J59" s="891">
        <v>0</v>
      </c>
      <c r="K59" s="891">
        <v>0</v>
      </c>
      <c r="L59" s="891">
        <v>0</v>
      </c>
      <c r="M59" s="891">
        <v>0</v>
      </c>
      <c r="N59" s="891">
        <v>0</v>
      </c>
      <c r="O59" s="891">
        <v>35000</v>
      </c>
    </row>
    <row r="60" spans="1:19" ht="12">
      <c r="A60" s="835" t="s">
        <v>826</v>
      </c>
      <c r="B60" s="836" t="s">
        <v>827</v>
      </c>
      <c r="C60" s="891">
        <v>3333.33</v>
      </c>
      <c r="D60" s="891">
        <v>3333.33</v>
      </c>
      <c r="E60" s="891">
        <v>3333.34</v>
      </c>
      <c r="F60" s="891">
        <v>3333.33</v>
      </c>
      <c r="G60" s="891">
        <v>3333.34</v>
      </c>
      <c r="H60" s="891">
        <v>3333.33</v>
      </c>
      <c r="I60" s="891">
        <v>3506.67</v>
      </c>
      <c r="J60" s="891">
        <v>3376.66</v>
      </c>
      <c r="K60" s="891">
        <v>3376.67</v>
      </c>
      <c r="L60" s="891">
        <v>3376.67</v>
      </c>
      <c r="M60" s="891">
        <v>3376.66</v>
      </c>
      <c r="N60" s="891">
        <v>3376.67</v>
      </c>
      <c r="O60" s="891">
        <v>40390</v>
      </c>
    </row>
    <row r="61" spans="1:19" ht="12">
      <c r="A61" s="835" t="s">
        <v>828</v>
      </c>
      <c r="B61" s="836" t="s">
        <v>829</v>
      </c>
      <c r="C61" s="891">
        <v>0</v>
      </c>
      <c r="D61" s="891">
        <v>0</v>
      </c>
      <c r="E61" s="891">
        <v>0</v>
      </c>
      <c r="F61" s="891">
        <v>0</v>
      </c>
      <c r="G61" s="891">
        <v>0</v>
      </c>
      <c r="H61" s="891">
        <v>0</v>
      </c>
      <c r="I61" s="891">
        <v>0</v>
      </c>
      <c r="J61" s="891">
        <v>10000</v>
      </c>
      <c r="K61" s="891">
        <v>0</v>
      </c>
      <c r="L61" s="891">
        <v>0</v>
      </c>
      <c r="M61" s="891">
        <v>0</v>
      </c>
      <c r="N61" s="891">
        <v>0</v>
      </c>
      <c r="O61" s="891">
        <v>10000</v>
      </c>
    </row>
    <row r="62" spans="1:19" ht="12">
      <c r="A62" s="835" t="s">
        <v>830</v>
      </c>
      <c r="B62" s="836" t="s">
        <v>831</v>
      </c>
      <c r="C62" s="891"/>
      <c r="D62" s="891"/>
      <c r="E62" s="891"/>
      <c r="F62" s="891"/>
      <c r="G62" s="891"/>
      <c r="H62" s="891"/>
      <c r="I62" s="891"/>
      <c r="J62" s="891"/>
      <c r="K62" s="891"/>
      <c r="L62" s="891"/>
      <c r="M62" s="891"/>
      <c r="N62" s="891"/>
      <c r="O62" s="891"/>
    </row>
    <row r="63" spans="1:19" ht="12">
      <c r="A63" s="835" t="s">
        <v>686</v>
      </c>
      <c r="B63" s="836" t="s">
        <v>687</v>
      </c>
      <c r="C63" s="891">
        <v>94250.72</v>
      </c>
      <c r="D63" s="891">
        <v>89620.39</v>
      </c>
      <c r="E63" s="891">
        <v>84398.67</v>
      </c>
      <c r="F63" s="891">
        <v>87004.73</v>
      </c>
      <c r="G63" s="891">
        <v>84139.03</v>
      </c>
      <c r="H63" s="891">
        <v>86898.95</v>
      </c>
      <c r="I63" s="891">
        <v>86898.94</v>
      </c>
      <c r="J63" s="891">
        <v>78566.31</v>
      </c>
      <c r="K63" s="891">
        <v>87230.720000000001</v>
      </c>
      <c r="L63" s="891">
        <v>84355.39</v>
      </c>
      <c r="M63" s="891">
        <v>86966.26</v>
      </c>
      <c r="N63" s="891">
        <v>84095.75</v>
      </c>
      <c r="O63" s="902">
        <v>1034425.86</v>
      </c>
    </row>
    <row r="64" spans="1:19" ht="12">
      <c r="A64" s="835" t="s">
        <v>688</v>
      </c>
      <c r="B64" s="836" t="s">
        <v>689</v>
      </c>
      <c r="C64" s="891">
        <v>7029.61</v>
      </c>
      <c r="D64" s="891">
        <v>11703.21</v>
      </c>
      <c r="E64" s="891">
        <v>13847.67</v>
      </c>
      <c r="F64" s="891">
        <v>14407.84</v>
      </c>
      <c r="G64" s="891">
        <v>14088.27</v>
      </c>
      <c r="H64" s="891">
        <v>14487.17</v>
      </c>
      <c r="I64" s="891">
        <v>14347.73</v>
      </c>
      <c r="J64" s="891">
        <v>13030.27</v>
      </c>
      <c r="K64" s="891">
        <v>14097.7</v>
      </c>
      <c r="L64" s="891">
        <v>13789.97</v>
      </c>
      <c r="M64" s="891">
        <v>14193.86</v>
      </c>
      <c r="N64" s="891">
        <v>13934.22</v>
      </c>
      <c r="O64" s="902">
        <v>158957.51999999999</v>
      </c>
    </row>
    <row r="65" spans="1:15" ht="12">
      <c r="A65" s="835" t="s">
        <v>832</v>
      </c>
      <c r="B65" s="836" t="s">
        <v>833</v>
      </c>
      <c r="C65" s="891">
        <v>292090.78000000003</v>
      </c>
      <c r="D65" s="891">
        <v>292090.78000000003</v>
      </c>
      <c r="E65" s="891">
        <v>282668.51</v>
      </c>
      <c r="F65" s="891">
        <v>292090.78999999998</v>
      </c>
      <c r="G65" s="891">
        <v>282668.51</v>
      </c>
      <c r="H65" s="891">
        <v>292090.78000000003</v>
      </c>
      <c r="I65" s="891">
        <v>292090.77</v>
      </c>
      <c r="J65" s="891">
        <v>263823.93</v>
      </c>
      <c r="K65" s="891">
        <v>292090.78000000003</v>
      </c>
      <c r="L65" s="891">
        <v>282668.5</v>
      </c>
      <c r="M65" s="891">
        <v>292090.78999999998</v>
      </c>
      <c r="N65" s="891">
        <v>282668.5</v>
      </c>
      <c r="O65" s="891">
        <v>3439133.42</v>
      </c>
    </row>
    <row r="66" spans="1:15" ht="12">
      <c r="A66" s="835" t="s">
        <v>834</v>
      </c>
      <c r="B66" s="836" t="s">
        <v>835</v>
      </c>
      <c r="C66" s="891">
        <v>-48772.75</v>
      </c>
      <c r="D66" s="891">
        <v>-47799.26</v>
      </c>
      <c r="E66" s="891">
        <v>-35830.550000000003</v>
      </c>
      <c r="F66" s="891">
        <v>-32798.68</v>
      </c>
      <c r="G66" s="891">
        <v>-21068.26</v>
      </c>
      <c r="H66" s="891">
        <v>-96273.86</v>
      </c>
      <c r="I66" s="891">
        <v>-99193.03</v>
      </c>
      <c r="J66" s="891">
        <v>-8103.41</v>
      </c>
      <c r="K66" s="891">
        <v>-30437.48</v>
      </c>
      <c r="L66" s="891">
        <v>-32414.54</v>
      </c>
      <c r="M66" s="891">
        <v>-39265.19</v>
      </c>
      <c r="N66" s="891">
        <v>-19221.61</v>
      </c>
      <c r="O66" s="891">
        <v>-511178.62</v>
      </c>
    </row>
    <row r="67" spans="1:15" ht="12">
      <c r="A67" s="835" t="s">
        <v>836</v>
      </c>
      <c r="B67" s="836" t="s">
        <v>837</v>
      </c>
      <c r="C67" s="891">
        <v>8379.5</v>
      </c>
      <c r="D67" s="891">
        <v>8379.49</v>
      </c>
      <c r="E67" s="891">
        <v>8109.19</v>
      </c>
      <c r="F67" s="891">
        <v>8379.49</v>
      </c>
      <c r="G67" s="891">
        <v>8109.19</v>
      </c>
      <c r="H67" s="891">
        <v>8379.49</v>
      </c>
      <c r="I67" s="891">
        <v>8379.49</v>
      </c>
      <c r="J67" s="891">
        <v>7568.58</v>
      </c>
      <c r="K67" s="891">
        <v>8379.5</v>
      </c>
      <c r="L67" s="891">
        <v>8109.19</v>
      </c>
      <c r="M67" s="891">
        <v>8379.49</v>
      </c>
      <c r="N67" s="891">
        <v>8109.18</v>
      </c>
      <c r="O67" s="891">
        <v>98661.78</v>
      </c>
    </row>
    <row r="68" spans="1:15" ht="12">
      <c r="A68" s="835" t="s">
        <v>838</v>
      </c>
      <c r="B68" s="836" t="s">
        <v>839</v>
      </c>
      <c r="C68" s="891">
        <v>2632.87</v>
      </c>
      <c r="D68" s="891">
        <v>2632.88</v>
      </c>
      <c r="E68" s="891">
        <v>2547.94</v>
      </c>
      <c r="F68" s="891">
        <v>2632.88</v>
      </c>
      <c r="G68" s="891">
        <v>2547.94</v>
      </c>
      <c r="H68" s="891">
        <v>2632.88</v>
      </c>
      <c r="I68" s="891">
        <v>2632.88</v>
      </c>
      <c r="J68" s="891">
        <v>2378.08</v>
      </c>
      <c r="K68" s="891">
        <v>2632.88</v>
      </c>
      <c r="L68" s="891">
        <v>2547.94</v>
      </c>
      <c r="M68" s="891">
        <v>2632.88</v>
      </c>
      <c r="N68" s="891">
        <v>2547.9499999999998</v>
      </c>
      <c r="O68" s="891">
        <v>31000</v>
      </c>
    </row>
    <row r="69" spans="1:15" ht="12">
      <c r="A69" s="835" t="s">
        <v>709</v>
      </c>
      <c r="B69" s="836" t="s">
        <v>842</v>
      </c>
      <c r="C69" s="891">
        <v>355610.73</v>
      </c>
      <c r="D69" s="891">
        <v>356627.49</v>
      </c>
      <c r="E69" s="891">
        <v>355741.43</v>
      </c>
      <c r="F69" s="891">
        <v>371717.05</v>
      </c>
      <c r="G69" s="891">
        <v>370484.68</v>
      </c>
      <c r="H69" s="891">
        <v>308215.40999999997</v>
      </c>
      <c r="I69" s="891">
        <v>305156.78000000003</v>
      </c>
      <c r="J69" s="891">
        <v>357263.76</v>
      </c>
      <c r="K69" s="891">
        <v>373994.1</v>
      </c>
      <c r="L69" s="891">
        <v>359056.45</v>
      </c>
      <c r="M69" s="891">
        <v>364998.09</v>
      </c>
      <c r="N69" s="891">
        <v>372133.99</v>
      </c>
      <c r="O69" s="891">
        <v>4250999.96</v>
      </c>
    </row>
    <row r="70" spans="1:15" ht="12">
      <c r="A70" s="835" t="s">
        <v>843</v>
      </c>
      <c r="B70" s="836" t="s">
        <v>844</v>
      </c>
      <c r="C70" s="891"/>
      <c r="D70" s="891"/>
      <c r="E70" s="891"/>
      <c r="F70" s="891"/>
      <c r="G70" s="891"/>
      <c r="H70" s="891"/>
      <c r="I70" s="891"/>
      <c r="J70" s="891"/>
      <c r="K70" s="891"/>
      <c r="L70" s="891"/>
      <c r="M70" s="891"/>
      <c r="N70" s="891"/>
      <c r="O70" s="891"/>
    </row>
    <row r="71" spans="1:15" ht="12">
      <c r="A71" s="835" t="s">
        <v>897</v>
      </c>
      <c r="B71" s="836" t="s">
        <v>898</v>
      </c>
      <c r="C71" s="891">
        <v>0</v>
      </c>
      <c r="D71" s="891">
        <v>0</v>
      </c>
      <c r="E71" s="891">
        <v>0</v>
      </c>
      <c r="F71" s="891">
        <v>0</v>
      </c>
      <c r="G71" s="891">
        <v>0</v>
      </c>
      <c r="H71" s="891">
        <v>0</v>
      </c>
      <c r="I71" s="891">
        <v>0</v>
      </c>
      <c r="J71" s="891">
        <v>-1450000</v>
      </c>
      <c r="K71" s="891">
        <v>0</v>
      </c>
      <c r="L71" s="891">
        <v>0</v>
      </c>
      <c r="M71" s="891">
        <v>0</v>
      </c>
      <c r="N71" s="891">
        <v>0</v>
      </c>
      <c r="O71" s="891">
        <v>-1450000</v>
      </c>
    </row>
    <row r="72" spans="1:15" ht="12">
      <c r="A72" s="835" t="s">
        <v>845</v>
      </c>
      <c r="B72" s="836" t="s">
        <v>846</v>
      </c>
      <c r="C72" s="891">
        <v>0</v>
      </c>
      <c r="D72" s="891">
        <v>0</v>
      </c>
      <c r="E72" s="891">
        <v>0</v>
      </c>
      <c r="F72" s="891">
        <v>5342.45</v>
      </c>
      <c r="G72" s="891">
        <v>0</v>
      </c>
      <c r="H72" s="891">
        <v>0</v>
      </c>
      <c r="I72" s="891">
        <v>30900</v>
      </c>
      <c r="J72" s="891">
        <v>0</v>
      </c>
      <c r="K72" s="891">
        <v>0</v>
      </c>
      <c r="L72" s="891">
        <v>8980</v>
      </c>
      <c r="M72" s="891">
        <v>0</v>
      </c>
      <c r="N72" s="891">
        <v>0</v>
      </c>
      <c r="O72" s="891">
        <v>45222.45</v>
      </c>
    </row>
    <row r="73" spans="1:15" ht="12">
      <c r="A73" s="835" t="s">
        <v>847</v>
      </c>
      <c r="B73" s="836" t="s">
        <v>848</v>
      </c>
      <c r="C73" s="891">
        <v>76265.289999999994</v>
      </c>
      <c r="D73" s="891">
        <v>76265.289999999994</v>
      </c>
      <c r="E73" s="891">
        <v>76265.53</v>
      </c>
      <c r="F73" s="891">
        <v>76265.53</v>
      </c>
      <c r="G73" s="891">
        <v>76265.53</v>
      </c>
      <c r="H73" s="891">
        <v>76265.53</v>
      </c>
      <c r="I73" s="891">
        <v>76265.53</v>
      </c>
      <c r="J73" s="891">
        <v>76265.53</v>
      </c>
      <c r="K73" s="891">
        <v>76265.53</v>
      </c>
      <c r="L73" s="891">
        <v>76265.53</v>
      </c>
      <c r="M73" s="891">
        <v>76265.53</v>
      </c>
      <c r="N73" s="891">
        <v>76265.53</v>
      </c>
      <c r="O73" s="891">
        <v>915185.88</v>
      </c>
    </row>
    <row r="74" spans="1:15" ht="12">
      <c r="A74" s="835" t="s">
        <v>709</v>
      </c>
      <c r="B74" s="836" t="s">
        <v>849</v>
      </c>
      <c r="C74" s="891">
        <v>76265.289999999994</v>
      </c>
      <c r="D74" s="891">
        <v>76265.289999999994</v>
      </c>
      <c r="E74" s="891">
        <v>76265.53</v>
      </c>
      <c r="F74" s="891">
        <v>81607.98</v>
      </c>
      <c r="G74" s="891">
        <v>76265.53</v>
      </c>
      <c r="H74" s="891">
        <v>76265.53</v>
      </c>
      <c r="I74" s="891">
        <v>107165.53</v>
      </c>
      <c r="J74" s="891">
        <v>-1373734.47</v>
      </c>
      <c r="K74" s="891">
        <v>76265.53</v>
      </c>
      <c r="L74" s="891">
        <v>85245.53</v>
      </c>
      <c r="M74" s="891">
        <v>76265.53</v>
      </c>
      <c r="N74" s="891">
        <v>76265.53</v>
      </c>
      <c r="O74" s="891">
        <v>-489591.67</v>
      </c>
    </row>
    <row r="75" spans="1:15" ht="12">
      <c r="A75" s="835" t="s">
        <v>850</v>
      </c>
      <c r="B75" s="836" t="s">
        <v>851</v>
      </c>
      <c r="C75" s="891">
        <v>22692.39</v>
      </c>
      <c r="D75" s="891">
        <v>67829.179999999993</v>
      </c>
      <c r="E75" s="891">
        <v>-50042.41</v>
      </c>
      <c r="F75" s="891">
        <v>-105498.37</v>
      </c>
      <c r="G75" s="891">
        <v>-88854.52</v>
      </c>
      <c r="H75" s="891">
        <v>-351</v>
      </c>
      <c r="I75" s="891">
        <v>-14198.89</v>
      </c>
      <c r="J75" s="891">
        <v>-11752.17</v>
      </c>
      <c r="K75" s="891">
        <v>-12018.54</v>
      </c>
      <c r="L75" s="891">
        <v>26005.89</v>
      </c>
      <c r="M75" s="891">
        <v>8191.24</v>
      </c>
      <c r="N75" s="891">
        <v>-71015.429999999993</v>
      </c>
      <c r="O75" s="891">
        <v>-229012.63</v>
      </c>
    </row>
    <row r="76" spans="1:15" ht="12">
      <c r="A76" s="835" t="s">
        <v>709</v>
      </c>
      <c r="B76" s="836" t="s">
        <v>852</v>
      </c>
      <c r="C76" s="891">
        <v>546690.31000000006</v>
      </c>
      <c r="D76" s="891">
        <v>591339.47</v>
      </c>
      <c r="E76" s="891">
        <v>473040.58</v>
      </c>
      <c r="F76" s="891">
        <v>437700</v>
      </c>
      <c r="G76" s="891">
        <v>449021.98</v>
      </c>
      <c r="H76" s="891">
        <v>475234.32</v>
      </c>
      <c r="I76" s="891">
        <v>524594.12</v>
      </c>
      <c r="J76" s="891">
        <v>-925567.11</v>
      </c>
      <c r="K76" s="891">
        <v>526373.67000000004</v>
      </c>
      <c r="L76" s="891">
        <v>564247.81999999995</v>
      </c>
      <c r="M76" s="891">
        <v>542802.52</v>
      </c>
      <c r="N76" s="891">
        <v>473928.36</v>
      </c>
      <c r="O76" s="891">
        <v>4679406.04</v>
      </c>
    </row>
    <row r="77" spans="1:15" ht="12">
      <c r="A77" s="835" t="s">
        <v>709</v>
      </c>
      <c r="B77" s="836"/>
      <c r="C77" s="891"/>
      <c r="D77" s="891"/>
      <c r="E77" s="891"/>
      <c r="F77" s="891"/>
      <c r="G77" s="891"/>
      <c r="H77" s="891"/>
      <c r="I77" s="891"/>
      <c r="J77" s="891"/>
      <c r="K77" s="891"/>
      <c r="L77" s="891"/>
      <c r="M77" s="891"/>
      <c r="N77" s="891"/>
      <c r="O77" s="891"/>
    </row>
    <row r="78" spans="1:15" ht="12">
      <c r="A78" s="835" t="s">
        <v>709</v>
      </c>
      <c r="B78" s="836" t="s">
        <v>853</v>
      </c>
      <c r="C78" s="891">
        <v>-34682.769999999997</v>
      </c>
      <c r="D78" s="891">
        <v>-79331.91</v>
      </c>
      <c r="E78" s="891">
        <v>38718.21</v>
      </c>
      <c r="F78" s="891">
        <v>88438.43</v>
      </c>
      <c r="G78" s="891">
        <v>77350.8</v>
      </c>
      <c r="H78" s="891">
        <v>51429.48</v>
      </c>
      <c r="I78" s="891">
        <v>2107.0700000000002</v>
      </c>
      <c r="J78" s="891">
        <v>1451345.23</v>
      </c>
      <c r="K78" s="891">
        <v>327.52</v>
      </c>
      <c r="L78" s="891">
        <v>-37546.629999999997</v>
      </c>
      <c r="M78" s="891">
        <v>-20439.330000000002</v>
      </c>
      <c r="N78" s="891">
        <v>58990.83</v>
      </c>
      <c r="O78" s="891">
        <v>1596706.93</v>
      </c>
    </row>
    <row r="79" spans="1:15" ht="12">
      <c r="A79" s="835" t="s">
        <v>709</v>
      </c>
      <c r="B79" s="836"/>
      <c r="C79" s="891"/>
      <c r="D79" s="891"/>
      <c r="E79" s="891"/>
      <c r="F79" s="891"/>
      <c r="G79" s="891"/>
      <c r="H79" s="891"/>
      <c r="I79" s="891"/>
      <c r="J79" s="891"/>
      <c r="K79" s="891"/>
      <c r="L79" s="891"/>
      <c r="M79" s="891"/>
      <c r="N79" s="891"/>
      <c r="O79" s="891"/>
    </row>
    <row r="80" spans="1:15" ht="12">
      <c r="A80" s="835" t="s">
        <v>854</v>
      </c>
      <c r="B80" s="836" t="s">
        <v>855</v>
      </c>
      <c r="C80" s="891"/>
      <c r="D80" s="891"/>
      <c r="E80" s="891"/>
      <c r="F80" s="891"/>
      <c r="G80" s="891"/>
      <c r="H80" s="891"/>
      <c r="I80" s="891"/>
      <c r="J80" s="891"/>
      <c r="K80" s="891"/>
      <c r="L80" s="891"/>
      <c r="M80" s="891"/>
      <c r="N80" s="891"/>
      <c r="O80" s="891"/>
    </row>
    <row r="81" spans="1:15" ht="12">
      <c r="A81" s="835" t="s">
        <v>856</v>
      </c>
      <c r="B81" s="836" t="s">
        <v>857</v>
      </c>
      <c r="C81" s="891"/>
      <c r="D81" s="891"/>
      <c r="E81" s="891"/>
      <c r="F81" s="891"/>
      <c r="G81" s="891"/>
      <c r="H81" s="891"/>
      <c r="I81" s="891"/>
      <c r="J81" s="891"/>
      <c r="K81" s="891"/>
      <c r="L81" s="891"/>
      <c r="M81" s="891"/>
      <c r="N81" s="891"/>
      <c r="O81" s="891"/>
    </row>
    <row r="82" spans="1:15" ht="12">
      <c r="A82" s="835" t="s">
        <v>858</v>
      </c>
      <c r="B82" s="836" t="s">
        <v>859</v>
      </c>
      <c r="C82" s="891"/>
      <c r="D82" s="891"/>
      <c r="E82" s="891"/>
      <c r="F82" s="891"/>
      <c r="G82" s="891"/>
      <c r="H82" s="891"/>
      <c r="I82" s="891"/>
      <c r="J82" s="891"/>
      <c r="K82" s="891"/>
      <c r="L82" s="891"/>
      <c r="M82" s="891"/>
      <c r="N82" s="891"/>
      <c r="O82" s="891"/>
    </row>
    <row r="83" spans="1:15" ht="12">
      <c r="A83" s="835" t="s">
        <v>860</v>
      </c>
      <c r="B83" s="836" t="s">
        <v>861</v>
      </c>
      <c r="C83" s="891">
        <v>978.01</v>
      </c>
      <c r="D83" s="891">
        <v>490.36</v>
      </c>
      <c r="E83" s="891">
        <v>667.07</v>
      </c>
      <c r="F83" s="891">
        <v>705.12</v>
      </c>
      <c r="G83" s="891">
        <v>846.59</v>
      </c>
      <c r="H83" s="891">
        <v>1218.56</v>
      </c>
      <c r="I83" s="891">
        <v>1079.45</v>
      </c>
      <c r="J83" s="891">
        <v>460.29</v>
      </c>
      <c r="K83" s="891">
        <v>678.64</v>
      </c>
      <c r="L83" s="891">
        <v>883.61</v>
      </c>
      <c r="M83" s="891">
        <v>1235.72</v>
      </c>
      <c r="N83" s="891">
        <v>1367.47</v>
      </c>
      <c r="O83" s="891">
        <v>10610.89</v>
      </c>
    </row>
    <row r="84" spans="1:15" ht="12">
      <c r="A84" s="835" t="s">
        <v>709</v>
      </c>
      <c r="B84" s="836" t="s">
        <v>862</v>
      </c>
      <c r="C84" s="891">
        <v>978.01</v>
      </c>
      <c r="D84" s="891">
        <v>490.36</v>
      </c>
      <c r="E84" s="891">
        <v>667.07</v>
      </c>
      <c r="F84" s="891">
        <v>705.12</v>
      </c>
      <c r="G84" s="891">
        <v>846.59</v>
      </c>
      <c r="H84" s="891">
        <v>1218.56</v>
      </c>
      <c r="I84" s="891">
        <v>1079.45</v>
      </c>
      <c r="J84" s="891">
        <v>460.29</v>
      </c>
      <c r="K84" s="891">
        <v>678.64</v>
      </c>
      <c r="L84" s="891">
        <v>883.61</v>
      </c>
      <c r="M84" s="891">
        <v>1235.72</v>
      </c>
      <c r="N84" s="891">
        <v>1367.47</v>
      </c>
      <c r="O84" s="891">
        <v>10610.89</v>
      </c>
    </row>
    <row r="85" spans="1:15" ht="12">
      <c r="A85" s="835" t="s">
        <v>709</v>
      </c>
      <c r="B85" s="836"/>
      <c r="C85" s="891"/>
      <c r="D85" s="891"/>
      <c r="E85" s="891"/>
      <c r="F85" s="891"/>
      <c r="G85" s="891"/>
      <c r="H85" s="891"/>
      <c r="I85" s="891"/>
      <c r="J85" s="891"/>
      <c r="K85" s="891"/>
      <c r="L85" s="891"/>
      <c r="M85" s="891"/>
      <c r="N85" s="891"/>
      <c r="O85" s="891"/>
    </row>
    <row r="86" spans="1:15" ht="12">
      <c r="A86" s="835" t="s">
        <v>863</v>
      </c>
      <c r="B86" s="836" t="s">
        <v>864</v>
      </c>
      <c r="C86" s="891"/>
      <c r="D86" s="891"/>
      <c r="E86" s="891"/>
      <c r="F86" s="891"/>
      <c r="G86" s="891"/>
      <c r="H86" s="891"/>
      <c r="I86" s="891"/>
      <c r="J86" s="891"/>
      <c r="K86" s="891"/>
      <c r="L86" s="891"/>
      <c r="M86" s="891"/>
      <c r="N86" s="891"/>
      <c r="O86" s="891"/>
    </row>
    <row r="87" spans="1:15" ht="12">
      <c r="A87" s="835" t="s">
        <v>709</v>
      </c>
      <c r="B87" s="836"/>
      <c r="C87" s="891"/>
      <c r="D87" s="891"/>
      <c r="E87" s="891"/>
      <c r="F87" s="891"/>
      <c r="G87" s="891"/>
      <c r="H87" s="891"/>
      <c r="I87" s="891"/>
      <c r="J87" s="891"/>
      <c r="K87" s="891"/>
      <c r="L87" s="891"/>
      <c r="M87" s="891"/>
      <c r="N87" s="891"/>
      <c r="O87" s="891"/>
    </row>
    <row r="88" spans="1:15" ht="12">
      <c r="A88" s="835" t="s">
        <v>709</v>
      </c>
      <c r="B88" s="836" t="s">
        <v>868</v>
      </c>
      <c r="C88" s="891">
        <v>-33704.76</v>
      </c>
      <c r="D88" s="891">
        <v>-78841.55</v>
      </c>
      <c r="E88" s="891">
        <v>39385.279999999999</v>
      </c>
      <c r="F88" s="891">
        <v>89143.55</v>
      </c>
      <c r="G88" s="891">
        <v>78197.39</v>
      </c>
      <c r="H88" s="891">
        <v>52648.04</v>
      </c>
      <c r="I88" s="891">
        <v>3186.52</v>
      </c>
      <c r="J88" s="891">
        <v>1451805.52</v>
      </c>
      <c r="K88" s="891">
        <v>1006.16</v>
      </c>
      <c r="L88" s="891">
        <v>-36663.019999999997</v>
      </c>
      <c r="M88" s="891">
        <v>-19203.61</v>
      </c>
      <c r="N88" s="891">
        <v>60358.3</v>
      </c>
      <c r="O88" s="891">
        <v>1607317.82</v>
      </c>
    </row>
    <row r="91" spans="1:15">
      <c r="C91" s="906">
        <f>SUM(C48:C50)</f>
        <v>69418.350000000006</v>
      </c>
      <c r="D91" s="906">
        <f t="shared" ref="D91:O91" si="0">SUM(D48:D50)</f>
        <v>67992.84</v>
      </c>
      <c r="E91" s="906">
        <f t="shared" si="0"/>
        <v>68440.33</v>
      </c>
      <c r="F91" s="906">
        <f t="shared" si="0"/>
        <v>67112.180000000008</v>
      </c>
      <c r="G91" s="906">
        <f t="shared" si="0"/>
        <v>68225.3</v>
      </c>
      <c r="H91" s="906">
        <f t="shared" si="0"/>
        <v>68468.3</v>
      </c>
      <c r="I91" s="906">
        <f t="shared" si="0"/>
        <v>68533.37</v>
      </c>
      <c r="J91" s="906">
        <f t="shared" si="0"/>
        <v>62694.789999999994</v>
      </c>
      <c r="K91" s="906">
        <f t="shared" si="0"/>
        <v>65719.11</v>
      </c>
      <c r="L91" s="906">
        <f t="shared" si="0"/>
        <v>70356.53</v>
      </c>
      <c r="M91" s="906">
        <f t="shared" si="0"/>
        <v>68948.320000000007</v>
      </c>
      <c r="N91" s="906">
        <f t="shared" si="0"/>
        <v>72165.56</v>
      </c>
      <c r="O91" s="906">
        <f t="shared" si="0"/>
        <v>818074.98</v>
      </c>
    </row>
  </sheetData>
  <phoneticPr fontId="3" type="noConversion"/>
  <printOptions horizontalCentered="1"/>
  <pageMargins left="0.47244094488188981" right="0.38958333333333334" top="1.3875" bottom="0.74803149606299213" header="0.39370078740157483" footer="0.39370078740157483"/>
  <pageSetup paperSize="9" scale="39" firstPageNumber="30" orientation="portrait" useFirstPageNumber="1" r:id="rId1"/>
  <headerFooter scaleWithDoc="0">
    <oddHeader>&amp;L&amp;20
&amp;A&amp;R&amp;G</oddHeader>
    <oddFooter>&amp;C&amp;F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5"/>
  <sheetViews>
    <sheetView topLeftCell="A34" workbookViewId="0">
      <selection activeCell="C54" sqref="C54:E54"/>
    </sheetView>
  </sheetViews>
  <sheetFormatPr defaultColWidth="10.28515625" defaultRowHeight="16.5"/>
  <cols>
    <col min="1" max="1" width="0.85546875" style="927" customWidth="1"/>
    <col min="2" max="2" width="40.140625" style="739" customWidth="1"/>
    <col min="3" max="3" width="14.42578125" style="927" customWidth="1"/>
    <col min="4" max="5" width="12.5703125" style="927" customWidth="1"/>
    <col min="6" max="250" width="10.28515625" style="739"/>
    <col min="251" max="251" width="0.85546875" style="739" customWidth="1"/>
    <col min="252" max="252" width="31.28515625" style="739" customWidth="1"/>
    <col min="253" max="258" width="12.5703125" style="739" customWidth="1"/>
    <col min="259" max="506" width="10.28515625" style="739"/>
    <col min="507" max="507" width="0.85546875" style="739" customWidth="1"/>
    <col min="508" max="508" width="31.28515625" style="739" customWidth="1"/>
    <col min="509" max="514" width="12.5703125" style="739" customWidth="1"/>
    <col min="515" max="762" width="10.28515625" style="739"/>
    <col min="763" max="763" width="0.85546875" style="739" customWidth="1"/>
    <col min="764" max="764" width="31.28515625" style="739" customWidth="1"/>
    <col min="765" max="770" width="12.5703125" style="739" customWidth="1"/>
    <col min="771" max="1018" width="10.28515625" style="739"/>
    <col min="1019" max="1019" width="0.85546875" style="739" customWidth="1"/>
    <col min="1020" max="1020" width="31.28515625" style="739" customWidth="1"/>
    <col min="1021" max="1026" width="12.5703125" style="739" customWidth="1"/>
    <col min="1027" max="1274" width="10.28515625" style="739"/>
    <col min="1275" max="1275" width="0.85546875" style="739" customWidth="1"/>
    <col min="1276" max="1276" width="31.28515625" style="739" customWidth="1"/>
    <col min="1277" max="1282" width="12.5703125" style="739" customWidth="1"/>
    <col min="1283" max="1530" width="10.28515625" style="739"/>
    <col min="1531" max="1531" width="0.85546875" style="739" customWidth="1"/>
    <col min="1532" max="1532" width="31.28515625" style="739" customWidth="1"/>
    <col min="1533" max="1538" width="12.5703125" style="739" customWidth="1"/>
    <col min="1539" max="1786" width="10.28515625" style="739"/>
    <col min="1787" max="1787" width="0.85546875" style="739" customWidth="1"/>
    <col min="1788" max="1788" width="31.28515625" style="739" customWidth="1"/>
    <col min="1789" max="1794" width="12.5703125" style="739" customWidth="1"/>
    <col min="1795" max="2042" width="10.28515625" style="739"/>
    <col min="2043" max="2043" width="0.85546875" style="739" customWidth="1"/>
    <col min="2044" max="2044" width="31.28515625" style="739" customWidth="1"/>
    <col min="2045" max="2050" width="12.5703125" style="739" customWidth="1"/>
    <col min="2051" max="2298" width="10.28515625" style="739"/>
    <col min="2299" max="2299" width="0.85546875" style="739" customWidth="1"/>
    <col min="2300" max="2300" width="31.28515625" style="739" customWidth="1"/>
    <col min="2301" max="2306" width="12.5703125" style="739" customWidth="1"/>
    <col min="2307" max="2554" width="10.28515625" style="739"/>
    <col min="2555" max="2555" width="0.85546875" style="739" customWidth="1"/>
    <col min="2556" max="2556" width="31.28515625" style="739" customWidth="1"/>
    <col min="2557" max="2562" width="12.5703125" style="739" customWidth="1"/>
    <col min="2563" max="2810" width="10.28515625" style="739"/>
    <col min="2811" max="2811" width="0.85546875" style="739" customWidth="1"/>
    <col min="2812" max="2812" width="31.28515625" style="739" customWidth="1"/>
    <col min="2813" max="2818" width="12.5703125" style="739" customWidth="1"/>
    <col min="2819" max="3066" width="10.28515625" style="739"/>
    <col min="3067" max="3067" width="0.85546875" style="739" customWidth="1"/>
    <col min="3068" max="3068" width="31.28515625" style="739" customWidth="1"/>
    <col min="3069" max="3074" width="12.5703125" style="739" customWidth="1"/>
    <col min="3075" max="3322" width="10.28515625" style="739"/>
    <col min="3323" max="3323" width="0.85546875" style="739" customWidth="1"/>
    <col min="3324" max="3324" width="31.28515625" style="739" customWidth="1"/>
    <col min="3325" max="3330" width="12.5703125" style="739" customWidth="1"/>
    <col min="3331" max="3578" width="10.28515625" style="739"/>
    <col min="3579" max="3579" width="0.85546875" style="739" customWidth="1"/>
    <col min="3580" max="3580" width="31.28515625" style="739" customWidth="1"/>
    <col min="3581" max="3586" width="12.5703125" style="739" customWidth="1"/>
    <col min="3587" max="3834" width="10.28515625" style="739"/>
    <col min="3835" max="3835" width="0.85546875" style="739" customWidth="1"/>
    <col min="3836" max="3836" width="31.28515625" style="739" customWidth="1"/>
    <col min="3837" max="3842" width="12.5703125" style="739" customWidth="1"/>
    <col min="3843" max="4090" width="10.28515625" style="739"/>
    <col min="4091" max="4091" width="0.85546875" style="739" customWidth="1"/>
    <col min="4092" max="4092" width="31.28515625" style="739" customWidth="1"/>
    <col min="4093" max="4098" width="12.5703125" style="739" customWidth="1"/>
    <col min="4099" max="4346" width="10.28515625" style="739"/>
    <col min="4347" max="4347" width="0.85546875" style="739" customWidth="1"/>
    <col min="4348" max="4348" width="31.28515625" style="739" customWidth="1"/>
    <col min="4349" max="4354" width="12.5703125" style="739" customWidth="1"/>
    <col min="4355" max="4602" width="10.28515625" style="739"/>
    <col min="4603" max="4603" width="0.85546875" style="739" customWidth="1"/>
    <col min="4604" max="4604" width="31.28515625" style="739" customWidth="1"/>
    <col min="4605" max="4610" width="12.5703125" style="739" customWidth="1"/>
    <col min="4611" max="4858" width="10.28515625" style="739"/>
    <col min="4859" max="4859" width="0.85546875" style="739" customWidth="1"/>
    <col min="4860" max="4860" width="31.28515625" style="739" customWidth="1"/>
    <col min="4861" max="4866" width="12.5703125" style="739" customWidth="1"/>
    <col min="4867" max="5114" width="10.28515625" style="739"/>
    <col min="5115" max="5115" width="0.85546875" style="739" customWidth="1"/>
    <col min="5116" max="5116" width="31.28515625" style="739" customWidth="1"/>
    <col min="5117" max="5122" width="12.5703125" style="739" customWidth="1"/>
    <col min="5123" max="5370" width="10.28515625" style="739"/>
    <col min="5371" max="5371" width="0.85546875" style="739" customWidth="1"/>
    <col min="5372" max="5372" width="31.28515625" style="739" customWidth="1"/>
    <col min="5373" max="5378" width="12.5703125" style="739" customWidth="1"/>
    <col min="5379" max="5626" width="10.28515625" style="739"/>
    <col min="5627" max="5627" width="0.85546875" style="739" customWidth="1"/>
    <col min="5628" max="5628" width="31.28515625" style="739" customWidth="1"/>
    <col min="5629" max="5634" width="12.5703125" style="739" customWidth="1"/>
    <col min="5635" max="5882" width="10.28515625" style="739"/>
    <col min="5883" max="5883" width="0.85546875" style="739" customWidth="1"/>
    <col min="5884" max="5884" width="31.28515625" style="739" customWidth="1"/>
    <col min="5885" max="5890" width="12.5703125" style="739" customWidth="1"/>
    <col min="5891" max="6138" width="10.28515625" style="739"/>
    <col min="6139" max="6139" width="0.85546875" style="739" customWidth="1"/>
    <col min="6140" max="6140" width="31.28515625" style="739" customWidth="1"/>
    <col min="6141" max="6146" width="12.5703125" style="739" customWidth="1"/>
    <col min="6147" max="6394" width="10.28515625" style="739"/>
    <col min="6395" max="6395" width="0.85546875" style="739" customWidth="1"/>
    <col min="6396" max="6396" width="31.28515625" style="739" customWidth="1"/>
    <col min="6397" max="6402" width="12.5703125" style="739" customWidth="1"/>
    <col min="6403" max="6650" width="10.28515625" style="739"/>
    <col min="6651" max="6651" width="0.85546875" style="739" customWidth="1"/>
    <col min="6652" max="6652" width="31.28515625" style="739" customWidth="1"/>
    <col min="6653" max="6658" width="12.5703125" style="739" customWidth="1"/>
    <col min="6659" max="6906" width="10.28515625" style="739"/>
    <col min="6907" max="6907" width="0.85546875" style="739" customWidth="1"/>
    <col min="6908" max="6908" width="31.28515625" style="739" customWidth="1"/>
    <col min="6909" max="6914" width="12.5703125" style="739" customWidth="1"/>
    <col min="6915" max="7162" width="10.28515625" style="739"/>
    <col min="7163" max="7163" width="0.85546875" style="739" customWidth="1"/>
    <col min="7164" max="7164" width="31.28515625" style="739" customWidth="1"/>
    <col min="7165" max="7170" width="12.5703125" style="739" customWidth="1"/>
    <col min="7171" max="7418" width="10.28515625" style="739"/>
    <col min="7419" max="7419" width="0.85546875" style="739" customWidth="1"/>
    <col min="7420" max="7420" width="31.28515625" style="739" customWidth="1"/>
    <col min="7421" max="7426" width="12.5703125" style="739" customWidth="1"/>
    <col min="7427" max="7674" width="10.28515625" style="739"/>
    <col min="7675" max="7675" width="0.85546875" style="739" customWidth="1"/>
    <col min="7676" max="7676" width="31.28515625" style="739" customWidth="1"/>
    <col min="7677" max="7682" width="12.5703125" style="739" customWidth="1"/>
    <col min="7683" max="7930" width="10.28515625" style="739"/>
    <col min="7931" max="7931" width="0.85546875" style="739" customWidth="1"/>
    <col min="7932" max="7932" width="31.28515625" style="739" customWidth="1"/>
    <col min="7933" max="7938" width="12.5703125" style="739" customWidth="1"/>
    <col min="7939" max="8186" width="10.28515625" style="739"/>
    <col min="8187" max="8187" width="0.85546875" style="739" customWidth="1"/>
    <col min="8188" max="8188" width="31.28515625" style="739" customWidth="1"/>
    <col min="8189" max="8194" width="12.5703125" style="739" customWidth="1"/>
    <col min="8195" max="8442" width="10.28515625" style="739"/>
    <col min="8443" max="8443" width="0.85546875" style="739" customWidth="1"/>
    <col min="8444" max="8444" width="31.28515625" style="739" customWidth="1"/>
    <col min="8445" max="8450" width="12.5703125" style="739" customWidth="1"/>
    <col min="8451" max="8698" width="10.28515625" style="739"/>
    <col min="8699" max="8699" width="0.85546875" style="739" customWidth="1"/>
    <col min="8700" max="8700" width="31.28515625" style="739" customWidth="1"/>
    <col min="8701" max="8706" width="12.5703125" style="739" customWidth="1"/>
    <col min="8707" max="8954" width="10.28515625" style="739"/>
    <col min="8955" max="8955" width="0.85546875" style="739" customWidth="1"/>
    <col min="8956" max="8956" width="31.28515625" style="739" customWidth="1"/>
    <col min="8957" max="8962" width="12.5703125" style="739" customWidth="1"/>
    <col min="8963" max="9210" width="10.28515625" style="739"/>
    <col min="9211" max="9211" width="0.85546875" style="739" customWidth="1"/>
    <col min="9212" max="9212" width="31.28515625" style="739" customWidth="1"/>
    <col min="9213" max="9218" width="12.5703125" style="739" customWidth="1"/>
    <col min="9219" max="9466" width="10.28515625" style="739"/>
    <col min="9467" max="9467" width="0.85546875" style="739" customWidth="1"/>
    <col min="9468" max="9468" width="31.28515625" style="739" customWidth="1"/>
    <col min="9469" max="9474" width="12.5703125" style="739" customWidth="1"/>
    <col min="9475" max="9722" width="10.28515625" style="739"/>
    <col min="9723" max="9723" width="0.85546875" style="739" customWidth="1"/>
    <col min="9724" max="9724" width="31.28515625" style="739" customWidth="1"/>
    <col min="9725" max="9730" width="12.5703125" style="739" customWidth="1"/>
    <col min="9731" max="9978" width="10.28515625" style="739"/>
    <col min="9979" max="9979" width="0.85546875" style="739" customWidth="1"/>
    <col min="9980" max="9980" width="31.28515625" style="739" customWidth="1"/>
    <col min="9981" max="9986" width="12.5703125" style="739" customWidth="1"/>
    <col min="9987" max="10234" width="10.28515625" style="739"/>
    <col min="10235" max="10235" width="0.85546875" style="739" customWidth="1"/>
    <col min="10236" max="10236" width="31.28515625" style="739" customWidth="1"/>
    <col min="10237" max="10242" width="12.5703125" style="739" customWidth="1"/>
    <col min="10243" max="10490" width="10.28515625" style="739"/>
    <col min="10491" max="10491" width="0.85546875" style="739" customWidth="1"/>
    <col min="10492" max="10492" width="31.28515625" style="739" customWidth="1"/>
    <col min="10493" max="10498" width="12.5703125" style="739" customWidth="1"/>
    <col min="10499" max="10746" width="10.28515625" style="739"/>
    <col min="10747" max="10747" width="0.85546875" style="739" customWidth="1"/>
    <col min="10748" max="10748" width="31.28515625" style="739" customWidth="1"/>
    <col min="10749" max="10754" width="12.5703125" style="739" customWidth="1"/>
    <col min="10755" max="11002" width="10.28515625" style="739"/>
    <col min="11003" max="11003" width="0.85546875" style="739" customWidth="1"/>
    <col min="11004" max="11004" width="31.28515625" style="739" customWidth="1"/>
    <col min="11005" max="11010" width="12.5703125" style="739" customWidth="1"/>
    <col min="11011" max="11258" width="10.28515625" style="739"/>
    <col min="11259" max="11259" width="0.85546875" style="739" customWidth="1"/>
    <col min="11260" max="11260" width="31.28515625" style="739" customWidth="1"/>
    <col min="11261" max="11266" width="12.5703125" style="739" customWidth="1"/>
    <col min="11267" max="11514" width="10.28515625" style="739"/>
    <col min="11515" max="11515" width="0.85546875" style="739" customWidth="1"/>
    <col min="11516" max="11516" width="31.28515625" style="739" customWidth="1"/>
    <col min="11517" max="11522" width="12.5703125" style="739" customWidth="1"/>
    <col min="11523" max="11770" width="10.28515625" style="739"/>
    <col min="11771" max="11771" width="0.85546875" style="739" customWidth="1"/>
    <col min="11772" max="11772" width="31.28515625" style="739" customWidth="1"/>
    <col min="11773" max="11778" width="12.5703125" style="739" customWidth="1"/>
    <col min="11779" max="12026" width="10.28515625" style="739"/>
    <col min="12027" max="12027" width="0.85546875" style="739" customWidth="1"/>
    <col min="12028" max="12028" width="31.28515625" style="739" customWidth="1"/>
    <col min="12029" max="12034" width="12.5703125" style="739" customWidth="1"/>
    <col min="12035" max="12282" width="10.28515625" style="739"/>
    <col min="12283" max="12283" width="0.85546875" style="739" customWidth="1"/>
    <col min="12284" max="12284" width="31.28515625" style="739" customWidth="1"/>
    <col min="12285" max="12290" width="12.5703125" style="739" customWidth="1"/>
    <col min="12291" max="12538" width="10.28515625" style="739"/>
    <col min="12539" max="12539" width="0.85546875" style="739" customWidth="1"/>
    <col min="12540" max="12540" width="31.28515625" style="739" customWidth="1"/>
    <col min="12541" max="12546" width="12.5703125" style="739" customWidth="1"/>
    <col min="12547" max="12794" width="10.28515625" style="739"/>
    <col min="12795" max="12795" width="0.85546875" style="739" customWidth="1"/>
    <col min="12796" max="12796" width="31.28515625" style="739" customWidth="1"/>
    <col min="12797" max="12802" width="12.5703125" style="739" customWidth="1"/>
    <col min="12803" max="13050" width="10.28515625" style="739"/>
    <col min="13051" max="13051" width="0.85546875" style="739" customWidth="1"/>
    <col min="13052" max="13052" width="31.28515625" style="739" customWidth="1"/>
    <col min="13053" max="13058" width="12.5703125" style="739" customWidth="1"/>
    <col min="13059" max="13306" width="10.28515625" style="739"/>
    <col min="13307" max="13307" width="0.85546875" style="739" customWidth="1"/>
    <col min="13308" max="13308" width="31.28515625" style="739" customWidth="1"/>
    <col min="13309" max="13314" width="12.5703125" style="739" customWidth="1"/>
    <col min="13315" max="13562" width="10.28515625" style="739"/>
    <col min="13563" max="13563" width="0.85546875" style="739" customWidth="1"/>
    <col min="13564" max="13564" width="31.28515625" style="739" customWidth="1"/>
    <col min="13565" max="13570" width="12.5703125" style="739" customWidth="1"/>
    <col min="13571" max="13818" width="10.28515625" style="739"/>
    <col min="13819" max="13819" width="0.85546875" style="739" customWidth="1"/>
    <col min="13820" max="13820" width="31.28515625" style="739" customWidth="1"/>
    <col min="13821" max="13826" width="12.5703125" style="739" customWidth="1"/>
    <col min="13827" max="14074" width="10.28515625" style="739"/>
    <col min="14075" max="14075" width="0.85546875" style="739" customWidth="1"/>
    <col min="14076" max="14076" width="31.28515625" style="739" customWidth="1"/>
    <col min="14077" max="14082" width="12.5703125" style="739" customWidth="1"/>
    <col min="14083" max="14330" width="10.28515625" style="739"/>
    <col min="14331" max="14331" width="0.85546875" style="739" customWidth="1"/>
    <col min="14332" max="14332" width="31.28515625" style="739" customWidth="1"/>
    <col min="14333" max="14338" width="12.5703125" style="739" customWidth="1"/>
    <col min="14339" max="14586" width="10.28515625" style="739"/>
    <col min="14587" max="14587" width="0.85546875" style="739" customWidth="1"/>
    <col min="14588" max="14588" width="31.28515625" style="739" customWidth="1"/>
    <col min="14589" max="14594" width="12.5703125" style="739" customWidth="1"/>
    <col min="14595" max="14842" width="10.28515625" style="739"/>
    <col min="14843" max="14843" width="0.85546875" style="739" customWidth="1"/>
    <col min="14844" max="14844" width="31.28515625" style="739" customWidth="1"/>
    <col min="14845" max="14850" width="12.5703125" style="739" customWidth="1"/>
    <col min="14851" max="15098" width="10.28515625" style="739"/>
    <col min="15099" max="15099" width="0.85546875" style="739" customWidth="1"/>
    <col min="15100" max="15100" width="31.28515625" style="739" customWidth="1"/>
    <col min="15101" max="15106" width="12.5703125" style="739" customWidth="1"/>
    <col min="15107" max="15354" width="10.28515625" style="739"/>
    <col min="15355" max="15355" width="0.85546875" style="739" customWidth="1"/>
    <col min="15356" max="15356" width="31.28515625" style="739" customWidth="1"/>
    <col min="15357" max="15362" width="12.5703125" style="739" customWidth="1"/>
    <col min="15363" max="15610" width="10.28515625" style="739"/>
    <col min="15611" max="15611" width="0.85546875" style="739" customWidth="1"/>
    <col min="15612" max="15612" width="31.28515625" style="739" customWidth="1"/>
    <col min="15613" max="15618" width="12.5703125" style="739" customWidth="1"/>
    <col min="15619" max="15866" width="10.28515625" style="739"/>
    <col min="15867" max="15867" width="0.85546875" style="739" customWidth="1"/>
    <col min="15868" max="15868" width="31.28515625" style="739" customWidth="1"/>
    <col min="15869" max="15874" width="12.5703125" style="739" customWidth="1"/>
    <col min="15875" max="16122" width="10.28515625" style="739"/>
    <col min="16123" max="16123" width="0.85546875" style="739" customWidth="1"/>
    <col min="16124" max="16124" width="31.28515625" style="739" customWidth="1"/>
    <col min="16125" max="16130" width="12.5703125" style="739" customWidth="1"/>
    <col min="16131" max="16384" width="10.28515625" style="739"/>
  </cols>
  <sheetData>
    <row r="1" spans="1:5" s="927" customFormat="1" ht="8.25" customHeight="1"/>
    <row r="2" spans="1:5" s="927" customFormat="1" ht="8.25" customHeight="1"/>
    <row r="3" spans="1:5" s="927" customFormat="1" ht="12" customHeight="1">
      <c r="A3" s="928"/>
      <c r="B3" s="928"/>
      <c r="C3" s="929" t="s">
        <v>920</v>
      </c>
      <c r="D3" s="928"/>
      <c r="E3" s="928"/>
    </row>
    <row r="4" spans="1:5" s="927" customFormat="1" ht="12" customHeight="1">
      <c r="A4" s="928"/>
      <c r="B4" s="928"/>
      <c r="C4" s="929" t="s">
        <v>921</v>
      </c>
      <c r="D4" s="928"/>
      <c r="E4" s="928"/>
    </row>
    <row r="5" spans="1:5" s="927" customFormat="1" ht="12" customHeight="1">
      <c r="A5" s="928"/>
      <c r="B5" s="928"/>
      <c r="C5" s="929" t="s">
        <v>922</v>
      </c>
      <c r="D5" s="928"/>
      <c r="E5" s="928"/>
    </row>
    <row r="6" spans="1:5" s="927" customFormat="1" ht="12" customHeight="1">
      <c r="A6" s="930"/>
      <c r="B6" s="930"/>
      <c r="C6" s="931" t="s">
        <v>923</v>
      </c>
      <c r="D6" s="930"/>
      <c r="E6" s="930"/>
    </row>
    <row r="7" spans="1:5" s="927" customFormat="1" ht="12" customHeight="1">
      <c r="A7" s="930"/>
      <c r="B7" s="930"/>
      <c r="C7" s="931" t="s">
        <v>924</v>
      </c>
      <c r="D7" s="930"/>
      <c r="E7" s="930"/>
    </row>
    <row r="8" spans="1:5" s="927" customFormat="1" ht="11.25" customHeight="1"/>
    <row r="9" spans="1:5" s="927" customFormat="1" ht="11.25" customHeight="1">
      <c r="C9" s="931" t="s">
        <v>925</v>
      </c>
      <c r="D9" s="931" t="s">
        <v>925</v>
      </c>
      <c r="E9" s="931" t="s">
        <v>925</v>
      </c>
    </row>
    <row r="10" spans="1:5" s="927" customFormat="1" ht="11.25" customHeight="1">
      <c r="C10" s="932" t="s">
        <v>926</v>
      </c>
      <c r="D10" s="932" t="s">
        <v>927</v>
      </c>
      <c r="E10" s="932" t="s">
        <v>928</v>
      </c>
    </row>
    <row r="11" spans="1:5" s="927" customFormat="1" ht="11.25" customHeight="1"/>
    <row r="12" spans="1:5" s="927" customFormat="1" ht="11.25" customHeight="1">
      <c r="B12" s="928" t="s">
        <v>122</v>
      </c>
    </row>
    <row r="13" spans="1:5" s="927" customFormat="1" ht="11.25" customHeight="1">
      <c r="B13" s="930" t="s">
        <v>123</v>
      </c>
      <c r="C13" s="933">
        <v>145880.47167999999</v>
      </c>
      <c r="D13" s="933">
        <v>150754.89117399999</v>
      </c>
      <c r="E13" s="933">
        <v>155792.398254</v>
      </c>
    </row>
    <row r="14" spans="1:5" s="927" customFormat="1" ht="11.25" customHeight="1">
      <c r="B14" s="930" t="s">
        <v>124</v>
      </c>
      <c r="C14" s="933">
        <v>5217534.9193040002</v>
      </c>
      <c r="D14" s="933">
        <v>5400148.5364720002</v>
      </c>
      <c r="E14" s="933">
        <v>5589153.6977460003</v>
      </c>
    </row>
    <row r="15" spans="1:5" s="927" customFormat="1" ht="11.25" customHeight="1">
      <c r="B15" s="930" t="s">
        <v>125</v>
      </c>
      <c r="C15" s="933">
        <v>217668.601046</v>
      </c>
      <c r="D15" s="933">
        <v>255770.081809</v>
      </c>
      <c r="E15" s="933">
        <v>208369.00126399999</v>
      </c>
    </row>
    <row r="16" spans="1:5" s="927" customFormat="1" ht="11.25" customHeight="1">
      <c r="B16" s="930" t="s">
        <v>126</v>
      </c>
      <c r="C16" s="933">
        <v>52200</v>
      </c>
      <c r="D16" s="933">
        <v>52200</v>
      </c>
      <c r="E16" s="933">
        <v>52200</v>
      </c>
    </row>
    <row r="17" spans="2:5" s="927" customFormat="1" ht="11.25" customHeight="1">
      <c r="B17" s="930" t="s">
        <v>127</v>
      </c>
      <c r="C17" s="933">
        <v>-4469</v>
      </c>
      <c r="D17" s="933">
        <v>-25332.971896999999</v>
      </c>
      <c r="E17" s="934">
        <v>-79399.192905000004</v>
      </c>
    </row>
    <row r="18" spans="2:5" s="927" customFormat="1" ht="11.25" customHeight="1">
      <c r="B18" s="930" t="s">
        <v>128</v>
      </c>
      <c r="C18" s="935">
        <f>SUM(C13:C17)</f>
        <v>5628814.9920300003</v>
      </c>
      <c r="D18" s="935">
        <f>SUM(D13:D17)</f>
        <v>5833540.5375579996</v>
      </c>
      <c r="E18" s="935">
        <f>SUM(E13:E17)</f>
        <v>5926115.9043589998</v>
      </c>
    </row>
    <row r="19" spans="2:5" s="739" customFormat="1" ht="12.75" customHeight="1">
      <c r="C19" s="927"/>
      <c r="D19" s="927"/>
      <c r="E19" s="927"/>
    </row>
    <row r="20" spans="2:5" s="927" customFormat="1" ht="11.25" customHeight="1">
      <c r="B20" s="928" t="s">
        <v>129</v>
      </c>
    </row>
    <row r="21" spans="2:5" s="927" customFormat="1" ht="11.25" customHeight="1">
      <c r="B21" s="930" t="s">
        <v>130</v>
      </c>
      <c r="C21" s="933">
        <v>69352.472284999996</v>
      </c>
      <c r="D21" s="933">
        <v>76347.737299</v>
      </c>
      <c r="E21" s="933">
        <v>80393.811348000003</v>
      </c>
    </row>
    <row r="22" spans="2:5" s="927" customFormat="1" ht="11.25" customHeight="1">
      <c r="B22" s="930" t="s">
        <v>131</v>
      </c>
      <c r="C22" s="935">
        <v>69352.472284999996</v>
      </c>
      <c r="D22" s="935">
        <v>76347.737299</v>
      </c>
      <c r="E22" s="935">
        <v>80393.811348000003</v>
      </c>
    </row>
    <row r="23" spans="2:5" s="739" customFormat="1" ht="12.75" customHeight="1">
      <c r="C23" s="927"/>
      <c r="D23" s="927"/>
      <c r="E23" s="927"/>
    </row>
    <row r="24" spans="2:5" s="927" customFormat="1" ht="11.25" customHeight="1">
      <c r="B24" s="930" t="s">
        <v>132</v>
      </c>
      <c r="C24" s="936">
        <f>+C18+C22</f>
        <v>5698167.464315</v>
      </c>
      <c r="D24" s="936">
        <f>+D18+D22</f>
        <v>5909888.2748569995</v>
      </c>
      <c r="E24" s="936">
        <f>+E18+E22</f>
        <v>6006509.7157069994</v>
      </c>
    </row>
    <row r="25" spans="2:5" s="739" customFormat="1" ht="12.75" customHeight="1">
      <c r="C25" s="933">
        <f>+C24-5698168</f>
        <v>-0.53568500000983477</v>
      </c>
      <c r="D25" s="927"/>
      <c r="E25" s="927"/>
    </row>
    <row r="26" spans="2:5" s="927" customFormat="1" ht="11.25" customHeight="1">
      <c r="B26" s="928" t="s">
        <v>0</v>
      </c>
    </row>
    <row r="27" spans="2:5" s="927" customFormat="1" ht="11.25" customHeight="1">
      <c r="B27" s="930" t="s">
        <v>133</v>
      </c>
    </row>
    <row r="28" spans="2:5" s="927" customFormat="1" ht="11.25" customHeight="1">
      <c r="B28" s="930" t="s">
        <v>134</v>
      </c>
      <c r="C28" s="933">
        <v>63903.96</v>
      </c>
      <c r="D28" s="933">
        <v>67099.154953000005</v>
      </c>
      <c r="E28" s="933">
        <v>70454.113461999994</v>
      </c>
    </row>
    <row r="29" spans="2:5" s="927" customFormat="1" ht="11.25" customHeight="1">
      <c r="B29" s="930" t="s">
        <v>135</v>
      </c>
      <c r="C29" s="933">
        <v>3822.24</v>
      </c>
      <c r="D29" s="933">
        <v>4013.3518180000001</v>
      </c>
      <c r="E29" s="933">
        <v>4214.0194540000002</v>
      </c>
    </row>
    <row r="30" spans="2:5" s="927" customFormat="1" ht="11.25" customHeight="1">
      <c r="B30" s="930" t="s">
        <v>136</v>
      </c>
      <c r="C30" s="933">
        <v>58289.04</v>
      </c>
      <c r="D30" s="933">
        <v>61203.489221000003</v>
      </c>
      <c r="E30" s="933">
        <v>64263.664376000001</v>
      </c>
    </row>
    <row r="31" spans="2:5" s="927" customFormat="1" ht="11.25" customHeight="1">
      <c r="B31" s="930" t="s">
        <v>631</v>
      </c>
      <c r="C31" s="933">
        <v>15381.96</v>
      </c>
      <c r="D31" s="933">
        <v>16151.057267</v>
      </c>
      <c r="E31" s="933">
        <v>16958.610313000001</v>
      </c>
    </row>
    <row r="32" spans="2:5" s="927" customFormat="1" ht="11.25" customHeight="1">
      <c r="B32" s="930" t="s">
        <v>137</v>
      </c>
      <c r="C32" s="937">
        <v>141397.20000000001</v>
      </c>
      <c r="D32" s="937">
        <v>148467.053258</v>
      </c>
      <c r="E32" s="937">
        <v>155890.40760599999</v>
      </c>
    </row>
    <row r="33" spans="2:5" s="739" customFormat="1" ht="12.75" customHeight="1">
      <c r="C33" s="927"/>
      <c r="D33" s="927"/>
      <c r="E33" s="927"/>
    </row>
    <row r="34" spans="2:5" s="927" customFormat="1" ht="11.25" customHeight="1">
      <c r="B34" s="930" t="s">
        <v>138</v>
      </c>
    </row>
    <row r="35" spans="2:5" s="927" customFormat="1" ht="11.25" customHeight="1">
      <c r="B35" s="930" t="s">
        <v>139</v>
      </c>
      <c r="C35" s="933">
        <v>22326.348483999998</v>
      </c>
      <c r="D35" s="933">
        <v>24558.983574000002</v>
      </c>
      <c r="E35" s="933">
        <v>27014.882900000001</v>
      </c>
    </row>
    <row r="36" spans="2:5" s="927" customFormat="1" ht="11.25" customHeight="1">
      <c r="B36" s="930" t="s">
        <v>140</v>
      </c>
      <c r="C36" s="933">
        <v>3235.1880700000002</v>
      </c>
      <c r="D36" s="933">
        <v>3558.7069120000001</v>
      </c>
      <c r="E36" s="933">
        <v>3914.5777440000002</v>
      </c>
    </row>
    <row r="37" spans="2:5" s="927" customFormat="1" ht="11.25" customHeight="1">
      <c r="B37" s="930" t="s">
        <v>141</v>
      </c>
      <c r="C37" s="937">
        <v>25561.536553999998</v>
      </c>
      <c r="D37" s="937">
        <v>28117.690486</v>
      </c>
      <c r="E37" s="937">
        <v>30929.460642999999</v>
      </c>
    </row>
    <row r="38" spans="2:5" s="739" customFormat="1" ht="12.75" customHeight="1">
      <c r="C38" s="927"/>
      <c r="D38" s="927"/>
      <c r="E38" s="927"/>
    </row>
    <row r="39" spans="2:5" s="927" customFormat="1" ht="11.25" customHeight="1">
      <c r="B39" s="930" t="s">
        <v>142</v>
      </c>
      <c r="C39" s="933">
        <v>642756.68999999994</v>
      </c>
      <c r="D39" s="933">
        <v>662039.34</v>
      </c>
      <c r="E39" s="933">
        <v>682223.27408300003</v>
      </c>
    </row>
    <row r="40" spans="2:5" s="739" customFormat="1" ht="12.75" customHeight="1">
      <c r="C40" s="927"/>
      <c r="D40" s="927"/>
      <c r="E40" s="927"/>
    </row>
    <row r="41" spans="2:5" s="927" customFormat="1" ht="11.25" customHeight="1">
      <c r="B41" s="930" t="s">
        <v>143</v>
      </c>
    </row>
    <row r="42" spans="2:5" s="927" customFormat="1" ht="11.25" customHeight="1">
      <c r="B42" s="930" t="s">
        <v>144</v>
      </c>
      <c r="C42" s="933">
        <v>40989.35</v>
      </c>
      <c r="D42" s="933">
        <v>42749.638620999998</v>
      </c>
      <c r="E42" s="933">
        <v>44245.879346000002</v>
      </c>
    </row>
    <row r="43" spans="2:5" s="927" customFormat="1" ht="11.25" customHeight="1">
      <c r="B43" s="930" t="s">
        <v>145</v>
      </c>
      <c r="C43" s="933">
        <v>3600</v>
      </c>
      <c r="D43" s="933">
        <v>3779.999828</v>
      </c>
      <c r="E43" s="933">
        <v>3968.999863</v>
      </c>
    </row>
    <row r="44" spans="2:5" s="927" customFormat="1" ht="11.25" customHeight="1">
      <c r="B44" s="930" t="s">
        <v>146</v>
      </c>
      <c r="C44" s="937">
        <v>44589.35</v>
      </c>
      <c r="D44" s="937">
        <v>46529.638449999999</v>
      </c>
      <c r="E44" s="937">
        <v>48214.879208999999</v>
      </c>
    </row>
    <row r="45" spans="2:5" s="927" customFormat="1" ht="11.25" customHeight="1">
      <c r="B45" s="930"/>
      <c r="C45" s="938"/>
      <c r="D45" s="938"/>
      <c r="E45" s="938"/>
    </row>
    <row r="46" spans="2:5" s="739" customFormat="1" ht="12.75" customHeight="1">
      <c r="B46" s="930" t="s">
        <v>914</v>
      </c>
      <c r="C46" s="933">
        <v>12000</v>
      </c>
      <c r="D46" s="933"/>
      <c r="E46" s="933"/>
    </row>
    <row r="47" spans="2:5" s="927" customFormat="1" ht="11.25" customHeight="1">
      <c r="B47" s="930" t="s">
        <v>147</v>
      </c>
      <c r="C47" s="933">
        <v>10230.000018999999</v>
      </c>
      <c r="D47" s="933">
        <v>10465.290546</v>
      </c>
      <c r="E47" s="933">
        <v>10726.92275</v>
      </c>
    </row>
    <row r="48" spans="2:5" s="927" customFormat="1" ht="11.25" customHeight="1">
      <c r="B48" s="930" t="s">
        <v>148</v>
      </c>
      <c r="C48" s="933">
        <v>960.96</v>
      </c>
      <c r="D48" s="933">
        <v>1009.007954</v>
      </c>
      <c r="E48" s="933">
        <v>1059.458363</v>
      </c>
    </row>
    <row r="49" spans="1:6" s="927" customFormat="1" ht="11.25" customHeight="1">
      <c r="B49" s="930" t="s">
        <v>149</v>
      </c>
      <c r="C49" s="933">
        <v>6079.9132550000004</v>
      </c>
      <c r="D49" s="933">
        <v>0</v>
      </c>
      <c r="E49" s="934">
        <v>19055.806296999999</v>
      </c>
    </row>
    <row r="50" spans="1:6" s="927" customFormat="1" ht="11.25" customHeight="1">
      <c r="B50" s="930" t="s">
        <v>150</v>
      </c>
      <c r="C50" s="935">
        <f>+C32+C37+C39+C44+C47+C48+C49+C46</f>
        <v>883575.64982799999</v>
      </c>
      <c r="D50" s="935">
        <f>+D32+D37+D39+D44+D47+D48+D49</f>
        <v>896628.02069399995</v>
      </c>
      <c r="E50" s="935">
        <f>+E32+E37+E39+E44+E47+E48+E49</f>
        <v>948100.20895100001</v>
      </c>
    </row>
    <row r="51" spans="1:6" ht="12.75" customHeight="1">
      <c r="A51" s="739"/>
    </row>
    <row r="52" spans="1:6" s="927" customFormat="1" ht="11.25" customHeight="1">
      <c r="B52" s="930" t="s">
        <v>151</v>
      </c>
      <c r="C52" s="939">
        <f>+C24-C50</f>
        <v>4814591.814487</v>
      </c>
      <c r="D52" s="936">
        <f>+D24-D50</f>
        <v>5013260.2541629998</v>
      </c>
      <c r="E52" s="936">
        <f>+E24-E50</f>
        <v>5058409.5067559993</v>
      </c>
    </row>
    <row r="53" spans="1:6" ht="12.75" customHeight="1">
      <c r="A53" s="739"/>
      <c r="C53" s="933">
        <f>+C52-4814592</f>
        <v>-0.18551300000399351</v>
      </c>
    </row>
    <row r="54" spans="1:6" ht="12.75" customHeight="1">
      <c r="A54" s="739"/>
      <c r="B54" s="930" t="s">
        <v>679</v>
      </c>
      <c r="C54" s="978">
        <v>311902</v>
      </c>
      <c r="D54" s="978">
        <f>+C54*1.05</f>
        <v>327497.10000000003</v>
      </c>
      <c r="E54" s="978">
        <f>+D54*1.05</f>
        <v>343871.95500000007</v>
      </c>
    </row>
    <row r="55" spans="1:6" ht="12.75" customHeight="1">
      <c r="A55" s="739"/>
      <c r="B55" s="928" t="s">
        <v>929</v>
      </c>
      <c r="C55" s="940">
        <f>+C52-C54</f>
        <v>4502689.814487</v>
      </c>
      <c r="D55" s="940">
        <f t="shared" ref="D55:E55" si="0">+D52-D54</f>
        <v>4685763.1541630002</v>
      </c>
      <c r="E55" s="940">
        <f t="shared" si="0"/>
        <v>4714537.5517559992</v>
      </c>
    </row>
    <row r="56" spans="1:6" ht="12.75" customHeight="1">
      <c r="A56" s="739"/>
      <c r="C56" s="941"/>
    </row>
    <row r="57" spans="1:6" ht="12.75" customHeight="1" thickBot="1">
      <c r="A57" s="739"/>
      <c r="B57" s="930" t="s">
        <v>930</v>
      </c>
      <c r="C57" s="933">
        <f>+C74*C75</f>
        <v>1480000</v>
      </c>
      <c r="D57" s="933">
        <f>+C74*C75</f>
        <v>1480000</v>
      </c>
      <c r="E57" s="933">
        <f>+C74*C75</f>
        <v>1480000</v>
      </c>
    </row>
    <row r="58" spans="1:6" ht="12.75" customHeight="1">
      <c r="A58" s="739"/>
      <c r="B58" s="942" t="s">
        <v>931</v>
      </c>
      <c r="C58" s="943">
        <f>+C55-C57</f>
        <v>3022689.814487</v>
      </c>
      <c r="D58" s="943">
        <f>+D55-D57</f>
        <v>3205763.1541630002</v>
      </c>
      <c r="E58" s="944">
        <f>+E55-E57</f>
        <v>3234537.5517559992</v>
      </c>
    </row>
    <row r="59" spans="1:6" ht="12.75" customHeight="1">
      <c r="A59" s="739"/>
      <c r="B59" s="945"/>
      <c r="C59" s="938"/>
      <c r="D59" s="938"/>
      <c r="E59" s="946"/>
      <c r="F59" s="947"/>
    </row>
    <row r="60" spans="1:6" ht="12.75" customHeight="1" thickBot="1">
      <c r="A60" s="739"/>
      <c r="B60" s="948" t="s">
        <v>932</v>
      </c>
      <c r="C60" s="949">
        <v>3170906.732356091</v>
      </c>
      <c r="D60" s="949">
        <v>3059290.5809775298</v>
      </c>
      <c r="E60" s="950">
        <v>3212560.7958212811</v>
      </c>
      <c r="F60" s="947"/>
    </row>
    <row r="61" spans="1:6" ht="12.75" customHeight="1">
      <c r="A61" s="739"/>
      <c r="B61" s="951" t="s">
        <v>933</v>
      </c>
      <c r="C61" s="952">
        <f>+C58-C60</f>
        <v>-148216.91786909103</v>
      </c>
      <c r="D61" s="952">
        <f t="shared" ref="D61:E61" si="1">+D58-D60</f>
        <v>146472.57318547042</v>
      </c>
      <c r="E61" s="952">
        <f t="shared" si="1"/>
        <v>21976.755934718065</v>
      </c>
      <c r="F61" s="947"/>
    </row>
    <row r="62" spans="1:6" ht="12.75" customHeight="1">
      <c r="A62" s="739"/>
      <c r="B62" s="953"/>
      <c r="C62" s="938"/>
      <c r="D62" s="938"/>
      <c r="E62" s="938"/>
      <c r="F62" s="947"/>
    </row>
    <row r="63" spans="1:6" ht="12.75" customHeight="1">
      <c r="A63" s="739"/>
      <c r="B63" s="953" t="s">
        <v>934</v>
      </c>
      <c r="C63" s="938">
        <f>+C60-C68</f>
        <v>251938.73235609103</v>
      </c>
      <c r="D63" s="938">
        <f t="shared" ref="D63:E63" si="2">+D60-D68</f>
        <v>239001.58097752975</v>
      </c>
      <c r="E63" s="938">
        <f t="shared" si="2"/>
        <v>248511.79582128115</v>
      </c>
      <c r="F63" s="947"/>
    </row>
    <row r="64" spans="1:6" ht="12.75" customHeight="1">
      <c r="A64" s="739"/>
      <c r="B64" s="953"/>
      <c r="C64" s="938"/>
      <c r="D64" s="938"/>
      <c r="E64" s="938"/>
      <c r="F64" s="947"/>
    </row>
    <row r="65" spans="1:6" ht="12.75" customHeight="1" thickBot="1">
      <c r="A65" s="739"/>
      <c r="B65" s="954" t="s">
        <v>935</v>
      </c>
      <c r="C65" s="938"/>
      <c r="D65" s="938"/>
      <c r="E65" s="938"/>
      <c r="F65" s="947"/>
    </row>
    <row r="66" spans="1:6" ht="12.75" customHeight="1">
      <c r="A66" s="739"/>
      <c r="B66" s="942" t="s">
        <v>936</v>
      </c>
      <c r="C66" s="955">
        <f>+C58-C63</f>
        <v>2770751.082130909</v>
      </c>
      <c r="D66" s="955">
        <f>+D58-D63</f>
        <v>2966761.5731854704</v>
      </c>
      <c r="E66" s="956">
        <f>+E58-E63</f>
        <v>2986025.7559347181</v>
      </c>
      <c r="F66" s="947"/>
    </row>
    <row r="67" spans="1:6" ht="12.75" customHeight="1">
      <c r="A67" s="739"/>
      <c r="B67" s="945"/>
      <c r="C67" s="957">
        <f>+C66/$C$72</f>
        <v>7.8954075464334528E-2</v>
      </c>
      <c r="D67" s="957">
        <f t="shared" ref="D67:E67" si="3">+D66/$C$72</f>
        <v>8.4539502174921996E-2</v>
      </c>
      <c r="E67" s="958">
        <f t="shared" si="3"/>
        <v>8.5088445653949019E-2</v>
      </c>
      <c r="F67" s="947"/>
    </row>
    <row r="68" spans="1:6" ht="12.75" customHeight="1">
      <c r="A68" s="739"/>
      <c r="B68" s="959" t="s">
        <v>937</v>
      </c>
      <c r="C68" s="938">
        <v>2918968</v>
      </c>
      <c r="D68" s="938">
        <v>2820289</v>
      </c>
      <c r="E68" s="946">
        <v>2964049</v>
      </c>
      <c r="F68" s="947"/>
    </row>
    <row r="69" spans="1:6" ht="12.75" customHeight="1" thickBot="1">
      <c r="A69" s="739"/>
      <c r="B69" s="960"/>
      <c r="C69" s="961">
        <f>+C68/$C$72</f>
        <v>8.3177598029749292E-2</v>
      </c>
      <c r="D69" s="961">
        <f t="shared" ref="D69:E69" si="4">+D68/$C$72</f>
        <v>8.0365685670320333E-2</v>
      </c>
      <c r="E69" s="962">
        <f t="shared" si="4"/>
        <v>8.4462205910609628E-2</v>
      </c>
      <c r="F69" s="947"/>
    </row>
    <row r="70" spans="1:6" ht="12.75" customHeight="1">
      <c r="A70" s="739"/>
      <c r="B70" s="947"/>
      <c r="C70" s="963"/>
      <c r="D70" s="963"/>
      <c r="E70" s="963"/>
      <c r="F70" s="947"/>
    </row>
    <row r="71" spans="1:6" s="927" customFormat="1" ht="12" hidden="1" customHeight="1" thickBot="1">
      <c r="B71" s="953" t="s">
        <v>152</v>
      </c>
      <c r="C71" s="938">
        <f>+C55-C58-C57</f>
        <v>0</v>
      </c>
      <c r="D71" s="938">
        <f>+D55-D58-D57</f>
        <v>0</v>
      </c>
      <c r="E71" s="938">
        <f>+E55-E58-E57</f>
        <v>0</v>
      </c>
      <c r="F71" s="963"/>
    </row>
    <row r="72" spans="1:6">
      <c r="B72" s="951" t="s">
        <v>938</v>
      </c>
      <c r="C72" s="952">
        <v>35093199</v>
      </c>
      <c r="D72" s="952"/>
      <c r="E72" s="952"/>
      <c r="F72" s="947"/>
    </row>
    <row r="74" spans="1:6">
      <c r="B74" s="964" t="s">
        <v>939</v>
      </c>
      <c r="C74" s="965">
        <v>37000000</v>
      </c>
    </row>
    <row r="75" spans="1:6">
      <c r="B75" s="966" t="s">
        <v>940</v>
      </c>
      <c r="C75" s="967">
        <v>0.04</v>
      </c>
    </row>
    <row r="77" spans="1:6">
      <c r="B77" s="964" t="s">
        <v>941</v>
      </c>
      <c r="C77" s="968">
        <v>35100000</v>
      </c>
    </row>
    <row r="78" spans="1:6">
      <c r="B78" s="969" t="s">
        <v>942</v>
      </c>
      <c r="C78" s="970">
        <f>+C74-C77</f>
        <v>1900000</v>
      </c>
    </row>
    <row r="79" spans="1:6">
      <c r="B79" s="966" t="s">
        <v>943</v>
      </c>
      <c r="C79" s="971">
        <v>8.9999999999999993E-3</v>
      </c>
    </row>
    <row r="80" spans="1:6">
      <c r="B80" s="930"/>
    </row>
    <row r="81" spans="2:3">
      <c r="B81" s="972" t="s">
        <v>944</v>
      </c>
      <c r="C81" s="973"/>
    </row>
    <row r="82" spans="2:3">
      <c r="B82" s="974" t="s">
        <v>945</v>
      </c>
      <c r="C82" s="975">
        <v>1344054</v>
      </c>
    </row>
    <row r="83" spans="2:3">
      <c r="B83" s="974" t="s">
        <v>946</v>
      </c>
      <c r="C83" s="975">
        <v>0</v>
      </c>
    </row>
    <row r="84" spans="2:3">
      <c r="B84" s="976" t="s">
        <v>947</v>
      </c>
      <c r="C84" s="977">
        <v>69556</v>
      </c>
    </row>
    <row r="85" spans="2:3">
      <c r="C85" s="941"/>
    </row>
  </sheetData>
  <phoneticPr fontId="3" type="noConversion"/>
  <pageMargins left="0.7" right="0.7" top="0.75" bottom="0.75" header="0.3" footer="0.3"/>
  <pageSetup orientation="portrait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5"/>
  <sheetViews>
    <sheetView showGridLines="0" workbookViewId="0">
      <pane xSplit="2" ySplit="10" topLeftCell="C37" activePane="bottomRight" state="frozen"/>
      <selection pane="topRight" activeCell="C1" sqref="C1"/>
      <selection pane="bottomLeft" activeCell="A11" sqref="A11"/>
      <selection pane="bottomRight" activeCell="H48" sqref="H48"/>
    </sheetView>
  </sheetViews>
  <sheetFormatPr defaultColWidth="10.28515625" defaultRowHeight="16.5"/>
  <cols>
    <col min="1" max="1" width="0.85546875" style="739" customWidth="1"/>
    <col min="2" max="2" width="31.28515625" style="739" customWidth="1"/>
    <col min="3" max="43" width="12.5703125" style="739" customWidth="1"/>
    <col min="44" max="291" width="10.28515625" style="739"/>
    <col min="292" max="292" width="0.85546875" style="739" customWidth="1"/>
    <col min="293" max="293" width="31.28515625" style="739" customWidth="1"/>
    <col min="294" max="299" width="12.5703125" style="739" customWidth="1"/>
    <col min="300" max="547" width="10.28515625" style="739"/>
    <col min="548" max="548" width="0.85546875" style="739" customWidth="1"/>
    <col min="549" max="549" width="31.28515625" style="739" customWidth="1"/>
    <col min="550" max="555" width="12.5703125" style="739" customWidth="1"/>
    <col min="556" max="803" width="10.28515625" style="739"/>
    <col min="804" max="804" width="0.85546875" style="739" customWidth="1"/>
    <col min="805" max="805" width="31.28515625" style="739" customWidth="1"/>
    <col min="806" max="811" width="12.5703125" style="739" customWidth="1"/>
    <col min="812" max="1059" width="10.28515625" style="739"/>
    <col min="1060" max="1060" width="0.85546875" style="739" customWidth="1"/>
    <col min="1061" max="1061" width="31.28515625" style="739" customWidth="1"/>
    <col min="1062" max="1067" width="12.5703125" style="739" customWidth="1"/>
    <col min="1068" max="1315" width="10.28515625" style="739"/>
    <col min="1316" max="1316" width="0.85546875" style="739" customWidth="1"/>
    <col min="1317" max="1317" width="31.28515625" style="739" customWidth="1"/>
    <col min="1318" max="1323" width="12.5703125" style="739" customWidth="1"/>
    <col min="1324" max="1571" width="10.28515625" style="739"/>
    <col min="1572" max="1572" width="0.85546875" style="739" customWidth="1"/>
    <col min="1573" max="1573" width="31.28515625" style="739" customWidth="1"/>
    <col min="1574" max="1579" width="12.5703125" style="739" customWidth="1"/>
    <col min="1580" max="1827" width="10.28515625" style="739"/>
    <col min="1828" max="1828" width="0.85546875" style="739" customWidth="1"/>
    <col min="1829" max="1829" width="31.28515625" style="739" customWidth="1"/>
    <col min="1830" max="1835" width="12.5703125" style="739" customWidth="1"/>
    <col min="1836" max="2083" width="10.28515625" style="739"/>
    <col min="2084" max="2084" width="0.85546875" style="739" customWidth="1"/>
    <col min="2085" max="2085" width="31.28515625" style="739" customWidth="1"/>
    <col min="2086" max="2091" width="12.5703125" style="739" customWidth="1"/>
    <col min="2092" max="2339" width="10.28515625" style="739"/>
    <col min="2340" max="2340" width="0.85546875" style="739" customWidth="1"/>
    <col min="2341" max="2341" width="31.28515625" style="739" customWidth="1"/>
    <col min="2342" max="2347" width="12.5703125" style="739" customWidth="1"/>
    <col min="2348" max="2595" width="10.28515625" style="739"/>
    <col min="2596" max="2596" width="0.85546875" style="739" customWidth="1"/>
    <col min="2597" max="2597" width="31.28515625" style="739" customWidth="1"/>
    <col min="2598" max="2603" width="12.5703125" style="739" customWidth="1"/>
    <col min="2604" max="2851" width="10.28515625" style="739"/>
    <col min="2852" max="2852" width="0.85546875" style="739" customWidth="1"/>
    <col min="2853" max="2853" width="31.28515625" style="739" customWidth="1"/>
    <col min="2854" max="2859" width="12.5703125" style="739" customWidth="1"/>
    <col min="2860" max="3107" width="10.28515625" style="739"/>
    <col min="3108" max="3108" width="0.85546875" style="739" customWidth="1"/>
    <col min="3109" max="3109" width="31.28515625" style="739" customWidth="1"/>
    <col min="3110" max="3115" width="12.5703125" style="739" customWidth="1"/>
    <col min="3116" max="3363" width="10.28515625" style="739"/>
    <col min="3364" max="3364" width="0.85546875" style="739" customWidth="1"/>
    <col min="3365" max="3365" width="31.28515625" style="739" customWidth="1"/>
    <col min="3366" max="3371" width="12.5703125" style="739" customWidth="1"/>
    <col min="3372" max="3619" width="10.28515625" style="739"/>
    <col min="3620" max="3620" width="0.85546875" style="739" customWidth="1"/>
    <col min="3621" max="3621" width="31.28515625" style="739" customWidth="1"/>
    <col min="3622" max="3627" width="12.5703125" style="739" customWidth="1"/>
    <col min="3628" max="3875" width="10.28515625" style="739"/>
    <col min="3876" max="3876" width="0.85546875" style="739" customWidth="1"/>
    <col min="3877" max="3877" width="31.28515625" style="739" customWidth="1"/>
    <col min="3878" max="3883" width="12.5703125" style="739" customWidth="1"/>
    <col min="3884" max="4131" width="10.28515625" style="739"/>
    <col min="4132" max="4132" width="0.85546875" style="739" customWidth="1"/>
    <col min="4133" max="4133" width="31.28515625" style="739" customWidth="1"/>
    <col min="4134" max="4139" width="12.5703125" style="739" customWidth="1"/>
    <col min="4140" max="4387" width="10.28515625" style="739"/>
    <col min="4388" max="4388" width="0.85546875" style="739" customWidth="1"/>
    <col min="4389" max="4389" width="31.28515625" style="739" customWidth="1"/>
    <col min="4390" max="4395" width="12.5703125" style="739" customWidth="1"/>
    <col min="4396" max="4643" width="10.28515625" style="739"/>
    <col min="4644" max="4644" width="0.85546875" style="739" customWidth="1"/>
    <col min="4645" max="4645" width="31.28515625" style="739" customWidth="1"/>
    <col min="4646" max="4651" width="12.5703125" style="739" customWidth="1"/>
    <col min="4652" max="4899" width="10.28515625" style="739"/>
    <col min="4900" max="4900" width="0.85546875" style="739" customWidth="1"/>
    <col min="4901" max="4901" width="31.28515625" style="739" customWidth="1"/>
    <col min="4902" max="4907" width="12.5703125" style="739" customWidth="1"/>
    <col min="4908" max="5155" width="10.28515625" style="739"/>
    <col min="5156" max="5156" width="0.85546875" style="739" customWidth="1"/>
    <col min="5157" max="5157" width="31.28515625" style="739" customWidth="1"/>
    <col min="5158" max="5163" width="12.5703125" style="739" customWidth="1"/>
    <col min="5164" max="5411" width="10.28515625" style="739"/>
    <col min="5412" max="5412" width="0.85546875" style="739" customWidth="1"/>
    <col min="5413" max="5413" width="31.28515625" style="739" customWidth="1"/>
    <col min="5414" max="5419" width="12.5703125" style="739" customWidth="1"/>
    <col min="5420" max="5667" width="10.28515625" style="739"/>
    <col min="5668" max="5668" width="0.85546875" style="739" customWidth="1"/>
    <col min="5669" max="5669" width="31.28515625" style="739" customWidth="1"/>
    <col min="5670" max="5675" width="12.5703125" style="739" customWidth="1"/>
    <col min="5676" max="5923" width="10.28515625" style="739"/>
    <col min="5924" max="5924" width="0.85546875" style="739" customWidth="1"/>
    <col min="5925" max="5925" width="31.28515625" style="739" customWidth="1"/>
    <col min="5926" max="5931" width="12.5703125" style="739" customWidth="1"/>
    <col min="5932" max="6179" width="10.28515625" style="739"/>
    <col min="6180" max="6180" width="0.85546875" style="739" customWidth="1"/>
    <col min="6181" max="6181" width="31.28515625" style="739" customWidth="1"/>
    <col min="6182" max="6187" width="12.5703125" style="739" customWidth="1"/>
    <col min="6188" max="6435" width="10.28515625" style="739"/>
    <col min="6436" max="6436" width="0.85546875" style="739" customWidth="1"/>
    <col min="6437" max="6437" width="31.28515625" style="739" customWidth="1"/>
    <col min="6438" max="6443" width="12.5703125" style="739" customWidth="1"/>
    <col min="6444" max="6691" width="10.28515625" style="739"/>
    <col min="6692" max="6692" width="0.85546875" style="739" customWidth="1"/>
    <col min="6693" max="6693" width="31.28515625" style="739" customWidth="1"/>
    <col min="6694" max="6699" width="12.5703125" style="739" customWidth="1"/>
    <col min="6700" max="6947" width="10.28515625" style="739"/>
    <col min="6948" max="6948" width="0.85546875" style="739" customWidth="1"/>
    <col min="6949" max="6949" width="31.28515625" style="739" customWidth="1"/>
    <col min="6950" max="6955" width="12.5703125" style="739" customWidth="1"/>
    <col min="6956" max="7203" width="10.28515625" style="739"/>
    <col min="7204" max="7204" width="0.85546875" style="739" customWidth="1"/>
    <col min="7205" max="7205" width="31.28515625" style="739" customWidth="1"/>
    <col min="7206" max="7211" width="12.5703125" style="739" customWidth="1"/>
    <col min="7212" max="7459" width="10.28515625" style="739"/>
    <col min="7460" max="7460" width="0.85546875" style="739" customWidth="1"/>
    <col min="7461" max="7461" width="31.28515625" style="739" customWidth="1"/>
    <col min="7462" max="7467" width="12.5703125" style="739" customWidth="1"/>
    <col min="7468" max="7715" width="10.28515625" style="739"/>
    <col min="7716" max="7716" width="0.85546875" style="739" customWidth="1"/>
    <col min="7717" max="7717" width="31.28515625" style="739" customWidth="1"/>
    <col min="7718" max="7723" width="12.5703125" style="739" customWidth="1"/>
    <col min="7724" max="7971" width="10.28515625" style="739"/>
    <col min="7972" max="7972" width="0.85546875" style="739" customWidth="1"/>
    <col min="7973" max="7973" width="31.28515625" style="739" customWidth="1"/>
    <col min="7974" max="7979" width="12.5703125" style="739" customWidth="1"/>
    <col min="7980" max="8227" width="10.28515625" style="739"/>
    <col min="8228" max="8228" width="0.85546875" style="739" customWidth="1"/>
    <col min="8229" max="8229" width="31.28515625" style="739" customWidth="1"/>
    <col min="8230" max="8235" width="12.5703125" style="739" customWidth="1"/>
    <col min="8236" max="8483" width="10.28515625" style="739"/>
    <col min="8484" max="8484" width="0.85546875" style="739" customWidth="1"/>
    <col min="8485" max="8485" width="31.28515625" style="739" customWidth="1"/>
    <col min="8486" max="8491" width="12.5703125" style="739" customWidth="1"/>
    <col min="8492" max="8739" width="10.28515625" style="739"/>
    <col min="8740" max="8740" width="0.85546875" style="739" customWidth="1"/>
    <col min="8741" max="8741" width="31.28515625" style="739" customWidth="1"/>
    <col min="8742" max="8747" width="12.5703125" style="739" customWidth="1"/>
    <col min="8748" max="8995" width="10.28515625" style="739"/>
    <col min="8996" max="8996" width="0.85546875" style="739" customWidth="1"/>
    <col min="8997" max="8997" width="31.28515625" style="739" customWidth="1"/>
    <col min="8998" max="9003" width="12.5703125" style="739" customWidth="1"/>
    <col min="9004" max="9251" width="10.28515625" style="739"/>
    <col min="9252" max="9252" width="0.85546875" style="739" customWidth="1"/>
    <col min="9253" max="9253" width="31.28515625" style="739" customWidth="1"/>
    <col min="9254" max="9259" width="12.5703125" style="739" customWidth="1"/>
    <col min="9260" max="9507" width="10.28515625" style="739"/>
    <col min="9508" max="9508" width="0.85546875" style="739" customWidth="1"/>
    <col min="9509" max="9509" width="31.28515625" style="739" customWidth="1"/>
    <col min="9510" max="9515" width="12.5703125" style="739" customWidth="1"/>
    <col min="9516" max="9763" width="10.28515625" style="739"/>
    <col min="9764" max="9764" width="0.85546875" style="739" customWidth="1"/>
    <col min="9765" max="9765" width="31.28515625" style="739" customWidth="1"/>
    <col min="9766" max="9771" width="12.5703125" style="739" customWidth="1"/>
    <col min="9772" max="10019" width="10.28515625" style="739"/>
    <col min="10020" max="10020" width="0.85546875" style="739" customWidth="1"/>
    <col min="10021" max="10021" width="31.28515625" style="739" customWidth="1"/>
    <col min="10022" max="10027" width="12.5703125" style="739" customWidth="1"/>
    <col min="10028" max="10275" width="10.28515625" style="739"/>
    <col min="10276" max="10276" width="0.85546875" style="739" customWidth="1"/>
    <col min="10277" max="10277" width="31.28515625" style="739" customWidth="1"/>
    <col min="10278" max="10283" width="12.5703125" style="739" customWidth="1"/>
    <col min="10284" max="10531" width="10.28515625" style="739"/>
    <col min="10532" max="10532" width="0.85546875" style="739" customWidth="1"/>
    <col min="10533" max="10533" width="31.28515625" style="739" customWidth="1"/>
    <col min="10534" max="10539" width="12.5703125" style="739" customWidth="1"/>
    <col min="10540" max="10787" width="10.28515625" style="739"/>
    <col min="10788" max="10788" width="0.85546875" style="739" customWidth="1"/>
    <col min="10789" max="10789" width="31.28515625" style="739" customWidth="1"/>
    <col min="10790" max="10795" width="12.5703125" style="739" customWidth="1"/>
    <col min="10796" max="11043" width="10.28515625" style="739"/>
    <col min="11044" max="11044" width="0.85546875" style="739" customWidth="1"/>
    <col min="11045" max="11045" width="31.28515625" style="739" customWidth="1"/>
    <col min="11046" max="11051" width="12.5703125" style="739" customWidth="1"/>
    <col min="11052" max="11299" width="10.28515625" style="739"/>
    <col min="11300" max="11300" width="0.85546875" style="739" customWidth="1"/>
    <col min="11301" max="11301" width="31.28515625" style="739" customWidth="1"/>
    <col min="11302" max="11307" width="12.5703125" style="739" customWidth="1"/>
    <col min="11308" max="11555" width="10.28515625" style="739"/>
    <col min="11556" max="11556" width="0.85546875" style="739" customWidth="1"/>
    <col min="11557" max="11557" width="31.28515625" style="739" customWidth="1"/>
    <col min="11558" max="11563" width="12.5703125" style="739" customWidth="1"/>
    <col min="11564" max="11811" width="10.28515625" style="739"/>
    <col min="11812" max="11812" width="0.85546875" style="739" customWidth="1"/>
    <col min="11813" max="11813" width="31.28515625" style="739" customWidth="1"/>
    <col min="11814" max="11819" width="12.5703125" style="739" customWidth="1"/>
    <col min="11820" max="12067" width="10.28515625" style="739"/>
    <col min="12068" max="12068" width="0.85546875" style="739" customWidth="1"/>
    <col min="12069" max="12069" width="31.28515625" style="739" customWidth="1"/>
    <col min="12070" max="12075" width="12.5703125" style="739" customWidth="1"/>
    <col min="12076" max="12323" width="10.28515625" style="739"/>
    <col min="12324" max="12324" width="0.85546875" style="739" customWidth="1"/>
    <col min="12325" max="12325" width="31.28515625" style="739" customWidth="1"/>
    <col min="12326" max="12331" width="12.5703125" style="739" customWidth="1"/>
    <col min="12332" max="12579" width="10.28515625" style="739"/>
    <col min="12580" max="12580" width="0.85546875" style="739" customWidth="1"/>
    <col min="12581" max="12581" width="31.28515625" style="739" customWidth="1"/>
    <col min="12582" max="12587" width="12.5703125" style="739" customWidth="1"/>
    <col min="12588" max="12835" width="10.28515625" style="739"/>
    <col min="12836" max="12836" width="0.85546875" style="739" customWidth="1"/>
    <col min="12837" max="12837" width="31.28515625" style="739" customWidth="1"/>
    <col min="12838" max="12843" width="12.5703125" style="739" customWidth="1"/>
    <col min="12844" max="13091" width="10.28515625" style="739"/>
    <col min="13092" max="13092" width="0.85546875" style="739" customWidth="1"/>
    <col min="13093" max="13093" width="31.28515625" style="739" customWidth="1"/>
    <col min="13094" max="13099" width="12.5703125" style="739" customWidth="1"/>
    <col min="13100" max="13347" width="10.28515625" style="739"/>
    <col min="13348" max="13348" width="0.85546875" style="739" customWidth="1"/>
    <col min="13349" max="13349" width="31.28515625" style="739" customWidth="1"/>
    <col min="13350" max="13355" width="12.5703125" style="739" customWidth="1"/>
    <col min="13356" max="13603" width="10.28515625" style="739"/>
    <col min="13604" max="13604" width="0.85546875" style="739" customWidth="1"/>
    <col min="13605" max="13605" width="31.28515625" style="739" customWidth="1"/>
    <col min="13606" max="13611" width="12.5703125" style="739" customWidth="1"/>
    <col min="13612" max="13859" width="10.28515625" style="739"/>
    <col min="13860" max="13860" width="0.85546875" style="739" customWidth="1"/>
    <col min="13861" max="13861" width="31.28515625" style="739" customWidth="1"/>
    <col min="13862" max="13867" width="12.5703125" style="739" customWidth="1"/>
    <col min="13868" max="14115" width="10.28515625" style="739"/>
    <col min="14116" max="14116" width="0.85546875" style="739" customWidth="1"/>
    <col min="14117" max="14117" width="31.28515625" style="739" customWidth="1"/>
    <col min="14118" max="14123" width="12.5703125" style="739" customWidth="1"/>
    <col min="14124" max="14371" width="10.28515625" style="739"/>
    <col min="14372" max="14372" width="0.85546875" style="739" customWidth="1"/>
    <col min="14373" max="14373" width="31.28515625" style="739" customWidth="1"/>
    <col min="14374" max="14379" width="12.5703125" style="739" customWidth="1"/>
    <col min="14380" max="14627" width="10.28515625" style="739"/>
    <col min="14628" max="14628" width="0.85546875" style="739" customWidth="1"/>
    <col min="14629" max="14629" width="31.28515625" style="739" customWidth="1"/>
    <col min="14630" max="14635" width="12.5703125" style="739" customWidth="1"/>
    <col min="14636" max="14883" width="10.28515625" style="739"/>
    <col min="14884" max="14884" width="0.85546875" style="739" customWidth="1"/>
    <col min="14885" max="14885" width="31.28515625" style="739" customWidth="1"/>
    <col min="14886" max="14891" width="12.5703125" style="739" customWidth="1"/>
    <col min="14892" max="15139" width="10.28515625" style="739"/>
    <col min="15140" max="15140" width="0.85546875" style="739" customWidth="1"/>
    <col min="15141" max="15141" width="31.28515625" style="739" customWidth="1"/>
    <col min="15142" max="15147" width="12.5703125" style="739" customWidth="1"/>
    <col min="15148" max="15395" width="10.28515625" style="739"/>
    <col min="15396" max="15396" width="0.85546875" style="739" customWidth="1"/>
    <col min="15397" max="15397" width="31.28515625" style="739" customWidth="1"/>
    <col min="15398" max="15403" width="12.5703125" style="739" customWidth="1"/>
    <col min="15404" max="15651" width="10.28515625" style="739"/>
    <col min="15652" max="15652" width="0.85546875" style="739" customWidth="1"/>
    <col min="15653" max="15653" width="31.28515625" style="739" customWidth="1"/>
    <col min="15654" max="15659" width="12.5703125" style="739" customWidth="1"/>
    <col min="15660" max="15907" width="10.28515625" style="739"/>
    <col min="15908" max="15908" width="0.85546875" style="739" customWidth="1"/>
    <col min="15909" max="15909" width="31.28515625" style="739" customWidth="1"/>
    <col min="15910" max="15915" width="12.5703125" style="739" customWidth="1"/>
    <col min="15916" max="16163" width="10.28515625" style="739"/>
    <col min="16164" max="16164" width="0.85546875" style="739" customWidth="1"/>
    <col min="16165" max="16165" width="31.28515625" style="739" customWidth="1"/>
    <col min="16166" max="16171" width="12.5703125" style="739" customWidth="1"/>
    <col min="16172" max="16384" width="10.28515625" style="739"/>
  </cols>
  <sheetData>
    <row r="1" spans="1:45" ht="8.25" customHeight="1">
      <c r="AP1" s="767"/>
    </row>
    <row r="2" spans="1:45" ht="8.25" customHeight="1">
      <c r="AP2" s="767"/>
    </row>
    <row r="3" spans="1:45" ht="12" customHeight="1">
      <c r="A3" s="740"/>
      <c r="B3" s="740"/>
      <c r="C3" s="741"/>
      <c r="D3" s="741"/>
      <c r="E3" s="741"/>
      <c r="F3" s="741"/>
      <c r="G3" s="741"/>
      <c r="H3" s="741"/>
      <c r="I3" s="741"/>
      <c r="J3" s="741"/>
      <c r="K3" s="741"/>
      <c r="L3" s="741"/>
      <c r="M3" s="741"/>
      <c r="N3" s="741"/>
      <c r="O3" s="741"/>
      <c r="P3" s="741"/>
      <c r="Q3" s="741"/>
      <c r="R3" s="741"/>
      <c r="S3" s="741"/>
      <c r="T3" s="741"/>
      <c r="U3" s="741"/>
      <c r="V3" s="741"/>
      <c r="W3" s="741"/>
      <c r="X3" s="741"/>
      <c r="Y3" s="741"/>
      <c r="Z3" s="741"/>
      <c r="AA3" s="740"/>
      <c r="AB3" s="740"/>
      <c r="AC3" s="740"/>
      <c r="AD3" s="740"/>
      <c r="AE3" s="740"/>
      <c r="AF3" s="740"/>
      <c r="AG3" s="740"/>
      <c r="AH3" s="740"/>
      <c r="AI3" s="740"/>
      <c r="AJ3" s="740"/>
      <c r="AK3" s="740"/>
      <c r="AL3" s="740"/>
      <c r="AM3" s="740"/>
      <c r="AN3" s="740"/>
      <c r="AO3" s="740"/>
      <c r="AP3" s="740"/>
      <c r="AQ3" s="742"/>
    </row>
    <row r="4" spans="1:45" ht="12" customHeight="1">
      <c r="A4" s="740"/>
      <c r="B4" s="740"/>
      <c r="C4" s="741"/>
      <c r="D4" s="741"/>
      <c r="E4" s="741"/>
      <c r="F4" s="741"/>
      <c r="G4" s="741"/>
      <c r="H4" s="741"/>
      <c r="I4" s="741"/>
      <c r="J4" s="741"/>
      <c r="K4" s="741"/>
      <c r="L4" s="741"/>
      <c r="M4" s="741"/>
      <c r="N4" s="741"/>
      <c r="O4" s="741"/>
      <c r="P4" s="741"/>
      <c r="Q4" s="741"/>
      <c r="R4" s="741"/>
      <c r="S4" s="741"/>
      <c r="T4" s="741"/>
      <c r="U4" s="741"/>
      <c r="V4" s="741"/>
      <c r="W4" s="741"/>
      <c r="X4" s="741"/>
      <c r="Y4" s="741"/>
      <c r="Z4" s="741"/>
      <c r="AA4" s="740"/>
      <c r="AB4" s="740"/>
      <c r="AC4" s="740"/>
      <c r="AD4" s="740"/>
      <c r="AE4" s="740"/>
      <c r="AF4" s="740"/>
      <c r="AG4" s="740"/>
      <c r="AH4" s="740"/>
      <c r="AI4" s="740"/>
      <c r="AJ4" s="740"/>
      <c r="AK4" s="740"/>
      <c r="AL4" s="740"/>
      <c r="AM4" s="740"/>
      <c r="AN4" s="740"/>
      <c r="AO4" s="740"/>
      <c r="AP4" s="740"/>
      <c r="AQ4" s="742"/>
    </row>
    <row r="5" spans="1:45" ht="12" customHeight="1">
      <c r="A5" s="740"/>
      <c r="B5" s="740"/>
      <c r="C5" s="741"/>
      <c r="D5" s="741"/>
      <c r="E5" s="741"/>
      <c r="F5" s="783"/>
      <c r="G5" s="741"/>
      <c r="H5" s="741"/>
      <c r="I5" s="741"/>
      <c r="J5" s="741"/>
      <c r="K5" s="741"/>
      <c r="L5" s="741"/>
      <c r="M5" s="741"/>
      <c r="N5" s="741"/>
      <c r="O5" s="741"/>
      <c r="P5" s="741"/>
      <c r="Q5" s="741"/>
      <c r="R5" s="741"/>
      <c r="S5" s="741"/>
      <c r="T5" s="741"/>
      <c r="U5" s="741"/>
      <c r="V5" s="741"/>
      <c r="W5" s="741"/>
      <c r="X5" s="741"/>
      <c r="Y5" s="741"/>
      <c r="Z5" s="741"/>
      <c r="AA5" s="740"/>
      <c r="AB5" s="740"/>
      <c r="AC5" s="740"/>
      <c r="AD5" s="740"/>
      <c r="AE5" s="740"/>
      <c r="AF5" s="740"/>
      <c r="AG5" s="740"/>
      <c r="AH5" s="740"/>
      <c r="AI5" s="740"/>
      <c r="AJ5" s="740"/>
      <c r="AK5" s="740"/>
      <c r="AL5" s="740"/>
      <c r="AM5" s="740"/>
      <c r="AN5" s="740"/>
      <c r="AO5" s="740"/>
      <c r="AP5" s="740"/>
      <c r="AQ5" s="742"/>
    </row>
    <row r="6" spans="1:45" ht="12" customHeight="1">
      <c r="A6" s="740"/>
      <c r="B6" s="740"/>
      <c r="C6" s="741"/>
      <c r="D6" s="741"/>
      <c r="E6" s="741"/>
      <c r="F6" s="783"/>
      <c r="G6" s="741"/>
      <c r="H6" s="741"/>
      <c r="I6" s="741"/>
      <c r="J6" s="741"/>
      <c r="K6" s="741"/>
      <c r="L6" s="741"/>
      <c r="M6" s="741"/>
      <c r="N6" s="741"/>
      <c r="O6" s="741"/>
      <c r="P6" s="741"/>
      <c r="Q6" s="741"/>
      <c r="R6" s="741"/>
      <c r="S6" s="741"/>
      <c r="T6" s="741"/>
      <c r="U6" s="741"/>
      <c r="V6" s="741"/>
      <c r="W6" s="741"/>
      <c r="X6" s="741"/>
      <c r="Y6" s="741"/>
      <c r="Z6" s="741"/>
      <c r="AA6" s="740"/>
      <c r="AB6" s="740"/>
      <c r="AC6" s="740"/>
      <c r="AD6" s="740"/>
      <c r="AE6" s="740"/>
      <c r="AF6" s="740"/>
      <c r="AG6" s="740"/>
      <c r="AH6" s="740"/>
      <c r="AI6" s="740"/>
      <c r="AJ6" s="740"/>
      <c r="AK6" s="740"/>
      <c r="AL6" s="740"/>
      <c r="AM6" s="740"/>
      <c r="AN6" s="740"/>
      <c r="AO6" s="740"/>
      <c r="AP6" s="740"/>
      <c r="AQ6" s="742"/>
    </row>
    <row r="7" spans="1:45" ht="12" customHeight="1">
      <c r="A7" s="740"/>
      <c r="B7" s="740"/>
      <c r="C7" s="741"/>
      <c r="D7" s="741"/>
      <c r="E7" s="741"/>
      <c r="F7" s="783"/>
      <c r="G7" s="741"/>
      <c r="H7" s="741"/>
      <c r="I7" s="741"/>
      <c r="J7" s="741"/>
      <c r="K7" s="741"/>
      <c r="L7" s="741"/>
      <c r="M7" s="741"/>
      <c r="N7" s="741"/>
      <c r="O7" s="741"/>
      <c r="P7" s="741"/>
      <c r="Q7" s="741"/>
      <c r="R7" s="741"/>
      <c r="S7" s="741"/>
      <c r="T7" s="741"/>
      <c r="U7" s="741"/>
      <c r="V7" s="741"/>
      <c r="W7" s="741"/>
      <c r="X7" s="741"/>
      <c r="Y7" s="741"/>
      <c r="Z7" s="741"/>
      <c r="AA7" s="740"/>
      <c r="AB7" s="740"/>
      <c r="AC7" s="740"/>
      <c r="AD7" s="740"/>
      <c r="AE7" s="740"/>
      <c r="AF7" s="740"/>
      <c r="AG7" s="740"/>
      <c r="AH7" s="740"/>
      <c r="AI7" s="740"/>
      <c r="AJ7" s="740"/>
      <c r="AK7" s="740"/>
      <c r="AL7" s="740"/>
      <c r="AM7" s="740"/>
      <c r="AN7" s="740"/>
      <c r="AO7" s="740"/>
      <c r="AP7" s="740"/>
      <c r="AQ7" s="742"/>
    </row>
    <row r="8" spans="1:45" ht="11.25" customHeight="1">
      <c r="F8" s="784"/>
      <c r="AP8" s="740"/>
    </row>
    <row r="9" spans="1:45" ht="11.25" customHeight="1">
      <c r="C9" s="741"/>
      <c r="D9" s="741"/>
      <c r="E9" s="741"/>
      <c r="F9" s="783"/>
      <c r="G9" s="741"/>
      <c r="H9" s="741"/>
      <c r="I9" s="741"/>
      <c r="J9" s="741"/>
      <c r="K9" s="741"/>
      <c r="L9" s="741"/>
      <c r="M9" s="741"/>
      <c r="N9" s="741"/>
      <c r="O9" s="741"/>
      <c r="P9" s="741"/>
      <c r="Q9" s="741"/>
      <c r="R9" s="741"/>
      <c r="S9" s="741"/>
      <c r="T9" s="741"/>
      <c r="U9" s="741"/>
      <c r="V9" s="741"/>
      <c r="W9" s="741"/>
      <c r="X9" s="741"/>
      <c r="Y9" s="741"/>
      <c r="Z9" s="741"/>
      <c r="AA9" s="741"/>
      <c r="AB9" s="741"/>
      <c r="AC9" s="741"/>
      <c r="AD9" s="741"/>
      <c r="AE9" s="741"/>
      <c r="AF9" s="741"/>
      <c r="AG9" s="741"/>
      <c r="AH9" s="741"/>
      <c r="AI9" s="741"/>
      <c r="AJ9" s="741"/>
      <c r="AK9" s="741"/>
      <c r="AL9" s="741"/>
      <c r="AM9" s="801" t="s">
        <v>664</v>
      </c>
      <c r="AN9" s="741"/>
      <c r="AO9" s="741"/>
      <c r="AP9" s="741"/>
    </row>
    <row r="10" spans="1:45" ht="11.25" customHeight="1">
      <c r="C10" s="743" t="s">
        <v>595</v>
      </c>
      <c r="D10" s="743" t="s">
        <v>596</v>
      </c>
      <c r="E10" s="743" t="s">
        <v>597</v>
      </c>
      <c r="F10" s="785" t="s">
        <v>598</v>
      </c>
      <c r="G10" s="743" t="s">
        <v>599</v>
      </c>
      <c r="H10" s="743" t="s">
        <v>600</v>
      </c>
      <c r="I10" s="743" t="s">
        <v>601</v>
      </c>
      <c r="J10" s="743" t="s">
        <v>602</v>
      </c>
      <c r="K10" s="743" t="s">
        <v>603</v>
      </c>
      <c r="L10" s="743" t="s">
        <v>604</v>
      </c>
      <c r="M10" s="743" t="s">
        <v>605</v>
      </c>
      <c r="N10" s="743" t="s">
        <v>606</v>
      </c>
      <c r="O10" s="743" t="s">
        <v>607</v>
      </c>
      <c r="P10" s="743" t="s">
        <v>608</v>
      </c>
      <c r="Q10" s="743" t="s">
        <v>609</v>
      </c>
      <c r="R10" s="743" t="s">
        <v>610</v>
      </c>
      <c r="S10" s="743" t="s">
        <v>611</v>
      </c>
      <c r="T10" s="743" t="s">
        <v>612</v>
      </c>
      <c r="U10" s="743" t="s">
        <v>613</v>
      </c>
      <c r="V10" s="743" t="s">
        <v>614</v>
      </c>
      <c r="W10" s="743" t="s">
        <v>615</v>
      </c>
      <c r="X10" s="743" t="s">
        <v>616</v>
      </c>
      <c r="Y10" s="743" t="s">
        <v>617</v>
      </c>
      <c r="Z10" s="743" t="s">
        <v>618</v>
      </c>
      <c r="AA10" s="743" t="s">
        <v>619</v>
      </c>
      <c r="AB10" s="743" t="s">
        <v>620</v>
      </c>
      <c r="AC10" s="743" t="s">
        <v>621</v>
      </c>
      <c r="AD10" s="743" t="s">
        <v>622</v>
      </c>
      <c r="AE10" s="743" t="s">
        <v>623</v>
      </c>
      <c r="AF10" s="743" t="s">
        <v>624</v>
      </c>
      <c r="AG10" s="743" t="s">
        <v>625</v>
      </c>
      <c r="AH10" s="743" t="s">
        <v>626</v>
      </c>
      <c r="AI10" s="743" t="s">
        <v>627</v>
      </c>
      <c r="AJ10" s="743" t="s">
        <v>628</v>
      </c>
      <c r="AK10" s="743" t="s">
        <v>629</v>
      </c>
      <c r="AL10" s="743" t="s">
        <v>630</v>
      </c>
      <c r="AM10" s="802">
        <v>44378</v>
      </c>
      <c r="AN10" s="802">
        <v>44409</v>
      </c>
      <c r="AO10" s="802">
        <v>44440</v>
      </c>
      <c r="AP10" s="743"/>
      <c r="AQ10" s="6"/>
      <c r="AR10" s="6"/>
      <c r="AS10" s="71">
        <f>'A&amp;R'!N21</f>
        <v>1</v>
      </c>
    </row>
    <row r="11" spans="1:45" ht="11.25" customHeight="1">
      <c r="F11" s="784"/>
      <c r="AO11" s="740"/>
      <c r="AP11" s="740"/>
      <c r="AQ11" s="164" t="s">
        <v>199</v>
      </c>
      <c r="AR11" s="6"/>
      <c r="AS11" s="6"/>
    </row>
    <row r="12" spans="1:45" ht="11.25" customHeight="1">
      <c r="B12" s="740" t="s">
        <v>122</v>
      </c>
      <c r="F12" s="786"/>
      <c r="AP12" s="767"/>
      <c r="AQ12" s="366" t="s">
        <v>200</v>
      </c>
      <c r="AR12" s="6" t="s">
        <v>201</v>
      </c>
      <c r="AS12" s="367">
        <f>INDEX('A&amp;R'!L25:P25,AS$10)</f>
        <v>508.48146277276265</v>
      </c>
    </row>
    <row r="13" spans="1:45" ht="11.25" customHeight="1">
      <c r="B13" s="740" t="s">
        <v>123</v>
      </c>
      <c r="C13" s="744">
        <v>11859.512126</v>
      </c>
      <c r="D13" s="744">
        <v>11859.512126</v>
      </c>
      <c r="E13" s="744">
        <v>11859.512126</v>
      </c>
      <c r="F13" s="787">
        <v>12255.770589</v>
      </c>
      <c r="G13" s="744">
        <v>12255.770589</v>
      </c>
      <c r="H13" s="744">
        <v>12255.770589</v>
      </c>
      <c r="I13" s="744">
        <v>12255.770589</v>
      </c>
      <c r="J13" s="744">
        <v>12255.770589</v>
      </c>
      <c r="K13" s="744">
        <v>12255.770589</v>
      </c>
      <c r="L13" s="744">
        <v>12255.770589</v>
      </c>
      <c r="M13" s="744">
        <v>12255.770589</v>
      </c>
      <c r="N13" s="744">
        <v>12255.770589</v>
      </c>
      <c r="O13" s="744">
        <v>12562.907597833333</v>
      </c>
      <c r="P13" s="744">
        <v>12562.907597833333</v>
      </c>
      <c r="Q13" s="744">
        <v>12562.907597833333</v>
      </c>
      <c r="R13" s="744">
        <v>12562.907597833333</v>
      </c>
      <c r="S13" s="744">
        <v>12562.907597833333</v>
      </c>
      <c r="T13" s="744">
        <v>12562.907597833333</v>
      </c>
      <c r="U13" s="744">
        <v>12562.907597833333</v>
      </c>
      <c r="V13" s="744">
        <v>12562.907597833333</v>
      </c>
      <c r="W13" s="744">
        <v>12562.907597833333</v>
      </c>
      <c r="X13" s="744">
        <v>12562.907597833333</v>
      </c>
      <c r="Y13" s="744">
        <v>12562.907597833333</v>
      </c>
      <c r="Z13" s="744">
        <v>12562.907597833333</v>
      </c>
      <c r="AA13" s="744">
        <v>12982.699854500001</v>
      </c>
      <c r="AB13" s="744">
        <v>12982.699854500001</v>
      </c>
      <c r="AC13" s="744">
        <v>12982.699854500001</v>
      </c>
      <c r="AD13" s="744">
        <v>12982.699854500001</v>
      </c>
      <c r="AE13" s="744">
        <v>12982.699854500001</v>
      </c>
      <c r="AF13" s="744">
        <v>12982.699854500001</v>
      </c>
      <c r="AG13" s="744">
        <v>12982.699854500001</v>
      </c>
      <c r="AH13" s="744">
        <v>12982.699854500001</v>
      </c>
      <c r="AI13" s="744">
        <v>12982.699854500001</v>
      </c>
      <c r="AJ13" s="744">
        <v>12982.699854500001</v>
      </c>
      <c r="AK13" s="744">
        <v>12982.699854500001</v>
      </c>
      <c r="AL13" s="744">
        <v>12982.699854500001</v>
      </c>
      <c r="AM13" s="744">
        <f>AL13*(1+$AP$13)</f>
        <v>13416.519559620376</v>
      </c>
      <c r="AN13" s="744">
        <f>AM13</f>
        <v>13416.519559620376</v>
      </c>
      <c r="AO13" s="744">
        <f>AN13</f>
        <v>13416.519559620376</v>
      </c>
      <c r="AP13" s="771">
        <f>AA13/Z13-1</f>
        <v>3.3415214861491682E-2</v>
      </c>
      <c r="AQ13" s="6"/>
      <c r="AR13" s="6" t="s">
        <v>202</v>
      </c>
      <c r="AS13" s="368">
        <f>INDEX('A&amp;R'!L26:P26,AS$10)</f>
        <v>3.5000000000000003E-2</v>
      </c>
    </row>
    <row r="14" spans="1:45" ht="11.25" customHeight="1">
      <c r="B14" s="740" t="s">
        <v>124</v>
      </c>
      <c r="C14" s="744">
        <v>423673.16827800003</v>
      </c>
      <c r="D14" s="744">
        <v>423673.16827800003</v>
      </c>
      <c r="E14" s="744">
        <v>423673.16827800003</v>
      </c>
      <c r="F14" s="787">
        <v>438501.712719</v>
      </c>
      <c r="G14" s="744">
        <v>438501.712719</v>
      </c>
      <c r="H14" s="744">
        <v>438501.712719</v>
      </c>
      <c r="I14" s="744">
        <v>438501.712719</v>
      </c>
      <c r="J14" s="744">
        <v>438501.712719</v>
      </c>
      <c r="K14" s="744">
        <v>438501.712719</v>
      </c>
      <c r="L14" s="744">
        <v>438501.712719</v>
      </c>
      <c r="M14" s="744">
        <v>438501.712719</v>
      </c>
      <c r="N14" s="744">
        <v>438501.712719</v>
      </c>
      <c r="O14" s="744">
        <v>438501.712719</v>
      </c>
      <c r="P14" s="744">
        <v>438501.712719</v>
      </c>
      <c r="Q14" s="744">
        <v>438501.712719</v>
      </c>
      <c r="R14" s="744">
        <v>453849.27266416495</v>
      </c>
      <c r="S14" s="744">
        <v>453849.27266416495</v>
      </c>
      <c r="T14" s="744">
        <v>453849.27266416495</v>
      </c>
      <c r="U14" s="744">
        <v>453849.27266416495</v>
      </c>
      <c r="V14" s="744">
        <v>453849.27266416495</v>
      </c>
      <c r="W14" s="744">
        <v>453849.27266416495</v>
      </c>
      <c r="X14" s="744">
        <v>453849.27266416495</v>
      </c>
      <c r="Y14" s="744">
        <v>453849.27266416495</v>
      </c>
      <c r="Z14" s="744">
        <v>453849.27266416495</v>
      </c>
      <c r="AA14" s="744">
        <v>453849.27266416495</v>
      </c>
      <c r="AB14" s="744">
        <v>453849.27266416495</v>
      </c>
      <c r="AC14" s="744">
        <v>453849.27266416495</v>
      </c>
      <c r="AD14" s="744">
        <v>469733.99720741069</v>
      </c>
      <c r="AE14" s="744">
        <v>469733.99720741069</v>
      </c>
      <c r="AF14" s="744">
        <v>469733.99720741069</v>
      </c>
      <c r="AG14" s="744">
        <v>469733.99720741069</v>
      </c>
      <c r="AH14" s="744">
        <v>469733.99720741069</v>
      </c>
      <c r="AI14" s="744">
        <v>469733.99720741069</v>
      </c>
      <c r="AJ14" s="744">
        <v>469733.99720741069</v>
      </c>
      <c r="AK14" s="744">
        <v>469733.99720741069</v>
      </c>
      <c r="AL14" s="744">
        <v>469733.99720741069</v>
      </c>
      <c r="AM14" s="745">
        <f>AL14</f>
        <v>469733.99720741069</v>
      </c>
      <c r="AN14" s="745">
        <f t="shared" ref="AN14:AO14" si="0">AM14</f>
        <v>469733.99720741069</v>
      </c>
      <c r="AO14" s="745">
        <f t="shared" si="0"/>
        <v>469733.99720741069</v>
      </c>
      <c r="AP14" s="745"/>
      <c r="AQ14" s="164" t="s">
        <v>0</v>
      </c>
      <c r="AR14" s="6"/>
      <c r="AS14" s="6"/>
    </row>
    <row r="15" spans="1:45" ht="11.25" customHeight="1">
      <c r="B15" s="740" t="s">
        <v>125</v>
      </c>
      <c r="C15" s="744">
        <v>20198.974999999999</v>
      </c>
      <c r="D15" s="744">
        <v>20198.974999999999</v>
      </c>
      <c r="E15" s="744">
        <v>20198.974999999999</v>
      </c>
      <c r="F15" s="787">
        <v>20198.974999999999</v>
      </c>
      <c r="G15" s="744">
        <v>20450.019166999999</v>
      </c>
      <c r="H15" s="744">
        <v>15908.012500000001</v>
      </c>
      <c r="I15" s="744">
        <v>15908.012500000001</v>
      </c>
      <c r="J15" s="744">
        <v>15908.012500000001</v>
      </c>
      <c r="K15" s="744">
        <v>15908.012500000001</v>
      </c>
      <c r="L15" s="744">
        <v>15908.012500000001</v>
      </c>
      <c r="M15" s="744">
        <v>15908.012500000001</v>
      </c>
      <c r="N15" s="744">
        <v>20974.606878999999</v>
      </c>
      <c r="O15" s="744">
        <v>21314.173484083334</v>
      </c>
      <c r="P15" s="744">
        <v>21314.173484083334</v>
      </c>
      <c r="Q15" s="744">
        <v>21314.173484083334</v>
      </c>
      <c r="R15" s="744">
        <v>21314.173484083334</v>
      </c>
      <c r="S15" s="744">
        <v>21314.173484083334</v>
      </c>
      <c r="T15" s="744">
        <v>21314.173484083334</v>
      </c>
      <c r="U15" s="744">
        <v>21314.173484083334</v>
      </c>
      <c r="V15" s="744">
        <v>21314.173484083334</v>
      </c>
      <c r="W15" s="744">
        <v>21314.173484083334</v>
      </c>
      <c r="X15" s="744">
        <v>21314.173484083334</v>
      </c>
      <c r="Y15" s="744">
        <v>21314.173484083334</v>
      </c>
      <c r="Z15" s="744">
        <v>21314.173484083334</v>
      </c>
      <c r="AA15" s="744">
        <v>17364.083438666665</v>
      </c>
      <c r="AB15" s="744">
        <v>17364.083438666665</v>
      </c>
      <c r="AC15" s="744">
        <v>17364.083438666665</v>
      </c>
      <c r="AD15" s="744">
        <v>17364.083438666665</v>
      </c>
      <c r="AE15" s="744">
        <v>17364.083438666665</v>
      </c>
      <c r="AF15" s="744">
        <v>17364.083438666665</v>
      </c>
      <c r="AG15" s="744">
        <v>17364.083438666665</v>
      </c>
      <c r="AH15" s="744">
        <v>17364.083438666665</v>
      </c>
      <c r="AI15" s="744">
        <v>17364.083438666665</v>
      </c>
      <c r="AJ15" s="744">
        <v>17364.083438666665</v>
      </c>
      <c r="AK15" s="744">
        <v>17364.083438666665</v>
      </c>
      <c r="AL15" s="744">
        <v>17364.083438666665</v>
      </c>
      <c r="AM15" s="745">
        <f>AL15</f>
        <v>17364.083438666665</v>
      </c>
      <c r="AN15" s="745">
        <f t="shared" ref="AN15:AO15" si="1">AM15</f>
        <v>17364.083438666665</v>
      </c>
      <c r="AO15" s="745">
        <f t="shared" si="1"/>
        <v>17364.083438666665</v>
      </c>
      <c r="AP15" s="745"/>
      <c r="AQ15" s="366" t="s">
        <v>203</v>
      </c>
      <c r="AR15" s="6" t="s">
        <v>204</v>
      </c>
      <c r="AS15" s="367">
        <f ca="1">INDEX('A&amp;R'!L28:P28,AS$10)</f>
        <v>12.936760792911041</v>
      </c>
    </row>
    <row r="16" spans="1:45" ht="11.25" customHeight="1">
      <c r="B16" s="740" t="s">
        <v>126</v>
      </c>
      <c r="C16" s="744">
        <v>4350</v>
      </c>
      <c r="D16" s="744">
        <v>4350</v>
      </c>
      <c r="E16" s="744">
        <v>4350</v>
      </c>
      <c r="F16" s="787">
        <v>4350</v>
      </c>
      <c r="G16" s="744">
        <v>4350</v>
      </c>
      <c r="H16" s="744">
        <v>4350</v>
      </c>
      <c r="I16" s="744">
        <v>4350</v>
      </c>
      <c r="J16" s="744">
        <v>4350</v>
      </c>
      <c r="K16" s="744">
        <v>4350</v>
      </c>
      <c r="L16" s="744">
        <v>4350</v>
      </c>
      <c r="M16" s="744">
        <v>4350</v>
      </c>
      <c r="N16" s="744">
        <v>4350</v>
      </c>
      <c r="O16" s="744">
        <v>4350</v>
      </c>
      <c r="P16" s="744">
        <v>4350</v>
      </c>
      <c r="Q16" s="744">
        <v>4350</v>
      </c>
      <c r="R16" s="744">
        <v>4350</v>
      </c>
      <c r="S16" s="744">
        <v>4350</v>
      </c>
      <c r="T16" s="744">
        <v>4350</v>
      </c>
      <c r="U16" s="744">
        <v>4350</v>
      </c>
      <c r="V16" s="744">
        <v>4350</v>
      </c>
      <c r="W16" s="744">
        <v>4350</v>
      </c>
      <c r="X16" s="744">
        <v>4350</v>
      </c>
      <c r="Y16" s="744">
        <v>4350</v>
      </c>
      <c r="Z16" s="744">
        <v>4350</v>
      </c>
      <c r="AA16" s="744">
        <v>4350</v>
      </c>
      <c r="AB16" s="744">
        <v>4350</v>
      </c>
      <c r="AC16" s="744">
        <v>4350</v>
      </c>
      <c r="AD16" s="744">
        <v>4350</v>
      </c>
      <c r="AE16" s="744">
        <v>4350</v>
      </c>
      <c r="AF16" s="744">
        <v>4350</v>
      </c>
      <c r="AG16" s="744">
        <v>4350</v>
      </c>
      <c r="AH16" s="744">
        <v>4350</v>
      </c>
      <c r="AI16" s="744">
        <v>4350</v>
      </c>
      <c r="AJ16" s="744">
        <v>4350</v>
      </c>
      <c r="AK16" s="744">
        <v>4350</v>
      </c>
      <c r="AL16" s="744">
        <v>4350</v>
      </c>
      <c r="AM16" s="745">
        <f>AL16</f>
        <v>4350</v>
      </c>
      <c r="AN16" s="745">
        <f t="shared" ref="AN16:AO16" si="2">AM16</f>
        <v>4350</v>
      </c>
      <c r="AO16" s="745">
        <f t="shared" si="2"/>
        <v>4350</v>
      </c>
      <c r="AP16" s="745"/>
      <c r="AQ16" s="366"/>
      <c r="AR16" s="6" t="s">
        <v>202</v>
      </c>
      <c r="AS16" s="368">
        <f>INDEX('A&amp;R'!L29:P29,AS$10)</f>
        <v>0.05</v>
      </c>
    </row>
    <row r="17" spans="2:45" ht="11.25" customHeight="1">
      <c r="B17" s="740" t="s">
        <v>127</v>
      </c>
      <c r="C17" s="744">
        <v>-372.37678166666711</v>
      </c>
      <c r="D17" s="744">
        <v>-372.37678166666711</v>
      </c>
      <c r="E17" s="744">
        <v>-372.37678166666711</v>
      </c>
      <c r="F17" s="787">
        <v>-372.37678166666711</v>
      </c>
      <c r="G17" s="744">
        <v>-372.37678166666711</v>
      </c>
      <c r="H17" s="744">
        <v>-372.37678166666711</v>
      </c>
      <c r="I17" s="744">
        <v>-372.37678166666711</v>
      </c>
      <c r="J17" s="744">
        <v>-372.37678166666711</v>
      </c>
      <c r="K17" s="744">
        <v>-372.37678166666711</v>
      </c>
      <c r="L17" s="744">
        <v>-372.37678166666711</v>
      </c>
      <c r="M17" s="744">
        <v>-372.37678166666711</v>
      </c>
      <c r="N17" s="744">
        <f>-372.376781666667-598</f>
        <v>-970.37678166666706</v>
      </c>
      <c r="O17" s="744">
        <v>-2111.0809914166666</v>
      </c>
      <c r="P17" s="744">
        <v>-2111.0809914166666</v>
      </c>
      <c r="Q17" s="744">
        <v>-2111.0809914166666</v>
      </c>
      <c r="R17" s="744">
        <v>-2111.0809914166666</v>
      </c>
      <c r="S17" s="744">
        <v>-2111.0809914166666</v>
      </c>
      <c r="T17" s="744">
        <v>-2111.0809914166666</v>
      </c>
      <c r="U17" s="744">
        <v>-2111.0809914166666</v>
      </c>
      <c r="V17" s="744">
        <v>-2111.0809914166666</v>
      </c>
      <c r="W17" s="744">
        <v>-2111.0809914166666</v>
      </c>
      <c r="X17" s="744">
        <v>-2111.0809914166666</v>
      </c>
      <c r="Y17" s="744">
        <v>-2111.0809914166666</v>
      </c>
      <c r="Z17" s="744">
        <v>-2111.0809914166666</v>
      </c>
      <c r="AA17" s="744">
        <v>-6616.5994087500003</v>
      </c>
      <c r="AB17" s="744">
        <v>-6616.5994087500003</v>
      </c>
      <c r="AC17" s="744">
        <v>-6616.5994087500003</v>
      </c>
      <c r="AD17" s="744">
        <v>-6616.5994087500003</v>
      </c>
      <c r="AE17" s="744">
        <v>-6616.5994087500003</v>
      </c>
      <c r="AF17" s="744">
        <v>-6616.5994087500003</v>
      </c>
      <c r="AG17" s="744">
        <v>-6616.5994087500003</v>
      </c>
      <c r="AH17" s="744">
        <v>-6616.5994087500003</v>
      </c>
      <c r="AI17" s="744">
        <v>-6616.5994087500003</v>
      </c>
      <c r="AJ17" s="744">
        <v>-6616.5994087500003</v>
      </c>
      <c r="AK17" s="744">
        <v>-6616.5994087500003</v>
      </c>
      <c r="AL17" s="744">
        <v>-6616.5994087500003</v>
      </c>
      <c r="AM17" s="744">
        <f>AL17</f>
        <v>-6616.5994087500003</v>
      </c>
      <c r="AN17" s="744">
        <f t="shared" ref="AN17:AO17" si="3">AM17</f>
        <v>-6616.5994087500003</v>
      </c>
      <c r="AO17" s="744">
        <f t="shared" si="3"/>
        <v>-6616.5994087500003</v>
      </c>
      <c r="AP17" s="745"/>
      <c r="AQ17" s="366" t="s">
        <v>205</v>
      </c>
      <c r="AR17" s="6" t="str">
        <f>AR15</f>
        <v>Rate/m²</v>
      </c>
      <c r="AS17" s="367">
        <f ca="1">INDEX('A&amp;R'!L30:P30,AS$10)</f>
        <v>2.3675574966791673</v>
      </c>
    </row>
    <row r="18" spans="2:45" ht="11.25" customHeight="1">
      <c r="B18" s="740" t="s">
        <v>128</v>
      </c>
      <c r="C18" s="747">
        <f>SUM(C13:C17)</f>
        <v>459709.27862233337</v>
      </c>
      <c r="D18" s="747">
        <f t="shared" ref="D18:AO18" si="4">SUM(D13:D17)</f>
        <v>459709.27862233337</v>
      </c>
      <c r="E18" s="747">
        <f t="shared" si="4"/>
        <v>459709.27862233337</v>
      </c>
      <c r="F18" s="788">
        <f t="shared" si="4"/>
        <v>474934.08152633335</v>
      </c>
      <c r="G18" s="747">
        <f t="shared" si="4"/>
        <v>475185.12569333339</v>
      </c>
      <c r="H18" s="747">
        <f t="shared" si="4"/>
        <v>470643.11902633338</v>
      </c>
      <c r="I18" s="747">
        <f t="shared" si="4"/>
        <v>470643.11902633338</v>
      </c>
      <c r="J18" s="747">
        <f t="shared" si="4"/>
        <v>470643.11902633338</v>
      </c>
      <c r="K18" s="747">
        <f t="shared" si="4"/>
        <v>470643.11902633338</v>
      </c>
      <c r="L18" s="747">
        <f t="shared" si="4"/>
        <v>470643.11902633338</v>
      </c>
      <c r="M18" s="747">
        <f t="shared" si="4"/>
        <v>470643.11902633338</v>
      </c>
      <c r="N18" s="747">
        <f t="shared" si="4"/>
        <v>475111.71340533334</v>
      </c>
      <c r="O18" s="747">
        <f t="shared" si="4"/>
        <v>474617.71280949999</v>
      </c>
      <c r="P18" s="747">
        <f t="shared" si="4"/>
        <v>474617.71280949999</v>
      </c>
      <c r="Q18" s="747">
        <f t="shared" si="4"/>
        <v>474617.71280949999</v>
      </c>
      <c r="R18" s="747">
        <f t="shared" si="4"/>
        <v>489965.27275466494</v>
      </c>
      <c r="S18" s="747">
        <f t="shared" si="4"/>
        <v>489965.27275466494</v>
      </c>
      <c r="T18" s="747">
        <f t="shared" si="4"/>
        <v>489965.27275466494</v>
      </c>
      <c r="U18" s="747">
        <f t="shared" si="4"/>
        <v>489965.27275466494</v>
      </c>
      <c r="V18" s="747">
        <f t="shared" si="4"/>
        <v>489965.27275466494</v>
      </c>
      <c r="W18" s="747">
        <f t="shared" si="4"/>
        <v>489965.27275466494</v>
      </c>
      <c r="X18" s="747">
        <f t="shared" si="4"/>
        <v>489965.27275466494</v>
      </c>
      <c r="Y18" s="747">
        <f t="shared" si="4"/>
        <v>489965.27275466494</v>
      </c>
      <c r="Z18" s="747">
        <f t="shared" si="4"/>
        <v>489965.27275466494</v>
      </c>
      <c r="AA18" s="747">
        <f t="shared" si="4"/>
        <v>481929.4565485816</v>
      </c>
      <c r="AB18" s="747">
        <f t="shared" si="4"/>
        <v>481929.4565485816</v>
      </c>
      <c r="AC18" s="747">
        <f t="shared" si="4"/>
        <v>481929.4565485816</v>
      </c>
      <c r="AD18" s="747">
        <f t="shared" si="4"/>
        <v>497814.18109182734</v>
      </c>
      <c r="AE18" s="747">
        <f t="shared" si="4"/>
        <v>497814.18109182734</v>
      </c>
      <c r="AF18" s="747">
        <f t="shared" si="4"/>
        <v>497814.18109182734</v>
      </c>
      <c r="AG18" s="747">
        <f t="shared" si="4"/>
        <v>497814.18109182734</v>
      </c>
      <c r="AH18" s="747">
        <f t="shared" si="4"/>
        <v>497814.18109182734</v>
      </c>
      <c r="AI18" s="747">
        <f t="shared" si="4"/>
        <v>497814.18109182734</v>
      </c>
      <c r="AJ18" s="747">
        <f t="shared" si="4"/>
        <v>497814.18109182734</v>
      </c>
      <c r="AK18" s="747">
        <f t="shared" si="4"/>
        <v>497814.18109182734</v>
      </c>
      <c r="AL18" s="747">
        <f t="shared" si="4"/>
        <v>497814.18109182734</v>
      </c>
      <c r="AM18" s="747">
        <f t="shared" si="4"/>
        <v>498248.00079694769</v>
      </c>
      <c r="AN18" s="747">
        <f t="shared" si="4"/>
        <v>498248.00079694769</v>
      </c>
      <c r="AO18" s="747">
        <f t="shared" si="4"/>
        <v>498248.00079694769</v>
      </c>
      <c r="AP18" s="752"/>
      <c r="AQ18" s="366"/>
      <c r="AR18" s="6" t="str">
        <f>AR16</f>
        <v>Inc Rate</v>
      </c>
      <c r="AS18" s="368">
        <f>INDEX('A&amp;R'!L31:P31,AS$10)</f>
        <v>0.1</v>
      </c>
    </row>
    <row r="19" spans="2:45" ht="12.75" customHeight="1">
      <c r="C19" s="748"/>
      <c r="D19" s="748"/>
      <c r="E19" s="748"/>
      <c r="F19" s="789"/>
      <c r="G19" s="748"/>
      <c r="H19" s="748"/>
      <c r="I19" s="748"/>
      <c r="J19" s="748"/>
      <c r="K19" s="748"/>
      <c r="L19" s="748"/>
      <c r="M19" s="748"/>
      <c r="N19" s="748"/>
      <c r="O19" s="748"/>
      <c r="P19" s="748"/>
      <c r="Q19" s="748"/>
      <c r="R19" s="748"/>
      <c r="S19" s="748"/>
      <c r="T19" s="748"/>
      <c r="U19" s="748"/>
      <c r="V19" s="748"/>
      <c r="W19" s="748"/>
      <c r="X19" s="748"/>
      <c r="Y19" s="748"/>
      <c r="Z19" s="748"/>
      <c r="AA19" s="748"/>
      <c r="AB19" s="748"/>
      <c r="AC19" s="748"/>
      <c r="AD19" s="748"/>
      <c r="AE19" s="748"/>
      <c r="AF19" s="748"/>
      <c r="AG19" s="748"/>
      <c r="AH19" s="748"/>
      <c r="AI19" s="748"/>
      <c r="AJ19" s="748"/>
      <c r="AK19" s="748"/>
      <c r="AL19" s="748"/>
      <c r="AP19" s="767"/>
      <c r="AQ19" s="366" t="s">
        <v>206</v>
      </c>
      <c r="AR19" s="6" t="str">
        <f>AR17</f>
        <v>Rate/m²</v>
      </c>
      <c r="AS19" s="367">
        <f ca="1">INDEX('A&amp;R'!L32:P32,AS$10)</f>
        <v>58.516907107034726</v>
      </c>
    </row>
    <row r="20" spans="2:45" ht="11.25" customHeight="1">
      <c r="B20" s="740" t="s">
        <v>129</v>
      </c>
      <c r="C20" s="748"/>
      <c r="D20" s="748"/>
      <c r="E20" s="748"/>
      <c r="F20" s="789"/>
      <c r="G20" s="748"/>
      <c r="H20" s="748"/>
      <c r="I20" s="748"/>
      <c r="J20" s="748"/>
      <c r="K20" s="748"/>
      <c r="L20" s="748"/>
      <c r="M20" s="748"/>
      <c r="N20" s="763"/>
      <c r="O20" s="763"/>
      <c r="P20" s="748"/>
      <c r="Q20" s="748"/>
      <c r="R20" s="748"/>
      <c r="S20" s="748"/>
      <c r="T20" s="748"/>
      <c r="U20" s="748"/>
      <c r="V20" s="748"/>
      <c r="W20" s="748"/>
      <c r="X20" s="748"/>
      <c r="Y20" s="748"/>
      <c r="Z20" s="748"/>
      <c r="AA20" s="764">
        <f>AA21/Z21-1</f>
        <v>5.2995336759678935E-2</v>
      </c>
      <c r="AB20" s="748"/>
      <c r="AC20" s="748"/>
      <c r="AD20" s="748"/>
      <c r="AE20" s="748"/>
      <c r="AF20" s="748"/>
      <c r="AG20" s="748"/>
      <c r="AH20" s="748"/>
      <c r="AI20" s="748"/>
      <c r="AJ20" s="748"/>
      <c r="AK20" s="748"/>
      <c r="AL20" s="748"/>
      <c r="AP20" s="767"/>
      <c r="AQ20" s="366" t="s">
        <v>207</v>
      </c>
      <c r="AR20" s="6" t="str">
        <f>AR18</f>
        <v>Inc Rate</v>
      </c>
      <c r="AS20" s="368">
        <f>INDEX('A&amp;R'!L33:P33,AS$10)</f>
        <v>0.03</v>
      </c>
    </row>
    <row r="21" spans="2:45" ht="11.25" customHeight="1">
      <c r="B21" s="740" t="s">
        <v>130</v>
      </c>
      <c r="C21" s="744">
        <v>5779.3726900000001</v>
      </c>
      <c r="D21" s="744">
        <v>5779.3726900000001</v>
      </c>
      <c r="E21" s="744">
        <v>5779.3726900000001</v>
      </c>
      <c r="F21" s="787">
        <v>5779.3726900000001</v>
      </c>
      <c r="G21" s="744">
        <v>5779.3726900000001</v>
      </c>
      <c r="H21" s="744">
        <v>5779.3726900000001</v>
      </c>
      <c r="I21" s="744">
        <v>5779.3726900000001</v>
      </c>
      <c r="J21" s="744">
        <v>5779.3726900000001</v>
      </c>
      <c r="K21" s="744">
        <v>5779.3726900000001</v>
      </c>
      <c r="L21" s="744">
        <v>5779.3726900000001</v>
      </c>
      <c r="M21" s="744">
        <v>5779.3726900000001</v>
      </c>
      <c r="N21" s="744">
        <v>5779.3726900000001</v>
      </c>
      <c r="O21" s="744">
        <v>6362.3114415833334</v>
      </c>
      <c r="P21" s="744">
        <v>6362.3114415833334</v>
      </c>
      <c r="Q21" s="744">
        <v>6362.3114415833334</v>
      </c>
      <c r="R21" s="744">
        <v>6362.3114415833334</v>
      </c>
      <c r="S21" s="744">
        <v>6362.3114415833334</v>
      </c>
      <c r="T21" s="744">
        <v>6362.3114415833334</v>
      </c>
      <c r="U21" s="744">
        <v>6362.3114415833334</v>
      </c>
      <c r="V21" s="744">
        <v>6362.3114415833334</v>
      </c>
      <c r="W21" s="744">
        <v>6362.3114415833334</v>
      </c>
      <c r="X21" s="744">
        <v>6362.3114415833334</v>
      </c>
      <c r="Y21" s="744">
        <v>6362.3114415833334</v>
      </c>
      <c r="Z21" s="744">
        <v>6362.3114415833334</v>
      </c>
      <c r="AA21" s="744">
        <v>6699.4842790000002</v>
      </c>
      <c r="AB21" s="744">
        <v>6699.4842790000002</v>
      </c>
      <c r="AC21" s="744">
        <v>6699.4842790000002</v>
      </c>
      <c r="AD21" s="744">
        <v>6699.4842790000002</v>
      </c>
      <c r="AE21" s="744">
        <v>6699.4842790000002</v>
      </c>
      <c r="AF21" s="744">
        <v>6699.4842790000002</v>
      </c>
      <c r="AG21" s="744">
        <v>6699.4842790000002</v>
      </c>
      <c r="AH21" s="744">
        <v>6699.4842790000002</v>
      </c>
      <c r="AI21" s="744">
        <v>6699.4842790000002</v>
      </c>
      <c r="AJ21" s="744">
        <v>6699.4842790000002</v>
      </c>
      <c r="AK21" s="744">
        <v>6699.4842790000002</v>
      </c>
      <c r="AL21" s="744">
        <v>6699.4842790000002</v>
      </c>
      <c r="AM21" s="745">
        <f>AL21*(1+AA20)</f>
        <v>7054.5257044817799</v>
      </c>
      <c r="AN21" s="745">
        <f t="shared" ref="AN21:AO21" si="5">AM21</f>
        <v>7054.5257044817799</v>
      </c>
      <c r="AO21" s="745">
        <f t="shared" si="5"/>
        <v>7054.5257044817799</v>
      </c>
      <c r="AP21" s="745"/>
      <c r="AQ21" s="311"/>
      <c r="AR21" s="311"/>
      <c r="AS21" s="311"/>
    </row>
    <row r="22" spans="2:45" ht="11.25" customHeight="1">
      <c r="B22" s="740" t="s">
        <v>131</v>
      </c>
      <c r="C22" s="747">
        <f>+C21</f>
        <v>5779.3726900000001</v>
      </c>
      <c r="D22" s="747">
        <f t="shared" ref="D22:AO22" si="6">+D21</f>
        <v>5779.3726900000001</v>
      </c>
      <c r="E22" s="747">
        <f t="shared" si="6"/>
        <v>5779.3726900000001</v>
      </c>
      <c r="F22" s="788">
        <f t="shared" si="6"/>
        <v>5779.3726900000001</v>
      </c>
      <c r="G22" s="747">
        <f t="shared" si="6"/>
        <v>5779.3726900000001</v>
      </c>
      <c r="H22" s="747">
        <f t="shared" si="6"/>
        <v>5779.3726900000001</v>
      </c>
      <c r="I22" s="747">
        <f t="shared" si="6"/>
        <v>5779.3726900000001</v>
      </c>
      <c r="J22" s="747">
        <f t="shared" si="6"/>
        <v>5779.3726900000001</v>
      </c>
      <c r="K22" s="747">
        <f t="shared" si="6"/>
        <v>5779.3726900000001</v>
      </c>
      <c r="L22" s="747">
        <f t="shared" si="6"/>
        <v>5779.3726900000001</v>
      </c>
      <c r="M22" s="747">
        <f t="shared" si="6"/>
        <v>5779.3726900000001</v>
      </c>
      <c r="N22" s="747">
        <f t="shared" si="6"/>
        <v>5779.3726900000001</v>
      </c>
      <c r="O22" s="747">
        <f t="shared" si="6"/>
        <v>6362.3114415833334</v>
      </c>
      <c r="P22" s="747">
        <f t="shared" si="6"/>
        <v>6362.3114415833334</v>
      </c>
      <c r="Q22" s="747">
        <f t="shared" si="6"/>
        <v>6362.3114415833334</v>
      </c>
      <c r="R22" s="747">
        <f t="shared" si="6"/>
        <v>6362.3114415833334</v>
      </c>
      <c r="S22" s="747">
        <f t="shared" si="6"/>
        <v>6362.3114415833334</v>
      </c>
      <c r="T22" s="747">
        <f t="shared" si="6"/>
        <v>6362.3114415833334</v>
      </c>
      <c r="U22" s="747">
        <f t="shared" si="6"/>
        <v>6362.3114415833334</v>
      </c>
      <c r="V22" s="747">
        <f t="shared" si="6"/>
        <v>6362.3114415833334</v>
      </c>
      <c r="W22" s="747">
        <f t="shared" si="6"/>
        <v>6362.3114415833334</v>
      </c>
      <c r="X22" s="747">
        <f t="shared" si="6"/>
        <v>6362.3114415833334</v>
      </c>
      <c r="Y22" s="747">
        <f t="shared" si="6"/>
        <v>6362.3114415833334</v>
      </c>
      <c r="Z22" s="747">
        <f t="shared" si="6"/>
        <v>6362.3114415833334</v>
      </c>
      <c r="AA22" s="747">
        <f t="shared" si="6"/>
        <v>6699.4842790000002</v>
      </c>
      <c r="AB22" s="747">
        <f t="shared" si="6"/>
        <v>6699.4842790000002</v>
      </c>
      <c r="AC22" s="747">
        <f t="shared" si="6"/>
        <v>6699.4842790000002</v>
      </c>
      <c r="AD22" s="747">
        <f t="shared" si="6"/>
        <v>6699.4842790000002</v>
      </c>
      <c r="AE22" s="747">
        <f t="shared" si="6"/>
        <v>6699.4842790000002</v>
      </c>
      <c r="AF22" s="747">
        <f t="shared" si="6"/>
        <v>6699.4842790000002</v>
      </c>
      <c r="AG22" s="747">
        <f t="shared" si="6"/>
        <v>6699.4842790000002</v>
      </c>
      <c r="AH22" s="747">
        <f t="shared" si="6"/>
        <v>6699.4842790000002</v>
      </c>
      <c r="AI22" s="747">
        <f t="shared" si="6"/>
        <v>6699.4842790000002</v>
      </c>
      <c r="AJ22" s="747">
        <f t="shared" si="6"/>
        <v>6699.4842790000002</v>
      </c>
      <c r="AK22" s="747">
        <f t="shared" si="6"/>
        <v>6699.4842790000002</v>
      </c>
      <c r="AL22" s="747">
        <f t="shared" si="6"/>
        <v>6699.4842790000002</v>
      </c>
      <c r="AM22" s="747">
        <f t="shared" si="6"/>
        <v>7054.5257044817799</v>
      </c>
      <c r="AN22" s="747">
        <f t="shared" si="6"/>
        <v>7054.5257044817799</v>
      </c>
      <c r="AO22" s="747">
        <f t="shared" si="6"/>
        <v>7054.5257044817799</v>
      </c>
      <c r="AP22" s="752"/>
      <c r="AQ22" s="311"/>
      <c r="AR22" s="311"/>
      <c r="AS22" s="311"/>
    </row>
    <row r="23" spans="2:45" ht="12.75" customHeight="1">
      <c r="C23" s="748"/>
      <c r="D23" s="748"/>
      <c r="E23" s="748"/>
      <c r="F23" s="789"/>
      <c r="G23" s="748"/>
      <c r="H23" s="748"/>
      <c r="I23" s="748"/>
      <c r="J23" s="748"/>
      <c r="K23" s="748"/>
      <c r="L23" s="748"/>
      <c r="M23" s="748"/>
      <c r="N23" s="748"/>
      <c r="O23" s="748"/>
      <c r="P23" s="748"/>
      <c r="Q23" s="748"/>
      <c r="R23" s="748"/>
      <c r="S23" s="748"/>
      <c r="T23" s="748"/>
      <c r="U23" s="748"/>
      <c r="V23" s="748"/>
      <c r="W23" s="748"/>
      <c r="X23" s="748"/>
      <c r="Y23" s="748"/>
      <c r="Z23" s="748"/>
      <c r="AA23" s="748"/>
      <c r="AB23" s="748"/>
      <c r="AC23" s="748"/>
      <c r="AD23" s="748"/>
      <c r="AE23" s="748"/>
      <c r="AF23" s="748"/>
      <c r="AG23" s="748"/>
      <c r="AH23" s="748"/>
      <c r="AI23" s="748"/>
      <c r="AJ23" s="748"/>
      <c r="AK23" s="748"/>
      <c r="AL23" s="748"/>
      <c r="AP23" s="767"/>
      <c r="AQ23" s="311"/>
      <c r="AR23" s="311"/>
      <c r="AS23" s="311"/>
    </row>
    <row r="24" spans="2:45" ht="11.25" customHeight="1">
      <c r="B24" s="740" t="s">
        <v>132</v>
      </c>
      <c r="C24" s="749">
        <f t="shared" ref="C24:AO24" si="7">+C22+C18</f>
        <v>465488.65131233336</v>
      </c>
      <c r="D24" s="749">
        <f t="shared" si="7"/>
        <v>465488.65131233336</v>
      </c>
      <c r="E24" s="749">
        <f t="shared" si="7"/>
        <v>465488.65131233336</v>
      </c>
      <c r="F24" s="790">
        <f t="shared" si="7"/>
        <v>480713.45421633334</v>
      </c>
      <c r="G24" s="749">
        <f t="shared" si="7"/>
        <v>480964.49838333338</v>
      </c>
      <c r="H24" s="749">
        <f t="shared" si="7"/>
        <v>476422.49171633337</v>
      </c>
      <c r="I24" s="749">
        <f t="shared" si="7"/>
        <v>476422.49171633337</v>
      </c>
      <c r="J24" s="749">
        <f t="shared" si="7"/>
        <v>476422.49171633337</v>
      </c>
      <c r="K24" s="749">
        <f t="shared" si="7"/>
        <v>476422.49171633337</v>
      </c>
      <c r="L24" s="749">
        <f t="shared" si="7"/>
        <v>476422.49171633337</v>
      </c>
      <c r="M24" s="749">
        <f t="shared" si="7"/>
        <v>476422.49171633337</v>
      </c>
      <c r="N24" s="749">
        <f t="shared" si="7"/>
        <v>480891.08609533333</v>
      </c>
      <c r="O24" s="749">
        <f t="shared" si="7"/>
        <v>480980.02425108332</v>
      </c>
      <c r="P24" s="749">
        <f t="shared" si="7"/>
        <v>480980.02425108332</v>
      </c>
      <c r="Q24" s="749">
        <f t="shared" si="7"/>
        <v>480980.02425108332</v>
      </c>
      <c r="R24" s="749">
        <f t="shared" si="7"/>
        <v>496327.58419624827</v>
      </c>
      <c r="S24" s="749">
        <f t="shared" si="7"/>
        <v>496327.58419624827</v>
      </c>
      <c r="T24" s="749">
        <f t="shared" si="7"/>
        <v>496327.58419624827</v>
      </c>
      <c r="U24" s="749">
        <f t="shared" si="7"/>
        <v>496327.58419624827</v>
      </c>
      <c r="V24" s="749">
        <f t="shared" si="7"/>
        <v>496327.58419624827</v>
      </c>
      <c r="W24" s="749">
        <f t="shared" si="7"/>
        <v>496327.58419624827</v>
      </c>
      <c r="X24" s="749">
        <f t="shared" si="7"/>
        <v>496327.58419624827</v>
      </c>
      <c r="Y24" s="749">
        <f t="shared" si="7"/>
        <v>496327.58419624827</v>
      </c>
      <c r="Z24" s="749">
        <f t="shared" si="7"/>
        <v>496327.58419624827</v>
      </c>
      <c r="AA24" s="749">
        <f t="shared" si="7"/>
        <v>488628.94082758162</v>
      </c>
      <c r="AB24" s="749">
        <f t="shared" si="7"/>
        <v>488628.94082758162</v>
      </c>
      <c r="AC24" s="749">
        <f t="shared" si="7"/>
        <v>488628.94082758162</v>
      </c>
      <c r="AD24" s="749">
        <f t="shared" si="7"/>
        <v>504513.66537082737</v>
      </c>
      <c r="AE24" s="749">
        <f t="shared" si="7"/>
        <v>504513.66537082737</v>
      </c>
      <c r="AF24" s="749">
        <f t="shared" si="7"/>
        <v>504513.66537082737</v>
      </c>
      <c r="AG24" s="749">
        <f t="shared" si="7"/>
        <v>504513.66537082737</v>
      </c>
      <c r="AH24" s="749">
        <f t="shared" si="7"/>
        <v>504513.66537082737</v>
      </c>
      <c r="AI24" s="749">
        <f t="shared" si="7"/>
        <v>504513.66537082737</v>
      </c>
      <c r="AJ24" s="749">
        <f t="shared" si="7"/>
        <v>504513.66537082737</v>
      </c>
      <c r="AK24" s="749">
        <f t="shared" si="7"/>
        <v>504513.66537082737</v>
      </c>
      <c r="AL24" s="749">
        <f t="shared" si="7"/>
        <v>504513.66537082737</v>
      </c>
      <c r="AM24" s="749">
        <f t="shared" si="7"/>
        <v>505302.52650142944</v>
      </c>
      <c r="AN24" s="749">
        <f t="shared" si="7"/>
        <v>505302.52650142944</v>
      </c>
      <c r="AO24" s="749">
        <f t="shared" si="7"/>
        <v>505302.52650142944</v>
      </c>
      <c r="AP24" s="752"/>
    </row>
    <row r="25" spans="2:45" ht="12.75" customHeight="1">
      <c r="C25" s="748"/>
      <c r="D25" s="748"/>
      <c r="E25" s="748"/>
      <c r="F25" s="789"/>
      <c r="G25" s="748"/>
      <c r="H25" s="748"/>
      <c r="I25" s="748"/>
      <c r="J25" s="748"/>
      <c r="K25" s="748"/>
      <c r="L25" s="748"/>
      <c r="M25" s="748"/>
      <c r="N25" s="748"/>
      <c r="O25" s="748"/>
      <c r="P25" s="748"/>
      <c r="Q25" s="748"/>
      <c r="R25" s="748"/>
      <c r="S25" s="748"/>
      <c r="T25" s="748"/>
      <c r="U25" s="748"/>
      <c r="V25" s="748"/>
      <c r="W25" s="748"/>
      <c r="X25" s="748"/>
      <c r="Y25" s="748"/>
      <c r="Z25" s="748"/>
      <c r="AA25" s="748"/>
      <c r="AB25" s="748"/>
      <c r="AC25" s="748"/>
      <c r="AD25" s="748"/>
      <c r="AE25" s="748"/>
      <c r="AF25" s="748"/>
      <c r="AG25" s="748"/>
      <c r="AH25" s="748"/>
      <c r="AI25" s="748"/>
      <c r="AJ25" s="748"/>
      <c r="AK25" s="748"/>
      <c r="AL25" s="748"/>
      <c r="AP25" s="767"/>
    </row>
    <row r="26" spans="2:45" ht="11.25" customHeight="1">
      <c r="B26" s="740" t="s">
        <v>0</v>
      </c>
      <c r="C26" s="748"/>
      <c r="D26" s="748"/>
      <c r="E26" s="748"/>
      <c r="F26" s="748"/>
      <c r="G26" s="748"/>
      <c r="H26" s="748"/>
      <c r="I26" s="748"/>
      <c r="J26" s="748"/>
      <c r="K26" s="748"/>
      <c r="L26" s="748"/>
      <c r="M26" s="748"/>
      <c r="N26" s="748"/>
      <c r="O26" s="748"/>
      <c r="P26" s="748"/>
      <c r="Q26" s="748"/>
      <c r="R26" s="748"/>
      <c r="S26" s="748"/>
      <c r="T26" s="748"/>
      <c r="U26" s="748"/>
      <c r="V26" s="748"/>
      <c r="W26" s="748"/>
      <c r="X26" s="748"/>
      <c r="Y26" s="748"/>
      <c r="Z26" s="748"/>
      <c r="AA26" s="748"/>
      <c r="AB26" s="748"/>
      <c r="AC26" s="748"/>
      <c r="AD26" s="748"/>
      <c r="AE26" s="748"/>
      <c r="AF26" s="748"/>
      <c r="AG26" s="748"/>
      <c r="AH26" s="748"/>
      <c r="AI26" s="748"/>
      <c r="AJ26" s="748"/>
      <c r="AK26" s="748"/>
      <c r="AL26" s="748"/>
      <c r="AP26" s="767"/>
    </row>
    <row r="27" spans="2:45" ht="11.25" customHeight="1">
      <c r="B27" s="740" t="s">
        <v>133</v>
      </c>
      <c r="C27" s="748"/>
      <c r="D27" s="748"/>
      <c r="E27" s="748"/>
      <c r="F27" s="748"/>
      <c r="G27" s="748"/>
      <c r="H27" s="748"/>
      <c r="I27" s="748"/>
      <c r="J27" s="748"/>
      <c r="K27" s="748"/>
      <c r="L27" s="748"/>
      <c r="M27" s="748"/>
      <c r="N27" s="748"/>
      <c r="O27" s="748"/>
      <c r="P27" s="748"/>
      <c r="Q27" s="748"/>
      <c r="R27" s="748"/>
      <c r="S27" s="748"/>
      <c r="T27" s="748"/>
      <c r="U27" s="748"/>
      <c r="V27" s="748"/>
      <c r="W27" s="748"/>
      <c r="X27" s="748"/>
      <c r="Y27" s="748"/>
      <c r="Z27" s="748"/>
      <c r="AB27" s="748"/>
      <c r="AC27" s="748"/>
      <c r="AD27" s="748"/>
      <c r="AE27" s="748"/>
      <c r="AF27" s="748"/>
      <c r="AG27" s="748"/>
      <c r="AH27" s="748"/>
      <c r="AI27" s="748"/>
      <c r="AJ27" s="748"/>
      <c r="AK27" s="748"/>
      <c r="AL27" s="748"/>
      <c r="AP27" s="767"/>
    </row>
    <row r="28" spans="2:45" ht="11.25" customHeight="1">
      <c r="B28" s="740" t="s">
        <v>134</v>
      </c>
      <c r="C28" s="744">
        <v>5325.33</v>
      </c>
      <c r="D28" s="744">
        <v>5325.33</v>
      </c>
      <c r="E28" s="744">
        <v>5325.33</v>
      </c>
      <c r="F28" s="744">
        <v>5325.33</v>
      </c>
      <c r="G28" s="744">
        <v>5325.33</v>
      </c>
      <c r="H28" s="744">
        <v>5325.33</v>
      </c>
      <c r="I28" s="744">
        <v>5325.33</v>
      </c>
      <c r="J28" s="744">
        <v>5325.33</v>
      </c>
      <c r="K28" s="744">
        <v>5325.33</v>
      </c>
      <c r="L28" s="744">
        <v>5325.33</v>
      </c>
      <c r="M28" s="744">
        <v>5325.33</v>
      </c>
      <c r="N28" s="744">
        <v>5325.33</v>
      </c>
      <c r="O28" s="744">
        <v>5591.5962460833334</v>
      </c>
      <c r="P28" s="744">
        <v>5591.5962460833334</v>
      </c>
      <c r="Q28" s="744">
        <v>5591.5962460833334</v>
      </c>
      <c r="R28" s="744">
        <v>5591.5962460833334</v>
      </c>
      <c r="S28" s="744">
        <v>5591.5962460833334</v>
      </c>
      <c r="T28" s="744">
        <v>5591.5962460833334</v>
      </c>
      <c r="U28" s="744">
        <v>5591.5962460833334</v>
      </c>
      <c r="V28" s="744">
        <v>5591.5962460833334</v>
      </c>
      <c r="W28" s="744">
        <v>5591.5962460833334</v>
      </c>
      <c r="X28" s="744">
        <v>5591.5962460833334</v>
      </c>
      <c r="Y28" s="744">
        <v>5591.5962460833334</v>
      </c>
      <c r="Z28" s="744">
        <v>5591.5962460833334</v>
      </c>
      <c r="AA28" s="744">
        <v>5871.1761218333331</v>
      </c>
      <c r="AB28" s="744">
        <v>5871.1761218333331</v>
      </c>
      <c r="AC28" s="744">
        <v>5871.1761218333331</v>
      </c>
      <c r="AD28" s="744">
        <v>5871.1761218333331</v>
      </c>
      <c r="AE28" s="744">
        <v>5871.1761218333331</v>
      </c>
      <c r="AF28" s="744">
        <v>5871.1761218333331</v>
      </c>
      <c r="AG28" s="744">
        <v>5871.1761218333331</v>
      </c>
      <c r="AH28" s="744">
        <v>5871.1761218333331</v>
      </c>
      <c r="AI28" s="744">
        <v>5871.1761218333331</v>
      </c>
      <c r="AJ28" s="744">
        <v>5871.1761218333331</v>
      </c>
      <c r="AK28" s="744">
        <v>5871.1761218333331</v>
      </c>
      <c r="AL28" s="744">
        <v>5871.1761218333331</v>
      </c>
      <c r="AM28" s="745">
        <f>AL28*(1+AP28)</f>
        <v>6164.7349945431251</v>
      </c>
      <c r="AN28" s="745">
        <f>AM28</f>
        <v>6164.7349945431251</v>
      </c>
      <c r="AO28" s="745">
        <f>AN28</f>
        <v>6164.7349945431251</v>
      </c>
      <c r="AP28" s="768">
        <f>AA28/Z28-1</f>
        <v>5.000001134664056E-2</v>
      </c>
    </row>
    <row r="29" spans="2:45" ht="11.25" customHeight="1">
      <c r="B29" s="740" t="s">
        <v>135</v>
      </c>
      <c r="C29" s="744">
        <v>318.52</v>
      </c>
      <c r="D29" s="744">
        <v>318.52</v>
      </c>
      <c r="E29" s="744">
        <v>318.52</v>
      </c>
      <c r="F29" s="744">
        <v>318.52</v>
      </c>
      <c r="G29" s="744">
        <v>318.52</v>
      </c>
      <c r="H29" s="744">
        <v>318.52</v>
      </c>
      <c r="I29" s="744">
        <v>318.52</v>
      </c>
      <c r="J29" s="744">
        <v>318.52</v>
      </c>
      <c r="K29" s="744">
        <v>318.52</v>
      </c>
      <c r="L29" s="744">
        <v>318.52</v>
      </c>
      <c r="M29" s="744">
        <v>318.52</v>
      </c>
      <c r="N29" s="744">
        <v>318.52</v>
      </c>
      <c r="O29" s="744">
        <v>334.44598483333334</v>
      </c>
      <c r="P29" s="744">
        <v>334.44598483333334</v>
      </c>
      <c r="Q29" s="744">
        <v>334.44598483333334</v>
      </c>
      <c r="R29" s="744">
        <v>334.44598483333334</v>
      </c>
      <c r="S29" s="744">
        <v>334.44598483333334</v>
      </c>
      <c r="T29" s="744">
        <v>334.44598483333334</v>
      </c>
      <c r="U29" s="744">
        <v>334.44598483333334</v>
      </c>
      <c r="V29" s="744">
        <v>334.44598483333334</v>
      </c>
      <c r="W29" s="744">
        <v>334.44598483333334</v>
      </c>
      <c r="X29" s="744">
        <v>334.44598483333334</v>
      </c>
      <c r="Y29" s="744">
        <v>334.44598483333334</v>
      </c>
      <c r="Z29" s="744">
        <v>334.44598483333334</v>
      </c>
      <c r="AA29" s="744">
        <v>351.16828783333335</v>
      </c>
      <c r="AB29" s="744">
        <v>351.16828783333335</v>
      </c>
      <c r="AC29" s="744">
        <v>351.16828783333335</v>
      </c>
      <c r="AD29" s="744">
        <v>351.16828783333335</v>
      </c>
      <c r="AE29" s="744">
        <v>351.16828783333335</v>
      </c>
      <c r="AF29" s="744">
        <v>351.16828783333335</v>
      </c>
      <c r="AG29" s="744">
        <v>351.16828783333335</v>
      </c>
      <c r="AH29" s="744">
        <v>351.16828783333335</v>
      </c>
      <c r="AI29" s="744">
        <v>351.16828783333335</v>
      </c>
      <c r="AJ29" s="744">
        <v>351.16828783333335</v>
      </c>
      <c r="AK29" s="744">
        <v>351.16828783333335</v>
      </c>
      <c r="AL29" s="744">
        <v>351.16828783333335</v>
      </c>
      <c r="AM29" s="745">
        <f t="shared" ref="AM29:AM31" si="8">AL29*(1+AP29)</f>
        <v>368.7267061712501</v>
      </c>
      <c r="AN29" s="745">
        <f t="shared" ref="AN29:AO29" si="9">AM29</f>
        <v>368.7267061712501</v>
      </c>
      <c r="AO29" s="745">
        <f t="shared" si="9"/>
        <v>368.7267061712501</v>
      </c>
      <c r="AP29" s="768">
        <f t="shared" ref="AP29:AP31" si="10">AA29/Z29-1</f>
        <v>5.0000011237489872E-2</v>
      </c>
    </row>
    <row r="30" spans="2:45" ht="11.25" customHeight="1">
      <c r="B30" s="740" t="s">
        <v>136</v>
      </c>
      <c r="C30" s="744">
        <v>4857.42</v>
      </c>
      <c r="D30" s="744">
        <v>4857.42</v>
      </c>
      <c r="E30" s="744">
        <v>4857.42</v>
      </c>
      <c r="F30" s="744">
        <v>4857.42</v>
      </c>
      <c r="G30" s="744">
        <v>4857.42</v>
      </c>
      <c r="H30" s="744">
        <v>4857.42</v>
      </c>
      <c r="I30" s="744">
        <v>4857.42</v>
      </c>
      <c r="J30" s="744">
        <v>4857.42</v>
      </c>
      <c r="K30" s="744">
        <v>4857.42</v>
      </c>
      <c r="L30" s="744">
        <v>4857.42</v>
      </c>
      <c r="M30" s="744">
        <v>4857.42</v>
      </c>
      <c r="N30" s="744">
        <v>4857.42</v>
      </c>
      <c r="O30" s="744">
        <v>5100.2907684166667</v>
      </c>
      <c r="P30" s="744">
        <v>5100.2907684166667</v>
      </c>
      <c r="Q30" s="744">
        <v>5100.2907684166667</v>
      </c>
      <c r="R30" s="744">
        <v>5100.2907684166667</v>
      </c>
      <c r="S30" s="744">
        <v>5100.2907684166667</v>
      </c>
      <c r="T30" s="744">
        <v>5100.2907684166667</v>
      </c>
      <c r="U30" s="744">
        <v>5100.2907684166667</v>
      </c>
      <c r="V30" s="744">
        <v>5100.2907684166667</v>
      </c>
      <c r="W30" s="744">
        <v>5100.2907684166667</v>
      </c>
      <c r="X30" s="744">
        <v>5100.2907684166667</v>
      </c>
      <c r="Y30" s="744">
        <v>5100.2907684166667</v>
      </c>
      <c r="Z30" s="744">
        <v>5100.2907684166667</v>
      </c>
      <c r="AA30" s="744">
        <v>5355.3053646666667</v>
      </c>
      <c r="AB30" s="744">
        <v>5355.3053646666667</v>
      </c>
      <c r="AC30" s="744">
        <v>5355.3053646666667</v>
      </c>
      <c r="AD30" s="744">
        <v>5355.3053646666667</v>
      </c>
      <c r="AE30" s="744">
        <v>5355.3053646666667</v>
      </c>
      <c r="AF30" s="744">
        <v>5355.3053646666667</v>
      </c>
      <c r="AG30" s="744">
        <v>5355.3053646666667</v>
      </c>
      <c r="AH30" s="744">
        <v>5355.3053646666667</v>
      </c>
      <c r="AI30" s="744">
        <v>5355.3053646666667</v>
      </c>
      <c r="AJ30" s="744">
        <v>5355.3053646666667</v>
      </c>
      <c r="AK30" s="744">
        <v>5355.3053646666667</v>
      </c>
      <c r="AL30" s="744">
        <v>5355.3053646666667</v>
      </c>
      <c r="AM30" s="745">
        <f t="shared" si="8"/>
        <v>5623.0706936206252</v>
      </c>
      <c r="AN30" s="745">
        <f t="shared" ref="AN30:AO30" si="11">AM30</f>
        <v>5623.0706936206252</v>
      </c>
      <c r="AO30" s="745">
        <f t="shared" si="11"/>
        <v>5623.0706936206252</v>
      </c>
      <c r="AP30" s="768">
        <f t="shared" si="10"/>
        <v>5.0000011338405814E-2</v>
      </c>
    </row>
    <row r="31" spans="2:45" ht="11.25" customHeight="1">
      <c r="B31" s="740" t="s">
        <v>631</v>
      </c>
      <c r="C31" s="744">
        <v>1281.83</v>
      </c>
      <c r="D31" s="744">
        <v>1281.83</v>
      </c>
      <c r="E31" s="744">
        <v>1281.83</v>
      </c>
      <c r="F31" s="744">
        <v>1281.83</v>
      </c>
      <c r="G31" s="744">
        <v>1281.83</v>
      </c>
      <c r="H31" s="744">
        <v>1281.83</v>
      </c>
      <c r="I31" s="744">
        <v>1281.83</v>
      </c>
      <c r="J31" s="744">
        <v>1281.83</v>
      </c>
      <c r="K31" s="744">
        <v>1281.83</v>
      </c>
      <c r="L31" s="744">
        <v>1281.83</v>
      </c>
      <c r="M31" s="744">
        <v>1281.83</v>
      </c>
      <c r="N31" s="744">
        <v>1281.83</v>
      </c>
      <c r="O31" s="744">
        <v>1345.9214389166666</v>
      </c>
      <c r="P31" s="744">
        <v>1345.9214389166666</v>
      </c>
      <c r="Q31" s="744">
        <v>1345.9214389166666</v>
      </c>
      <c r="R31" s="744">
        <v>1345.9214389166666</v>
      </c>
      <c r="S31" s="744">
        <v>1345.9214389166666</v>
      </c>
      <c r="T31" s="744">
        <v>1345.9214389166666</v>
      </c>
      <c r="U31" s="744">
        <v>1345.9214389166666</v>
      </c>
      <c r="V31" s="744">
        <v>1345.9214389166666</v>
      </c>
      <c r="W31" s="744">
        <v>1345.9214389166666</v>
      </c>
      <c r="X31" s="744">
        <v>1345.9214389166666</v>
      </c>
      <c r="Y31" s="744">
        <v>1345.9214389166666</v>
      </c>
      <c r="Z31" s="744">
        <v>1345.9214389166666</v>
      </c>
      <c r="AA31" s="744">
        <v>1413.2175260833335</v>
      </c>
      <c r="AB31" s="744">
        <v>1413.2175260833335</v>
      </c>
      <c r="AC31" s="744">
        <v>1413.2175260833335</v>
      </c>
      <c r="AD31" s="744">
        <v>1413.2175260833335</v>
      </c>
      <c r="AE31" s="744">
        <v>1413.2175260833335</v>
      </c>
      <c r="AF31" s="744">
        <v>1413.2175260833335</v>
      </c>
      <c r="AG31" s="744">
        <v>1413.2175260833335</v>
      </c>
      <c r="AH31" s="744">
        <v>1413.2175260833335</v>
      </c>
      <c r="AI31" s="744">
        <v>1413.2175260833335</v>
      </c>
      <c r="AJ31" s="744">
        <v>1413.2175260833335</v>
      </c>
      <c r="AK31" s="744">
        <v>1413.2175260833335</v>
      </c>
      <c r="AL31" s="744">
        <v>1413.2175260833335</v>
      </c>
      <c r="AM31" s="745">
        <f t="shared" si="8"/>
        <v>1483.8784183693758</v>
      </c>
      <c r="AN31" s="745">
        <f t="shared" ref="AN31:AO31" si="12">AM31</f>
        <v>1483.8784183693758</v>
      </c>
      <c r="AO31" s="745">
        <f t="shared" si="12"/>
        <v>1483.8784183693758</v>
      </c>
      <c r="AP31" s="768">
        <f t="shared" si="10"/>
        <v>5.000001130885745E-2</v>
      </c>
    </row>
    <row r="32" spans="2:45" ht="11.25" customHeight="1">
      <c r="B32" s="740" t="s">
        <v>137</v>
      </c>
      <c r="C32" s="750">
        <f>SUM(C28:C31)</f>
        <v>11783.1</v>
      </c>
      <c r="D32" s="750">
        <f t="shared" ref="D32:AO32" si="13">SUM(D28:D31)</f>
        <v>11783.1</v>
      </c>
      <c r="E32" s="750">
        <f t="shared" si="13"/>
        <v>11783.1</v>
      </c>
      <c r="F32" s="750">
        <f t="shared" si="13"/>
        <v>11783.1</v>
      </c>
      <c r="G32" s="750">
        <f t="shared" si="13"/>
        <v>11783.1</v>
      </c>
      <c r="H32" s="750">
        <f t="shared" si="13"/>
        <v>11783.1</v>
      </c>
      <c r="I32" s="750">
        <f t="shared" si="13"/>
        <v>11783.1</v>
      </c>
      <c r="J32" s="750">
        <f t="shared" si="13"/>
        <v>11783.1</v>
      </c>
      <c r="K32" s="750">
        <f t="shared" si="13"/>
        <v>11783.1</v>
      </c>
      <c r="L32" s="750">
        <f t="shared" si="13"/>
        <v>11783.1</v>
      </c>
      <c r="M32" s="750">
        <f t="shared" si="13"/>
        <v>11783.1</v>
      </c>
      <c r="N32" s="750">
        <f t="shared" si="13"/>
        <v>11783.1</v>
      </c>
      <c r="O32" s="750">
        <f t="shared" si="13"/>
        <v>12372.25443825</v>
      </c>
      <c r="P32" s="750">
        <f t="shared" si="13"/>
        <v>12372.25443825</v>
      </c>
      <c r="Q32" s="750">
        <f t="shared" si="13"/>
        <v>12372.25443825</v>
      </c>
      <c r="R32" s="750">
        <f t="shared" si="13"/>
        <v>12372.25443825</v>
      </c>
      <c r="S32" s="750">
        <f t="shared" si="13"/>
        <v>12372.25443825</v>
      </c>
      <c r="T32" s="750">
        <f t="shared" si="13"/>
        <v>12372.25443825</v>
      </c>
      <c r="U32" s="750">
        <f t="shared" si="13"/>
        <v>12372.25443825</v>
      </c>
      <c r="V32" s="750">
        <f t="shared" si="13"/>
        <v>12372.25443825</v>
      </c>
      <c r="W32" s="750">
        <f t="shared" si="13"/>
        <v>12372.25443825</v>
      </c>
      <c r="X32" s="750">
        <f t="shared" si="13"/>
        <v>12372.25443825</v>
      </c>
      <c r="Y32" s="750">
        <f t="shared" si="13"/>
        <v>12372.25443825</v>
      </c>
      <c r="Z32" s="750">
        <f t="shared" si="13"/>
        <v>12372.25443825</v>
      </c>
      <c r="AA32" s="750">
        <f t="shared" si="13"/>
        <v>12990.867300416667</v>
      </c>
      <c r="AB32" s="750">
        <f t="shared" si="13"/>
        <v>12990.867300416667</v>
      </c>
      <c r="AC32" s="750">
        <f t="shared" si="13"/>
        <v>12990.867300416667</v>
      </c>
      <c r="AD32" s="750">
        <f t="shared" si="13"/>
        <v>12990.867300416667</v>
      </c>
      <c r="AE32" s="750">
        <f t="shared" si="13"/>
        <v>12990.867300416667</v>
      </c>
      <c r="AF32" s="750">
        <f t="shared" si="13"/>
        <v>12990.867300416667</v>
      </c>
      <c r="AG32" s="750">
        <f t="shared" si="13"/>
        <v>12990.867300416667</v>
      </c>
      <c r="AH32" s="750">
        <f t="shared" si="13"/>
        <v>12990.867300416667</v>
      </c>
      <c r="AI32" s="750">
        <f t="shared" si="13"/>
        <v>12990.867300416667</v>
      </c>
      <c r="AJ32" s="750">
        <f t="shared" si="13"/>
        <v>12990.867300416667</v>
      </c>
      <c r="AK32" s="750">
        <f t="shared" si="13"/>
        <v>12990.867300416667</v>
      </c>
      <c r="AL32" s="750">
        <f t="shared" si="13"/>
        <v>12990.867300416667</v>
      </c>
      <c r="AM32" s="750">
        <f t="shared" si="13"/>
        <v>13640.410812704376</v>
      </c>
      <c r="AN32" s="750">
        <f t="shared" si="13"/>
        <v>13640.410812704376</v>
      </c>
      <c r="AO32" s="750">
        <f t="shared" si="13"/>
        <v>13640.410812704376</v>
      </c>
      <c r="AP32" s="752"/>
    </row>
    <row r="33" spans="2:43" ht="12.75" customHeight="1">
      <c r="C33" s="748"/>
      <c r="D33" s="748"/>
      <c r="E33" s="748"/>
      <c r="F33" s="748"/>
      <c r="G33" s="748"/>
      <c r="H33" s="748"/>
      <c r="I33" s="748"/>
      <c r="J33" s="748"/>
      <c r="K33" s="748"/>
      <c r="L33" s="748"/>
      <c r="M33" s="748"/>
      <c r="N33" s="748"/>
      <c r="O33" s="748"/>
      <c r="P33" s="748"/>
      <c r="Q33" s="748"/>
      <c r="R33" s="748"/>
      <c r="S33" s="748"/>
      <c r="T33" s="748"/>
      <c r="U33" s="748"/>
      <c r="V33" s="748"/>
      <c r="W33" s="748"/>
      <c r="X33" s="748"/>
      <c r="Y33" s="748"/>
      <c r="Z33" s="748"/>
      <c r="AA33" s="748"/>
      <c r="AB33" s="748"/>
      <c r="AC33" s="748"/>
      <c r="AD33" s="748"/>
      <c r="AE33" s="748"/>
      <c r="AF33" s="748"/>
      <c r="AG33" s="748"/>
      <c r="AH33" s="748"/>
      <c r="AI33" s="748"/>
      <c r="AJ33" s="748"/>
      <c r="AK33" s="748"/>
      <c r="AL33" s="748"/>
      <c r="AP33" s="767"/>
    </row>
    <row r="34" spans="2:43" ht="11.25" customHeight="1">
      <c r="B34" s="740" t="s">
        <v>138</v>
      </c>
      <c r="C34" s="748"/>
      <c r="D34" s="748"/>
      <c r="E34" s="748"/>
      <c r="F34" s="748"/>
      <c r="G34" s="748"/>
      <c r="H34" s="748"/>
      <c r="I34" s="748"/>
      <c r="J34" s="748"/>
      <c r="K34" s="748"/>
      <c r="L34" s="748"/>
      <c r="M34" s="748"/>
      <c r="N34" s="748"/>
      <c r="O34" s="748"/>
      <c r="P34" s="748"/>
      <c r="Q34" s="748"/>
      <c r="R34" s="748"/>
      <c r="S34" s="748"/>
      <c r="T34" s="748"/>
      <c r="U34" s="748"/>
      <c r="V34" s="748"/>
      <c r="W34" s="748"/>
      <c r="X34" s="748"/>
      <c r="Y34" s="748"/>
      <c r="Z34" s="748"/>
      <c r="AB34" s="748"/>
      <c r="AC34" s="748"/>
      <c r="AD34" s="748"/>
      <c r="AE34" s="748"/>
      <c r="AF34" s="748"/>
      <c r="AG34" s="748"/>
      <c r="AH34" s="748"/>
      <c r="AI34" s="748"/>
      <c r="AJ34" s="748"/>
      <c r="AK34" s="748"/>
      <c r="AL34" s="748"/>
      <c r="AP34" s="767"/>
    </row>
    <row r="35" spans="2:43" ht="11.25" customHeight="1">
      <c r="B35" s="740" t="s">
        <v>139</v>
      </c>
      <c r="C35" s="744">
        <v>1860.5290403333331</v>
      </c>
      <c r="D35" s="744">
        <v>1860.5290403333331</v>
      </c>
      <c r="E35" s="744">
        <v>1860.5290403333331</v>
      </c>
      <c r="F35" s="744">
        <v>1860.5290403333331</v>
      </c>
      <c r="G35" s="744">
        <v>1860.5290403333331</v>
      </c>
      <c r="H35" s="744">
        <v>1860.5290403333331</v>
      </c>
      <c r="I35" s="744">
        <v>1860.5290403333331</v>
      </c>
      <c r="J35" s="744">
        <v>1860.5290403333331</v>
      </c>
      <c r="K35" s="744">
        <v>1860.5290403333331</v>
      </c>
      <c r="L35" s="744">
        <v>1860.5290403333331</v>
      </c>
      <c r="M35" s="744">
        <v>1860.5290403333331</v>
      </c>
      <c r="N35" s="744">
        <v>1860.5290403333331</v>
      </c>
      <c r="O35" s="744">
        <v>2046.5819645000001</v>
      </c>
      <c r="P35" s="744">
        <v>2046.5819645000001</v>
      </c>
      <c r="Q35" s="744">
        <v>2046.5819645000001</v>
      </c>
      <c r="R35" s="744">
        <v>2046.5819645000001</v>
      </c>
      <c r="S35" s="744">
        <v>2046.5819645000001</v>
      </c>
      <c r="T35" s="744">
        <v>2046.5819645000001</v>
      </c>
      <c r="U35" s="744">
        <v>2046.5819645000001</v>
      </c>
      <c r="V35" s="744">
        <v>2046.5819645000001</v>
      </c>
      <c r="W35" s="744">
        <v>2046.5819645000001</v>
      </c>
      <c r="X35" s="744">
        <v>2046.5819645000001</v>
      </c>
      <c r="Y35" s="744">
        <v>2046.5819645000001</v>
      </c>
      <c r="Z35" s="744">
        <v>2046.5819645000001</v>
      </c>
      <c r="AA35" s="744">
        <v>2251.2402416666669</v>
      </c>
      <c r="AB35" s="744">
        <v>2251.2402416666669</v>
      </c>
      <c r="AC35" s="744">
        <v>2251.2402416666669</v>
      </c>
      <c r="AD35" s="744">
        <v>2251.2402416666669</v>
      </c>
      <c r="AE35" s="744">
        <v>2251.2402416666669</v>
      </c>
      <c r="AF35" s="744">
        <v>2251.2402416666669</v>
      </c>
      <c r="AG35" s="744">
        <v>2251.2402416666669</v>
      </c>
      <c r="AH35" s="744">
        <v>2251.2402416666669</v>
      </c>
      <c r="AI35" s="744">
        <v>2251.2402416666669</v>
      </c>
      <c r="AJ35" s="744">
        <v>2251.2402416666669</v>
      </c>
      <c r="AK35" s="744">
        <v>2251.2402416666669</v>
      </c>
      <c r="AL35" s="744">
        <v>2251.2402416666669</v>
      </c>
      <c r="AM35" s="745">
        <f>AL35*(1+AP35)</f>
        <v>2476.3643546216699</v>
      </c>
      <c r="AN35" s="745">
        <f>AM35</f>
        <v>2476.3643546216699</v>
      </c>
      <c r="AO35" s="745">
        <f>AN35</f>
        <v>2476.3643546216699</v>
      </c>
      <c r="AP35" s="768">
        <f>AA35/Z35-1</f>
        <v>0.10000003943974289</v>
      </c>
    </row>
    <row r="36" spans="2:43" ht="11.25" customHeight="1">
      <c r="B36" s="740" t="s">
        <v>140</v>
      </c>
      <c r="C36" s="744">
        <v>269.59900583333336</v>
      </c>
      <c r="D36" s="744">
        <v>269.59900583333336</v>
      </c>
      <c r="E36" s="744">
        <v>269.59900583333336</v>
      </c>
      <c r="F36" s="744">
        <v>269.59900583333336</v>
      </c>
      <c r="G36" s="744">
        <v>269.59900583333336</v>
      </c>
      <c r="H36" s="744">
        <v>269.59900583333336</v>
      </c>
      <c r="I36" s="744">
        <v>269.59900583333336</v>
      </c>
      <c r="J36" s="744">
        <v>269.59900583333336</v>
      </c>
      <c r="K36" s="744">
        <v>269.59900583333336</v>
      </c>
      <c r="L36" s="744">
        <v>269.59900583333336</v>
      </c>
      <c r="M36" s="744">
        <v>269.59900583333336</v>
      </c>
      <c r="N36" s="744">
        <v>269.59900583333336</v>
      </c>
      <c r="O36" s="744">
        <v>296.55890933333336</v>
      </c>
      <c r="P36" s="744">
        <v>296.55890933333336</v>
      </c>
      <c r="Q36" s="744">
        <v>296.55890933333336</v>
      </c>
      <c r="R36" s="744">
        <v>296.55890933333336</v>
      </c>
      <c r="S36" s="744">
        <v>296.55890933333336</v>
      </c>
      <c r="T36" s="744">
        <v>296.55890933333336</v>
      </c>
      <c r="U36" s="744">
        <v>296.55890933333336</v>
      </c>
      <c r="V36" s="744">
        <v>296.55890933333336</v>
      </c>
      <c r="W36" s="744">
        <v>296.55890933333336</v>
      </c>
      <c r="X36" s="744">
        <v>296.55890933333336</v>
      </c>
      <c r="Y36" s="744">
        <v>296.55890933333336</v>
      </c>
      <c r="Z36" s="744">
        <v>296.55890933333336</v>
      </c>
      <c r="AA36" s="744">
        <v>326.21481199999999</v>
      </c>
      <c r="AB36" s="744">
        <v>326.21481199999999</v>
      </c>
      <c r="AC36" s="744">
        <v>326.21481199999999</v>
      </c>
      <c r="AD36" s="744">
        <v>326.21481199999999</v>
      </c>
      <c r="AE36" s="744">
        <v>326.21481199999999</v>
      </c>
      <c r="AF36" s="744">
        <v>326.21481199999999</v>
      </c>
      <c r="AG36" s="744">
        <v>326.21481199999999</v>
      </c>
      <c r="AH36" s="744">
        <v>326.21481199999999</v>
      </c>
      <c r="AI36" s="744">
        <v>326.21481199999999</v>
      </c>
      <c r="AJ36" s="744">
        <v>326.21481199999999</v>
      </c>
      <c r="AK36" s="744">
        <v>326.21481199999999</v>
      </c>
      <c r="AL36" s="744">
        <v>326.21481199999999</v>
      </c>
      <c r="AM36" s="745">
        <f>AL36*(1+AP36)</f>
        <v>358.83630610666711</v>
      </c>
      <c r="AN36" s="745">
        <f>AM36</f>
        <v>358.83630610666711</v>
      </c>
      <c r="AO36" s="745">
        <f>AN36</f>
        <v>358.83630610666711</v>
      </c>
      <c r="AP36" s="768">
        <f>AA36/Z36-1</f>
        <v>0.10000003956493275</v>
      </c>
    </row>
    <row r="37" spans="2:43" ht="11.25" customHeight="1">
      <c r="B37" s="740" t="s">
        <v>141</v>
      </c>
      <c r="C37" s="750">
        <f>SUM(C35:C36)</f>
        <v>2130.1280461666665</v>
      </c>
      <c r="D37" s="750">
        <f t="shared" ref="D37:AO37" si="14">SUM(D35:D36)</f>
        <v>2130.1280461666665</v>
      </c>
      <c r="E37" s="750">
        <f t="shared" si="14"/>
        <v>2130.1280461666665</v>
      </c>
      <c r="F37" s="750">
        <f t="shared" si="14"/>
        <v>2130.1280461666665</v>
      </c>
      <c r="G37" s="750">
        <f t="shared" si="14"/>
        <v>2130.1280461666665</v>
      </c>
      <c r="H37" s="750">
        <f t="shared" si="14"/>
        <v>2130.1280461666665</v>
      </c>
      <c r="I37" s="750">
        <f t="shared" si="14"/>
        <v>2130.1280461666665</v>
      </c>
      <c r="J37" s="750">
        <f t="shared" si="14"/>
        <v>2130.1280461666665</v>
      </c>
      <c r="K37" s="750">
        <f t="shared" si="14"/>
        <v>2130.1280461666665</v>
      </c>
      <c r="L37" s="750">
        <f t="shared" si="14"/>
        <v>2130.1280461666665</v>
      </c>
      <c r="M37" s="750">
        <f t="shared" si="14"/>
        <v>2130.1280461666665</v>
      </c>
      <c r="N37" s="750">
        <f t="shared" si="14"/>
        <v>2130.1280461666665</v>
      </c>
      <c r="O37" s="750">
        <f t="shared" si="14"/>
        <v>2343.1408738333334</v>
      </c>
      <c r="P37" s="750">
        <f t="shared" si="14"/>
        <v>2343.1408738333334</v>
      </c>
      <c r="Q37" s="750">
        <f t="shared" si="14"/>
        <v>2343.1408738333334</v>
      </c>
      <c r="R37" s="750">
        <f t="shared" si="14"/>
        <v>2343.1408738333334</v>
      </c>
      <c r="S37" s="750">
        <f t="shared" si="14"/>
        <v>2343.1408738333334</v>
      </c>
      <c r="T37" s="750">
        <f t="shared" si="14"/>
        <v>2343.1408738333334</v>
      </c>
      <c r="U37" s="750">
        <f t="shared" si="14"/>
        <v>2343.1408738333334</v>
      </c>
      <c r="V37" s="750">
        <f t="shared" si="14"/>
        <v>2343.1408738333334</v>
      </c>
      <c r="W37" s="750">
        <f t="shared" si="14"/>
        <v>2343.1408738333334</v>
      </c>
      <c r="X37" s="750">
        <f t="shared" si="14"/>
        <v>2343.1408738333334</v>
      </c>
      <c r="Y37" s="750">
        <f t="shared" si="14"/>
        <v>2343.1408738333334</v>
      </c>
      <c r="Z37" s="750">
        <f t="shared" si="14"/>
        <v>2343.1408738333334</v>
      </c>
      <c r="AA37" s="750">
        <f t="shared" si="14"/>
        <v>2577.455053666667</v>
      </c>
      <c r="AB37" s="750">
        <f t="shared" si="14"/>
        <v>2577.455053666667</v>
      </c>
      <c r="AC37" s="750">
        <f t="shared" si="14"/>
        <v>2577.455053666667</v>
      </c>
      <c r="AD37" s="750">
        <f t="shared" si="14"/>
        <v>2577.455053666667</v>
      </c>
      <c r="AE37" s="750">
        <f t="shared" si="14"/>
        <v>2577.455053666667</v>
      </c>
      <c r="AF37" s="750">
        <f t="shared" si="14"/>
        <v>2577.455053666667</v>
      </c>
      <c r="AG37" s="750">
        <f t="shared" si="14"/>
        <v>2577.455053666667</v>
      </c>
      <c r="AH37" s="750">
        <f t="shared" si="14"/>
        <v>2577.455053666667</v>
      </c>
      <c r="AI37" s="750">
        <f t="shared" si="14"/>
        <v>2577.455053666667</v>
      </c>
      <c r="AJ37" s="750">
        <f t="shared" si="14"/>
        <v>2577.455053666667</v>
      </c>
      <c r="AK37" s="750">
        <f t="shared" si="14"/>
        <v>2577.455053666667</v>
      </c>
      <c r="AL37" s="750">
        <f t="shared" si="14"/>
        <v>2577.455053666667</v>
      </c>
      <c r="AM37" s="750">
        <f t="shared" si="14"/>
        <v>2835.200660728337</v>
      </c>
      <c r="AN37" s="750">
        <f t="shared" si="14"/>
        <v>2835.200660728337</v>
      </c>
      <c r="AO37" s="750">
        <f t="shared" si="14"/>
        <v>2835.200660728337</v>
      </c>
      <c r="AP37" s="752"/>
    </row>
    <row r="38" spans="2:43" ht="12.75" customHeight="1">
      <c r="C38" s="748"/>
      <c r="D38" s="748"/>
      <c r="E38" s="748"/>
      <c r="F38" s="748"/>
      <c r="G38" s="748"/>
      <c r="H38" s="748"/>
      <c r="I38" s="748"/>
      <c r="J38" s="748"/>
      <c r="K38" s="748"/>
      <c r="L38" s="748"/>
      <c r="M38" s="748"/>
      <c r="N38" s="748"/>
      <c r="O38" s="748"/>
      <c r="P38" s="748"/>
      <c r="Q38" s="748"/>
      <c r="R38" s="748"/>
      <c r="S38" s="748"/>
      <c r="T38" s="748"/>
      <c r="U38" s="748"/>
      <c r="V38" s="748"/>
      <c r="W38" s="748"/>
      <c r="X38" s="748"/>
      <c r="Y38" s="748"/>
      <c r="Z38" s="748"/>
      <c r="AA38" s="748"/>
      <c r="AB38" s="748"/>
      <c r="AC38" s="748"/>
      <c r="AD38" s="748"/>
      <c r="AE38" s="748"/>
      <c r="AF38" s="748"/>
      <c r="AG38" s="748"/>
      <c r="AH38" s="748"/>
      <c r="AI38" s="748"/>
      <c r="AJ38" s="748"/>
      <c r="AK38" s="748"/>
      <c r="AL38" s="748"/>
      <c r="AP38" s="767"/>
    </row>
    <row r="39" spans="2:43" ht="11.25" customHeight="1">
      <c r="B39" s="740" t="s">
        <v>142</v>
      </c>
      <c r="C39" s="744">
        <v>53563.057499999995</v>
      </c>
      <c r="D39" s="744">
        <v>53563.057499999995</v>
      </c>
      <c r="E39" s="744">
        <v>53563.057499999995</v>
      </c>
      <c r="F39" s="744">
        <v>53563.057499999995</v>
      </c>
      <c r="G39" s="744">
        <v>53563.057499999995</v>
      </c>
      <c r="H39" s="744">
        <v>53563.057499999995</v>
      </c>
      <c r="I39" s="744">
        <v>53563.057499999995</v>
      </c>
      <c r="J39" s="744">
        <v>53563.057499999995</v>
      </c>
      <c r="K39" s="744">
        <v>53563.057499999995</v>
      </c>
      <c r="L39" s="744">
        <v>53563.057499999995</v>
      </c>
      <c r="M39" s="744">
        <v>53563.057499999995</v>
      </c>
      <c r="N39" s="744">
        <v>53563.057499999995</v>
      </c>
      <c r="O39" s="744">
        <v>55169.945</v>
      </c>
      <c r="P39" s="744">
        <v>55169.945</v>
      </c>
      <c r="Q39" s="744">
        <v>55169.945</v>
      </c>
      <c r="R39" s="744">
        <v>55169.945</v>
      </c>
      <c r="S39" s="744">
        <v>55169.945</v>
      </c>
      <c r="T39" s="744">
        <v>55169.945</v>
      </c>
      <c r="U39" s="744">
        <v>55169.945</v>
      </c>
      <c r="V39" s="744">
        <v>55169.945</v>
      </c>
      <c r="W39" s="744">
        <v>55169.945</v>
      </c>
      <c r="X39" s="744">
        <v>55169.945</v>
      </c>
      <c r="Y39" s="744">
        <v>55169.945</v>
      </c>
      <c r="Z39" s="744">
        <v>55169.945</v>
      </c>
      <c r="AA39" s="744">
        <v>56851.939506916671</v>
      </c>
      <c r="AB39" s="744">
        <v>56851.939506916671</v>
      </c>
      <c r="AC39" s="744">
        <v>56851.939506916671</v>
      </c>
      <c r="AD39" s="744">
        <v>56851.939506916671</v>
      </c>
      <c r="AE39" s="744">
        <v>56851.939506916671</v>
      </c>
      <c r="AF39" s="744">
        <v>56851.939506916671</v>
      </c>
      <c r="AG39" s="744">
        <v>56851.939506916671</v>
      </c>
      <c r="AH39" s="744">
        <v>56851.939506916671</v>
      </c>
      <c r="AI39" s="744">
        <v>56851.939506916671</v>
      </c>
      <c r="AJ39" s="744">
        <v>56851.939506916671</v>
      </c>
      <c r="AK39" s="744">
        <v>56851.939506916671</v>
      </c>
      <c r="AL39" s="744">
        <v>56851.939506916671</v>
      </c>
      <c r="AM39" s="745">
        <f>AL39*(1+AS20)</f>
        <v>58557.497692124176</v>
      </c>
      <c r="AN39" s="745">
        <f>AM39</f>
        <v>58557.497692124176</v>
      </c>
      <c r="AO39" s="745">
        <f>AN39</f>
        <v>58557.497692124176</v>
      </c>
      <c r="AP39" s="769">
        <f>AA39/Z39-1</f>
        <v>3.0487514658872117E-2</v>
      </c>
    </row>
    <row r="40" spans="2:43" ht="12.75" customHeight="1">
      <c r="C40" s="748"/>
      <c r="D40" s="748"/>
      <c r="E40" s="748"/>
      <c r="F40" s="748"/>
      <c r="G40" s="748"/>
      <c r="H40" s="748"/>
      <c r="I40" s="748"/>
      <c r="J40" s="748"/>
      <c r="K40" s="748"/>
      <c r="L40" s="748"/>
      <c r="M40" s="748"/>
      <c r="N40" s="748"/>
      <c r="O40" s="748"/>
      <c r="P40" s="748"/>
      <c r="Q40" s="748"/>
      <c r="R40" s="748"/>
      <c r="S40" s="748"/>
      <c r="T40" s="748"/>
      <c r="U40" s="748"/>
      <c r="V40" s="748"/>
      <c r="W40" s="748"/>
      <c r="X40" s="748"/>
      <c r="Y40" s="748"/>
      <c r="Z40" s="748"/>
      <c r="AB40" s="748"/>
      <c r="AC40" s="748"/>
      <c r="AD40" s="748"/>
      <c r="AE40" s="748"/>
      <c r="AF40" s="748"/>
      <c r="AG40" s="748"/>
      <c r="AH40" s="748"/>
      <c r="AI40" s="748"/>
      <c r="AJ40" s="748"/>
      <c r="AK40" s="748"/>
      <c r="AL40" s="748"/>
      <c r="AP40" s="767"/>
    </row>
    <row r="41" spans="2:43" ht="11.25" customHeight="1">
      <c r="B41" s="740" t="s">
        <v>143</v>
      </c>
      <c r="C41" s="748"/>
      <c r="D41" s="748"/>
      <c r="E41" s="748"/>
      <c r="F41" s="748"/>
      <c r="G41" s="748"/>
      <c r="H41" s="748"/>
      <c r="I41" s="748"/>
      <c r="J41" s="748"/>
      <c r="K41" s="748"/>
      <c r="L41" s="748"/>
      <c r="M41" s="748"/>
      <c r="N41" s="748"/>
      <c r="O41" s="748"/>
      <c r="P41" s="748"/>
      <c r="Q41" s="748"/>
      <c r="R41" s="748"/>
      <c r="S41" s="748"/>
      <c r="T41" s="748"/>
      <c r="U41" s="748"/>
      <c r="V41" s="748"/>
      <c r="W41" s="748"/>
      <c r="X41" s="748"/>
      <c r="Y41" s="748"/>
      <c r="Z41" s="748"/>
      <c r="AB41" s="748"/>
      <c r="AC41" s="748"/>
      <c r="AD41" s="748"/>
      <c r="AE41" s="748"/>
      <c r="AF41" s="748"/>
      <c r="AG41" s="748"/>
      <c r="AH41" s="748"/>
      <c r="AI41" s="748"/>
      <c r="AJ41" s="748"/>
      <c r="AK41" s="748"/>
      <c r="AL41" s="748"/>
      <c r="AP41" s="767"/>
    </row>
    <row r="42" spans="2:43" ht="11.25" customHeight="1">
      <c r="B42" s="740" t="s">
        <v>144</v>
      </c>
      <c r="C42" s="744">
        <v>3415.7791666666667</v>
      </c>
      <c r="D42" s="744">
        <v>3415.7791666666667</v>
      </c>
      <c r="E42" s="744">
        <v>3415.7791666666667</v>
      </c>
      <c r="F42" s="744">
        <v>3415.7791666666667</v>
      </c>
      <c r="G42" s="744">
        <v>3415.7791666666667</v>
      </c>
      <c r="H42" s="744">
        <v>3415.7791666666667</v>
      </c>
      <c r="I42" s="744">
        <v>3415.7791666666667</v>
      </c>
      <c r="J42" s="744">
        <v>3415.7791666666667</v>
      </c>
      <c r="K42" s="744">
        <v>3415.7791666666667</v>
      </c>
      <c r="L42" s="744">
        <v>3415.7791666666667</v>
      </c>
      <c r="M42" s="744">
        <v>3415.7791666666667</v>
      </c>
      <c r="N42" s="744">
        <v>3415.7791666666667</v>
      </c>
      <c r="O42" s="744">
        <v>3562.4698850833333</v>
      </c>
      <c r="P42" s="744">
        <v>3562.4698850833333</v>
      </c>
      <c r="Q42" s="744">
        <v>3562.4698850833333</v>
      </c>
      <c r="R42" s="744">
        <v>3562.4698850833333</v>
      </c>
      <c r="S42" s="744">
        <v>3562.4698850833333</v>
      </c>
      <c r="T42" s="744">
        <v>3562.4698850833333</v>
      </c>
      <c r="U42" s="744">
        <v>3562.4698850833333</v>
      </c>
      <c r="V42" s="744">
        <v>3562.4698850833333</v>
      </c>
      <c r="W42" s="744">
        <v>3562.4698850833333</v>
      </c>
      <c r="X42" s="744">
        <v>3562.4698850833333</v>
      </c>
      <c r="Y42" s="744">
        <v>3562.4698850833333</v>
      </c>
      <c r="Z42" s="744">
        <v>3562.4698850833333</v>
      </c>
      <c r="AA42" s="744">
        <v>3687.1566121666669</v>
      </c>
      <c r="AB42" s="744">
        <v>3687.1566121666669</v>
      </c>
      <c r="AC42" s="744">
        <v>3687.1566121666669</v>
      </c>
      <c r="AD42" s="744">
        <v>3687.1566121666669</v>
      </c>
      <c r="AE42" s="744">
        <v>3687.1566121666669</v>
      </c>
      <c r="AF42" s="744">
        <v>3687.1566121666669</v>
      </c>
      <c r="AG42" s="744">
        <v>3687.1566121666669</v>
      </c>
      <c r="AH42" s="744">
        <v>3687.1566121666669</v>
      </c>
      <c r="AI42" s="744">
        <v>3687.1566121666669</v>
      </c>
      <c r="AJ42" s="744">
        <v>3687.1566121666669</v>
      </c>
      <c r="AK42" s="744">
        <v>3687.1566121666669</v>
      </c>
      <c r="AL42" s="744">
        <v>3687.1566121666669</v>
      </c>
      <c r="AM42" s="745">
        <f>AL42*(1+AP42)</f>
        <v>3816.207384536629</v>
      </c>
      <c r="AN42" s="745">
        <f>AM42</f>
        <v>3816.207384536629</v>
      </c>
      <c r="AO42" s="745">
        <f>AN42</f>
        <v>3816.207384536629</v>
      </c>
      <c r="AP42" s="770">
        <f>AA42/Z42-1</f>
        <v>3.5000078907450716E-2</v>
      </c>
    </row>
    <row r="43" spans="2:43" ht="11.25" customHeight="1">
      <c r="B43" s="740" t="s">
        <v>145</v>
      </c>
      <c r="C43" s="744">
        <v>300</v>
      </c>
      <c r="D43" s="744">
        <v>300</v>
      </c>
      <c r="E43" s="744">
        <v>300</v>
      </c>
      <c r="F43" s="744">
        <v>300</v>
      </c>
      <c r="G43" s="744">
        <v>300</v>
      </c>
      <c r="H43" s="744">
        <v>300</v>
      </c>
      <c r="I43" s="744">
        <v>300</v>
      </c>
      <c r="J43" s="744">
        <v>300</v>
      </c>
      <c r="K43" s="744">
        <v>300</v>
      </c>
      <c r="L43" s="744">
        <v>300</v>
      </c>
      <c r="M43" s="744">
        <v>300</v>
      </c>
      <c r="N43" s="744">
        <v>300</v>
      </c>
      <c r="O43" s="744">
        <v>314.99998566666665</v>
      </c>
      <c r="P43" s="744">
        <v>314.99998566666665</v>
      </c>
      <c r="Q43" s="744">
        <v>314.99998566666665</v>
      </c>
      <c r="R43" s="744">
        <v>314.99998566666665</v>
      </c>
      <c r="S43" s="744">
        <v>314.99998566666665</v>
      </c>
      <c r="T43" s="744">
        <v>314.99998566666665</v>
      </c>
      <c r="U43" s="744">
        <v>314.99998566666665</v>
      </c>
      <c r="V43" s="744">
        <v>314.99998566666665</v>
      </c>
      <c r="W43" s="744">
        <v>314.99998566666665</v>
      </c>
      <c r="X43" s="744">
        <v>314.99998566666665</v>
      </c>
      <c r="Y43" s="744">
        <v>314.99998566666665</v>
      </c>
      <c r="Z43" s="744">
        <v>314.99998566666665</v>
      </c>
      <c r="AA43" s="744">
        <v>330.74998858333333</v>
      </c>
      <c r="AB43" s="744">
        <v>330.74998858333333</v>
      </c>
      <c r="AC43" s="744">
        <v>330.74998858333333</v>
      </c>
      <c r="AD43" s="744">
        <v>330.74998858333333</v>
      </c>
      <c r="AE43" s="744">
        <v>330.74998858333333</v>
      </c>
      <c r="AF43" s="744">
        <v>330.74998858333333</v>
      </c>
      <c r="AG43" s="744">
        <v>330.74998858333333</v>
      </c>
      <c r="AH43" s="744">
        <v>330.74998858333333</v>
      </c>
      <c r="AI43" s="744">
        <v>330.74998858333333</v>
      </c>
      <c r="AJ43" s="744">
        <v>330.74998858333333</v>
      </c>
      <c r="AK43" s="744">
        <v>330.74998858333333</v>
      </c>
      <c r="AL43" s="744">
        <v>330.74998858333333</v>
      </c>
      <c r="AM43" s="745">
        <f>AL43*(1+AP43)</f>
        <v>347.28749182750005</v>
      </c>
      <c r="AN43" s="745">
        <f>AM43</f>
        <v>347.28749182750005</v>
      </c>
      <c r="AO43" s="745">
        <f>AN43</f>
        <v>347.28749182750005</v>
      </c>
      <c r="AP43" s="770">
        <f>AA43/Z43-1</f>
        <v>5.0000011534392153E-2</v>
      </c>
    </row>
    <row r="44" spans="2:43" ht="11.25" customHeight="1">
      <c r="B44" s="740" t="s">
        <v>146</v>
      </c>
      <c r="C44" s="750">
        <f>SUM(C42:C43)</f>
        <v>3715.7791666666667</v>
      </c>
      <c r="D44" s="750">
        <f t="shared" ref="D44:AO44" si="15">SUM(D42:D43)</f>
        <v>3715.7791666666667</v>
      </c>
      <c r="E44" s="750">
        <f t="shared" si="15"/>
        <v>3715.7791666666667</v>
      </c>
      <c r="F44" s="750">
        <f t="shared" si="15"/>
        <v>3715.7791666666667</v>
      </c>
      <c r="G44" s="750">
        <f t="shared" si="15"/>
        <v>3715.7791666666667</v>
      </c>
      <c r="H44" s="750">
        <f t="shared" si="15"/>
        <v>3715.7791666666667</v>
      </c>
      <c r="I44" s="750">
        <f t="shared" si="15"/>
        <v>3715.7791666666667</v>
      </c>
      <c r="J44" s="750">
        <f t="shared" si="15"/>
        <v>3715.7791666666667</v>
      </c>
      <c r="K44" s="750">
        <f t="shared" si="15"/>
        <v>3715.7791666666667</v>
      </c>
      <c r="L44" s="750">
        <f t="shared" si="15"/>
        <v>3715.7791666666667</v>
      </c>
      <c r="M44" s="750">
        <f t="shared" si="15"/>
        <v>3715.7791666666667</v>
      </c>
      <c r="N44" s="750">
        <f t="shared" si="15"/>
        <v>3715.7791666666667</v>
      </c>
      <c r="O44" s="750">
        <f t="shared" si="15"/>
        <v>3877.4698707500002</v>
      </c>
      <c r="P44" s="750">
        <f t="shared" si="15"/>
        <v>3877.4698707500002</v>
      </c>
      <c r="Q44" s="750">
        <f t="shared" si="15"/>
        <v>3877.4698707500002</v>
      </c>
      <c r="R44" s="750">
        <f t="shared" si="15"/>
        <v>3877.4698707500002</v>
      </c>
      <c r="S44" s="750">
        <f t="shared" si="15"/>
        <v>3877.4698707500002</v>
      </c>
      <c r="T44" s="750">
        <f t="shared" si="15"/>
        <v>3877.4698707500002</v>
      </c>
      <c r="U44" s="750">
        <f t="shared" si="15"/>
        <v>3877.4698707500002</v>
      </c>
      <c r="V44" s="750">
        <f t="shared" si="15"/>
        <v>3877.4698707500002</v>
      </c>
      <c r="W44" s="750">
        <f t="shared" si="15"/>
        <v>3877.4698707500002</v>
      </c>
      <c r="X44" s="750">
        <f t="shared" si="15"/>
        <v>3877.4698707500002</v>
      </c>
      <c r="Y44" s="750">
        <f t="shared" si="15"/>
        <v>3877.4698707500002</v>
      </c>
      <c r="Z44" s="750">
        <f t="shared" si="15"/>
        <v>3877.4698707500002</v>
      </c>
      <c r="AA44" s="750">
        <f t="shared" si="15"/>
        <v>4017.9066007500005</v>
      </c>
      <c r="AB44" s="750">
        <f t="shared" si="15"/>
        <v>4017.9066007500005</v>
      </c>
      <c r="AC44" s="750">
        <f t="shared" si="15"/>
        <v>4017.9066007500005</v>
      </c>
      <c r="AD44" s="750">
        <f t="shared" si="15"/>
        <v>4017.9066007500005</v>
      </c>
      <c r="AE44" s="750">
        <f t="shared" si="15"/>
        <v>4017.9066007500005</v>
      </c>
      <c r="AF44" s="750">
        <f t="shared" si="15"/>
        <v>4017.9066007500005</v>
      </c>
      <c r="AG44" s="750">
        <f t="shared" si="15"/>
        <v>4017.9066007500005</v>
      </c>
      <c r="AH44" s="750">
        <f t="shared" si="15"/>
        <v>4017.9066007500005</v>
      </c>
      <c r="AI44" s="750">
        <f t="shared" si="15"/>
        <v>4017.9066007500005</v>
      </c>
      <c r="AJ44" s="750">
        <f t="shared" si="15"/>
        <v>4017.9066007500005</v>
      </c>
      <c r="AK44" s="750">
        <f t="shared" si="15"/>
        <v>4017.9066007500005</v>
      </c>
      <c r="AL44" s="750">
        <f t="shared" si="15"/>
        <v>4017.9066007500005</v>
      </c>
      <c r="AM44" s="750">
        <f t="shared" si="15"/>
        <v>4163.4948763641287</v>
      </c>
      <c r="AN44" s="750">
        <f t="shared" si="15"/>
        <v>4163.4948763641287</v>
      </c>
      <c r="AO44" s="750">
        <f t="shared" si="15"/>
        <v>4163.4948763641287</v>
      </c>
      <c r="AP44" s="752"/>
    </row>
    <row r="45" spans="2:43" ht="12.75" customHeight="1">
      <c r="C45" s="748"/>
      <c r="D45" s="748"/>
      <c r="E45" s="748"/>
      <c r="F45" s="748"/>
      <c r="G45" s="748"/>
      <c r="H45" s="748"/>
      <c r="I45" s="748"/>
      <c r="J45" s="748"/>
      <c r="K45" s="748"/>
      <c r="L45" s="748"/>
      <c r="M45" s="748"/>
      <c r="N45" s="748"/>
      <c r="O45" s="748"/>
      <c r="P45" s="748"/>
      <c r="Q45" s="748"/>
      <c r="R45" s="748"/>
      <c r="S45" s="748"/>
      <c r="T45" s="748"/>
      <c r="U45" s="748"/>
      <c r="V45" s="748"/>
      <c r="W45" s="748"/>
      <c r="X45" s="748"/>
      <c r="Y45" s="748"/>
      <c r="Z45" s="748"/>
      <c r="AA45" s="748"/>
      <c r="AB45" s="748"/>
      <c r="AC45" s="748"/>
      <c r="AD45" s="748"/>
      <c r="AE45" s="748"/>
      <c r="AF45" s="748"/>
      <c r="AG45" s="748"/>
      <c r="AH45" s="748"/>
      <c r="AI45" s="748"/>
      <c r="AJ45" s="748"/>
      <c r="AK45" s="748"/>
      <c r="AL45" s="748"/>
      <c r="AP45" s="767"/>
    </row>
    <row r="46" spans="2:43" ht="11.25" customHeight="1">
      <c r="B46" s="740" t="s">
        <v>147</v>
      </c>
      <c r="C46" s="744">
        <v>852.5000015833333</v>
      </c>
      <c r="D46" s="744">
        <v>852.5000015833333</v>
      </c>
      <c r="E46" s="744">
        <v>852.5000015833333</v>
      </c>
      <c r="F46" s="744">
        <v>852.5000015833333</v>
      </c>
      <c r="G46" s="744">
        <v>852.5000015833333</v>
      </c>
      <c r="H46" s="744">
        <v>852.5000015833333</v>
      </c>
      <c r="I46" s="744">
        <v>852.5000015833333</v>
      </c>
      <c r="J46" s="744">
        <v>852.5000015833333</v>
      </c>
      <c r="K46" s="744">
        <v>852.5000015833333</v>
      </c>
      <c r="L46" s="744">
        <v>852.5000015833333</v>
      </c>
      <c r="M46" s="744">
        <v>852.5000015833333</v>
      </c>
      <c r="N46" s="744">
        <v>852.5000015833333</v>
      </c>
      <c r="O46" s="744">
        <v>872.10754550000001</v>
      </c>
      <c r="P46" s="744">
        <v>872.10754550000001</v>
      </c>
      <c r="Q46" s="744">
        <v>872.10754550000001</v>
      </c>
      <c r="R46" s="744">
        <v>872.10754550000001</v>
      </c>
      <c r="S46" s="744">
        <v>872.10754550000001</v>
      </c>
      <c r="T46" s="744">
        <v>872.10754550000001</v>
      </c>
      <c r="U46" s="744">
        <v>872.10754550000001</v>
      </c>
      <c r="V46" s="744">
        <v>872.10754550000001</v>
      </c>
      <c r="W46" s="744">
        <v>872.10754550000001</v>
      </c>
      <c r="X46" s="744">
        <v>872.10754550000001</v>
      </c>
      <c r="Y46" s="744">
        <v>872.10754550000001</v>
      </c>
      <c r="Z46" s="744">
        <v>872.10754550000001</v>
      </c>
      <c r="AA46" s="744">
        <v>893.91022916666668</v>
      </c>
      <c r="AB46" s="744">
        <v>893.91022916666668</v>
      </c>
      <c r="AC46" s="744">
        <v>893.91022916666668</v>
      </c>
      <c r="AD46" s="744">
        <v>893.91022916666668</v>
      </c>
      <c r="AE46" s="744">
        <v>893.91022916666668</v>
      </c>
      <c r="AF46" s="744">
        <v>893.91022916666668</v>
      </c>
      <c r="AG46" s="744">
        <v>893.91022916666668</v>
      </c>
      <c r="AH46" s="744">
        <v>893.91022916666668</v>
      </c>
      <c r="AI46" s="744">
        <v>893.91022916666668</v>
      </c>
      <c r="AJ46" s="744">
        <v>893.91022916666668</v>
      </c>
      <c r="AK46" s="744">
        <v>893.91022916666668</v>
      </c>
      <c r="AL46" s="744">
        <v>893.91022916666668</v>
      </c>
      <c r="AM46" s="745">
        <f>AL46*(1+AP46)</f>
        <v>916.25797980072912</v>
      </c>
      <c r="AN46" s="745">
        <f>AM46</f>
        <v>916.25797980072912</v>
      </c>
      <c r="AO46" s="745">
        <f>AN46</f>
        <v>916.25797980072912</v>
      </c>
      <c r="AP46" s="770">
        <f>AA46/Z46-1</f>
        <v>2.4999994300205941E-2</v>
      </c>
    </row>
    <row r="47" spans="2:43" ht="11.25" customHeight="1">
      <c r="B47" s="740" t="s">
        <v>148</v>
      </c>
      <c r="C47" s="744">
        <v>80.08</v>
      </c>
      <c r="D47" s="744">
        <v>80.08</v>
      </c>
      <c r="E47" s="744">
        <v>80.08</v>
      </c>
      <c r="F47" s="744">
        <v>80.08</v>
      </c>
      <c r="G47" s="744">
        <v>80.08</v>
      </c>
      <c r="H47" s="744">
        <v>80.08</v>
      </c>
      <c r="I47" s="744">
        <v>80.08</v>
      </c>
      <c r="J47" s="744">
        <v>80.08</v>
      </c>
      <c r="K47" s="744">
        <v>80.08</v>
      </c>
      <c r="L47" s="744">
        <v>80.08</v>
      </c>
      <c r="M47" s="744">
        <v>80.08</v>
      </c>
      <c r="N47" s="744">
        <v>80.08</v>
      </c>
      <c r="O47" s="744">
        <v>84.083996166666665</v>
      </c>
      <c r="P47" s="744">
        <v>84.083996166666665</v>
      </c>
      <c r="Q47" s="744">
        <v>84.083996166666665</v>
      </c>
      <c r="R47" s="744">
        <v>84.083996166666665</v>
      </c>
      <c r="S47" s="744">
        <v>84.083996166666665</v>
      </c>
      <c r="T47" s="744">
        <v>84.083996166666665</v>
      </c>
      <c r="U47" s="744">
        <v>84.083996166666665</v>
      </c>
      <c r="V47" s="744">
        <v>84.083996166666665</v>
      </c>
      <c r="W47" s="744">
        <v>84.083996166666665</v>
      </c>
      <c r="X47" s="744">
        <v>84.083996166666665</v>
      </c>
      <c r="Y47" s="744">
        <v>84.083996166666665</v>
      </c>
      <c r="Z47" s="744">
        <v>84.083996166666665</v>
      </c>
      <c r="AA47" s="744">
        <v>88.288196916666664</v>
      </c>
      <c r="AB47" s="744">
        <v>88.288196916666664</v>
      </c>
      <c r="AC47" s="744">
        <v>88.288196916666664</v>
      </c>
      <c r="AD47" s="744">
        <v>88.288196916666664</v>
      </c>
      <c r="AE47" s="744">
        <v>88.288196916666664</v>
      </c>
      <c r="AF47" s="744">
        <v>88.288196916666664</v>
      </c>
      <c r="AG47" s="744">
        <v>88.288196916666664</v>
      </c>
      <c r="AH47" s="744">
        <v>88.288196916666664</v>
      </c>
      <c r="AI47" s="744">
        <v>88.288196916666664</v>
      </c>
      <c r="AJ47" s="744">
        <v>88.288196916666664</v>
      </c>
      <c r="AK47" s="744">
        <v>88.288196916666664</v>
      </c>
      <c r="AL47" s="744">
        <v>88.288196916666664</v>
      </c>
      <c r="AM47" s="745">
        <f t="shared" ref="AM47" si="16">AL47*(1+AP47)</f>
        <v>92.70260775125</v>
      </c>
      <c r="AN47" s="745">
        <f t="shared" ref="AN47:AO48" si="17">AM47</f>
        <v>92.70260775125</v>
      </c>
      <c r="AO47" s="745">
        <f t="shared" si="17"/>
        <v>92.70260775125</v>
      </c>
      <c r="AP47" s="770">
        <f t="shared" ref="AP47:AP48" si="18">AA47/Z47-1</f>
        <v>5.0000011199118788E-2</v>
      </c>
    </row>
    <row r="48" spans="2:43" ht="11.25" customHeight="1">
      <c r="B48" s="740" t="s">
        <v>149</v>
      </c>
      <c r="C48" s="744">
        <v>506.65943791666672</v>
      </c>
      <c r="D48" s="744">
        <v>506.65943791666672</v>
      </c>
      <c r="E48" s="744">
        <v>506.65943791666672</v>
      </c>
      <c r="F48" s="744">
        <v>506.65943791666672</v>
      </c>
      <c r="G48" s="744">
        <v>506.65943791666672</v>
      </c>
      <c r="H48" s="744">
        <v>506.65943791666672</v>
      </c>
      <c r="I48" s="744">
        <v>506.65943791666672</v>
      </c>
      <c r="J48" s="744">
        <v>506.65943791666672</v>
      </c>
      <c r="K48" s="744">
        <v>506.65943791666672</v>
      </c>
      <c r="L48" s="744">
        <v>506.65943791666672</v>
      </c>
      <c r="M48" s="744">
        <v>506.65943791666672</v>
      </c>
      <c r="N48" s="744">
        <v>506.65943791666672</v>
      </c>
      <c r="O48" s="744"/>
      <c r="P48" s="744"/>
      <c r="Q48" s="744"/>
      <c r="R48" s="744"/>
      <c r="S48" s="744"/>
      <c r="T48" s="744"/>
      <c r="U48" s="744"/>
      <c r="V48" s="744"/>
      <c r="W48" s="744"/>
      <c r="X48" s="744"/>
      <c r="Y48" s="744"/>
      <c r="Z48" s="744"/>
      <c r="AA48" s="744">
        <v>1587.9838580833332</v>
      </c>
      <c r="AB48" s="744">
        <v>1587.9838580833332</v>
      </c>
      <c r="AC48" s="744">
        <v>1587.9838580833332</v>
      </c>
      <c r="AD48" s="744">
        <v>1587.9838580833332</v>
      </c>
      <c r="AE48" s="744">
        <v>1587.9838580833332</v>
      </c>
      <c r="AF48" s="744">
        <v>1587.9838580833332</v>
      </c>
      <c r="AG48" s="744">
        <v>1587.9838580833332</v>
      </c>
      <c r="AH48" s="744">
        <v>1587.9838580833332</v>
      </c>
      <c r="AI48" s="744">
        <v>1587.9838580833332</v>
      </c>
      <c r="AJ48" s="744">
        <v>1587.9838580833332</v>
      </c>
      <c r="AK48" s="744">
        <v>1587.9838580833332</v>
      </c>
      <c r="AL48" s="744">
        <v>1587.9838580833332</v>
      </c>
      <c r="AM48" s="745">
        <f>AL48</f>
        <v>1587.9838580833332</v>
      </c>
      <c r="AN48" s="745">
        <f t="shared" si="17"/>
        <v>1587.9838580833332</v>
      </c>
      <c r="AO48" s="745">
        <f t="shared" si="17"/>
        <v>1587.9838580833332</v>
      </c>
      <c r="AP48" s="770" t="e">
        <f t="shared" si="18"/>
        <v>#DIV/0!</v>
      </c>
      <c r="AQ48" s="746" t="s">
        <v>632</v>
      </c>
    </row>
    <row r="49" spans="2:43" ht="11.25" customHeight="1">
      <c r="B49" s="740" t="s">
        <v>150</v>
      </c>
      <c r="C49" s="747">
        <f>SUM(C46:C48)+C44+C39+C37+C32</f>
        <v>72631.304152333338</v>
      </c>
      <c r="D49" s="747">
        <f t="shared" ref="D49:N49" si="19">SUM(D46:D48)+D44+D39+D37+D32</f>
        <v>72631.304152333338</v>
      </c>
      <c r="E49" s="747">
        <f t="shared" si="19"/>
        <v>72631.304152333338</v>
      </c>
      <c r="F49" s="747">
        <f t="shared" si="19"/>
        <v>72631.304152333338</v>
      </c>
      <c r="G49" s="747">
        <f t="shared" si="19"/>
        <v>72631.304152333338</v>
      </c>
      <c r="H49" s="747">
        <f t="shared" si="19"/>
        <v>72631.304152333338</v>
      </c>
      <c r="I49" s="747">
        <f t="shared" si="19"/>
        <v>72631.304152333338</v>
      </c>
      <c r="J49" s="747">
        <f t="shared" si="19"/>
        <v>72631.304152333338</v>
      </c>
      <c r="K49" s="747">
        <f t="shared" si="19"/>
        <v>72631.304152333338</v>
      </c>
      <c r="L49" s="747">
        <f t="shared" si="19"/>
        <v>72631.304152333338</v>
      </c>
      <c r="M49" s="747">
        <f t="shared" si="19"/>
        <v>72631.304152333338</v>
      </c>
      <c r="N49" s="747">
        <f t="shared" si="19"/>
        <v>72631.304152333338</v>
      </c>
      <c r="O49" s="747">
        <f t="shared" ref="O49:AO49" si="20">SUM(O46:O48)+O44+O39+O37+O32</f>
        <v>74719.001724500005</v>
      </c>
      <c r="P49" s="747">
        <f t="shared" si="20"/>
        <v>74719.001724500005</v>
      </c>
      <c r="Q49" s="747">
        <f t="shared" si="20"/>
        <v>74719.001724500005</v>
      </c>
      <c r="R49" s="747">
        <f t="shared" si="20"/>
        <v>74719.001724500005</v>
      </c>
      <c r="S49" s="747">
        <f t="shared" si="20"/>
        <v>74719.001724500005</v>
      </c>
      <c r="T49" s="747">
        <f t="shared" si="20"/>
        <v>74719.001724500005</v>
      </c>
      <c r="U49" s="747">
        <f t="shared" si="20"/>
        <v>74719.001724500005</v>
      </c>
      <c r="V49" s="747">
        <f t="shared" si="20"/>
        <v>74719.001724500005</v>
      </c>
      <c r="W49" s="747">
        <f t="shared" si="20"/>
        <v>74719.001724500005</v>
      </c>
      <c r="X49" s="747">
        <f t="shared" si="20"/>
        <v>74719.001724500005</v>
      </c>
      <c r="Y49" s="747">
        <f t="shared" si="20"/>
        <v>74719.001724500005</v>
      </c>
      <c r="Z49" s="747">
        <f t="shared" si="20"/>
        <v>74719.001724500005</v>
      </c>
      <c r="AA49" s="747">
        <f t="shared" si="20"/>
        <v>79008.350745916672</v>
      </c>
      <c r="AB49" s="747">
        <f t="shared" si="20"/>
        <v>79008.350745916672</v>
      </c>
      <c r="AC49" s="747">
        <f t="shared" si="20"/>
        <v>79008.350745916672</v>
      </c>
      <c r="AD49" s="747">
        <f t="shared" si="20"/>
        <v>79008.350745916672</v>
      </c>
      <c r="AE49" s="747">
        <f t="shared" si="20"/>
        <v>79008.350745916672</v>
      </c>
      <c r="AF49" s="747">
        <f t="shared" si="20"/>
        <v>79008.350745916672</v>
      </c>
      <c r="AG49" s="747">
        <f t="shared" si="20"/>
        <v>79008.350745916672</v>
      </c>
      <c r="AH49" s="747">
        <f t="shared" si="20"/>
        <v>79008.350745916672</v>
      </c>
      <c r="AI49" s="747">
        <f t="shared" si="20"/>
        <v>79008.350745916672</v>
      </c>
      <c r="AJ49" s="747">
        <f t="shared" si="20"/>
        <v>79008.350745916672</v>
      </c>
      <c r="AK49" s="747">
        <f t="shared" si="20"/>
        <v>79008.350745916672</v>
      </c>
      <c r="AL49" s="747">
        <f t="shared" si="20"/>
        <v>79008.350745916672</v>
      </c>
      <c r="AM49" s="747">
        <f t="shared" si="20"/>
        <v>81793.548487556327</v>
      </c>
      <c r="AN49" s="747">
        <f t="shared" si="20"/>
        <v>81793.548487556327</v>
      </c>
      <c r="AO49" s="747">
        <f t="shared" si="20"/>
        <v>81793.548487556327</v>
      </c>
      <c r="AP49" s="752"/>
    </row>
    <row r="50" spans="2:43" ht="12.75" customHeight="1">
      <c r="C50" s="748"/>
      <c r="D50" s="748"/>
      <c r="E50" s="748"/>
      <c r="F50" s="748"/>
      <c r="G50" s="748"/>
      <c r="H50" s="748"/>
      <c r="I50" s="748"/>
      <c r="J50" s="748"/>
      <c r="K50" s="748"/>
      <c r="L50" s="748"/>
      <c r="M50" s="748"/>
      <c r="N50" s="748"/>
      <c r="O50" s="748"/>
      <c r="P50" s="748"/>
      <c r="Q50" s="748"/>
      <c r="R50" s="748"/>
      <c r="S50" s="748"/>
      <c r="T50" s="748"/>
      <c r="U50" s="748"/>
      <c r="V50" s="748"/>
      <c r="W50" s="748"/>
      <c r="X50" s="748"/>
      <c r="Y50" s="748"/>
      <c r="Z50" s="748"/>
      <c r="AA50" s="748"/>
      <c r="AB50" s="748"/>
      <c r="AC50" s="748"/>
      <c r="AD50" s="748"/>
      <c r="AE50" s="748"/>
      <c r="AF50" s="748"/>
      <c r="AG50" s="748"/>
      <c r="AH50" s="748"/>
      <c r="AI50" s="748"/>
      <c r="AJ50" s="748"/>
      <c r="AK50" s="748"/>
      <c r="AL50" s="748"/>
      <c r="AP50" s="767"/>
    </row>
    <row r="51" spans="2:43" ht="11.25" customHeight="1">
      <c r="B51" s="740" t="s">
        <v>151</v>
      </c>
      <c r="C51" s="749">
        <f>+C24-C49</f>
        <v>392857.34716</v>
      </c>
      <c r="D51" s="749">
        <f t="shared" ref="D51:AO51" si="21">+D24-D49</f>
        <v>392857.34716</v>
      </c>
      <c r="E51" s="749">
        <f t="shared" si="21"/>
        <v>392857.34716</v>
      </c>
      <c r="F51" s="749">
        <f t="shared" si="21"/>
        <v>408082.15006399999</v>
      </c>
      <c r="G51" s="749">
        <f t="shared" si="21"/>
        <v>408333.19423100003</v>
      </c>
      <c r="H51" s="749">
        <f t="shared" si="21"/>
        <v>403791.18756400002</v>
      </c>
      <c r="I51" s="749">
        <f t="shared" si="21"/>
        <v>403791.18756400002</v>
      </c>
      <c r="J51" s="749">
        <f t="shared" si="21"/>
        <v>403791.18756400002</v>
      </c>
      <c r="K51" s="749">
        <f t="shared" si="21"/>
        <v>403791.18756400002</v>
      </c>
      <c r="L51" s="749">
        <f t="shared" si="21"/>
        <v>403791.18756400002</v>
      </c>
      <c r="M51" s="749">
        <f t="shared" si="21"/>
        <v>403791.18756400002</v>
      </c>
      <c r="N51" s="749">
        <f t="shared" si="21"/>
        <v>408259.78194299998</v>
      </c>
      <c r="O51" s="749">
        <f t="shared" si="21"/>
        <v>406261.02252658329</v>
      </c>
      <c r="P51" s="749">
        <f t="shared" si="21"/>
        <v>406261.02252658329</v>
      </c>
      <c r="Q51" s="749">
        <f t="shared" si="21"/>
        <v>406261.02252658329</v>
      </c>
      <c r="R51" s="749">
        <f t="shared" si="21"/>
        <v>421608.58247174823</v>
      </c>
      <c r="S51" s="749">
        <f t="shared" si="21"/>
        <v>421608.58247174823</v>
      </c>
      <c r="T51" s="749">
        <f t="shared" si="21"/>
        <v>421608.58247174823</v>
      </c>
      <c r="U51" s="749">
        <f t="shared" si="21"/>
        <v>421608.58247174823</v>
      </c>
      <c r="V51" s="749">
        <f t="shared" si="21"/>
        <v>421608.58247174823</v>
      </c>
      <c r="W51" s="749">
        <f t="shared" si="21"/>
        <v>421608.58247174823</v>
      </c>
      <c r="X51" s="749">
        <f t="shared" si="21"/>
        <v>421608.58247174823</v>
      </c>
      <c r="Y51" s="749">
        <f t="shared" si="21"/>
        <v>421608.58247174823</v>
      </c>
      <c r="Z51" s="749">
        <f t="shared" si="21"/>
        <v>421608.58247174823</v>
      </c>
      <c r="AA51" s="749">
        <f t="shared" si="21"/>
        <v>409620.59008166497</v>
      </c>
      <c r="AB51" s="749">
        <f t="shared" si="21"/>
        <v>409620.59008166497</v>
      </c>
      <c r="AC51" s="749">
        <f t="shared" si="21"/>
        <v>409620.59008166497</v>
      </c>
      <c r="AD51" s="749">
        <f t="shared" si="21"/>
        <v>425505.31462491071</v>
      </c>
      <c r="AE51" s="749">
        <f t="shared" si="21"/>
        <v>425505.31462491071</v>
      </c>
      <c r="AF51" s="749">
        <f t="shared" si="21"/>
        <v>425505.31462491071</v>
      </c>
      <c r="AG51" s="749">
        <f t="shared" si="21"/>
        <v>425505.31462491071</v>
      </c>
      <c r="AH51" s="749">
        <f t="shared" si="21"/>
        <v>425505.31462491071</v>
      </c>
      <c r="AI51" s="749">
        <f t="shared" si="21"/>
        <v>425505.31462491071</v>
      </c>
      <c r="AJ51" s="749">
        <f t="shared" si="21"/>
        <v>425505.31462491071</v>
      </c>
      <c r="AK51" s="749">
        <f t="shared" si="21"/>
        <v>425505.31462491071</v>
      </c>
      <c r="AL51" s="749">
        <f t="shared" si="21"/>
        <v>425505.31462491071</v>
      </c>
      <c r="AM51" s="749">
        <f t="shared" si="21"/>
        <v>423508.9780138731</v>
      </c>
      <c r="AN51" s="749">
        <f t="shared" si="21"/>
        <v>423508.9780138731</v>
      </c>
      <c r="AO51" s="749">
        <f t="shared" si="21"/>
        <v>423508.9780138731</v>
      </c>
      <c r="AP51" s="752"/>
    </row>
    <row r="52" spans="2:43" ht="12.75" customHeight="1">
      <c r="C52" s="748"/>
      <c r="D52" s="748"/>
      <c r="E52" s="748"/>
      <c r="F52" s="748"/>
      <c r="G52" s="748"/>
      <c r="H52" s="748"/>
      <c r="I52" s="748"/>
      <c r="J52" s="748"/>
      <c r="K52" s="748"/>
      <c r="L52" s="748"/>
      <c r="M52" s="748"/>
      <c r="N52" s="748"/>
      <c r="O52" s="748"/>
      <c r="P52" s="748"/>
      <c r="Q52" s="748"/>
      <c r="R52" s="748"/>
      <c r="S52" s="748"/>
      <c r="T52" s="748"/>
      <c r="U52" s="748"/>
      <c r="V52" s="748"/>
      <c r="W52" s="748"/>
      <c r="X52" s="748"/>
      <c r="Y52" s="748"/>
      <c r="Z52" s="748"/>
      <c r="AA52" s="748"/>
      <c r="AB52" s="748"/>
      <c r="AC52" s="748"/>
      <c r="AD52" s="748"/>
      <c r="AE52" s="748"/>
      <c r="AF52" s="748"/>
      <c r="AG52" s="748"/>
      <c r="AH52" s="748"/>
      <c r="AI52" s="748"/>
      <c r="AJ52" s="748"/>
      <c r="AK52" s="748"/>
      <c r="AL52" s="748"/>
      <c r="AP52" s="767"/>
    </row>
    <row r="53" spans="2:43" ht="12" customHeight="1">
      <c r="B53" s="740" t="s">
        <v>633</v>
      </c>
      <c r="C53" s="748"/>
      <c r="D53" s="748"/>
      <c r="E53" s="748"/>
      <c r="F53" s="748"/>
      <c r="G53" s="748"/>
      <c r="H53" s="748"/>
      <c r="I53" s="748"/>
      <c r="J53" s="748"/>
      <c r="K53" s="748"/>
      <c r="L53" s="748"/>
      <c r="M53" s="748"/>
      <c r="N53" s="748"/>
      <c r="O53" s="748"/>
      <c r="P53" s="748"/>
      <c r="Q53" s="748"/>
      <c r="R53" s="748"/>
      <c r="S53" s="748"/>
      <c r="T53" s="748"/>
      <c r="U53" s="748"/>
      <c r="V53" s="748"/>
      <c r="W53" s="748"/>
      <c r="X53" s="748"/>
      <c r="Y53" s="748"/>
      <c r="Z53" s="748"/>
      <c r="AA53" s="748"/>
      <c r="AB53" s="748"/>
      <c r="AC53" s="748"/>
      <c r="AD53" s="748"/>
      <c r="AE53" s="748"/>
      <c r="AF53" s="748"/>
      <c r="AG53" s="748"/>
      <c r="AH53" s="748"/>
      <c r="AI53" s="748"/>
      <c r="AJ53" s="748"/>
      <c r="AK53" s="748"/>
      <c r="AL53" s="748"/>
      <c r="AP53" s="767"/>
    </row>
    <row r="54" spans="2:43" ht="12" customHeight="1">
      <c r="B54" s="740" t="s">
        <v>634</v>
      </c>
      <c r="C54" s="744">
        <v>1268.8474804166667</v>
      </c>
      <c r="D54" s="744">
        <v>1268.8474804166667</v>
      </c>
      <c r="E54" s="744">
        <v>1268.8474804166667</v>
      </c>
      <c r="F54" s="744">
        <v>1268.8474804166667</v>
      </c>
      <c r="G54" s="744">
        <v>1268.8474804166667</v>
      </c>
      <c r="H54" s="744">
        <v>1268.8474804166667</v>
      </c>
      <c r="I54" s="744">
        <v>1268.8474804166667</v>
      </c>
      <c r="J54" s="744">
        <v>1268.8474804166667</v>
      </c>
      <c r="K54" s="744">
        <v>1268.8474804166667</v>
      </c>
      <c r="L54" s="744">
        <v>1268.8474804166667</v>
      </c>
      <c r="M54" s="744">
        <v>1268.8474804166667</v>
      </c>
      <c r="N54" s="744">
        <v>1268.8474804166667</v>
      </c>
      <c r="O54" s="744"/>
      <c r="P54" s="744"/>
      <c r="Q54" s="744"/>
      <c r="R54" s="744"/>
      <c r="S54" s="744"/>
      <c r="T54" s="744"/>
      <c r="U54" s="744"/>
      <c r="V54" s="744"/>
      <c r="W54" s="744"/>
      <c r="X54" s="744"/>
      <c r="Y54" s="744"/>
      <c r="Z54" s="744"/>
      <c r="AA54" s="744">
        <v>4003.1161059999999</v>
      </c>
      <c r="AB54" s="744">
        <v>4003.1161059999999</v>
      </c>
      <c r="AC54" s="744">
        <v>4003.1161059999999</v>
      </c>
      <c r="AD54" s="744">
        <v>4003.1161059999999</v>
      </c>
      <c r="AE54" s="744">
        <v>4003.1161059999999</v>
      </c>
      <c r="AF54" s="744">
        <v>4003.1161059999999</v>
      </c>
      <c r="AG54" s="744">
        <v>4003.1161059999999</v>
      </c>
      <c r="AH54" s="744">
        <v>4003.1161059999999</v>
      </c>
      <c r="AI54" s="744">
        <v>4003.1161059999999</v>
      </c>
      <c r="AJ54" s="744">
        <v>4003.1161059999999</v>
      </c>
      <c r="AK54" s="744">
        <v>4003.1161059999999</v>
      </c>
      <c r="AL54" s="744">
        <v>4003.1161059999999</v>
      </c>
      <c r="AM54" s="772"/>
      <c r="AN54" s="772"/>
      <c r="AO54" s="772"/>
      <c r="AP54" s="745"/>
      <c r="AQ54" s="746" t="s">
        <v>635</v>
      </c>
    </row>
    <row r="55" spans="2:43" ht="12" customHeight="1">
      <c r="B55" s="740" t="s">
        <v>636</v>
      </c>
      <c r="C55" s="747">
        <f>+C54</f>
        <v>1268.8474804166667</v>
      </c>
      <c r="D55" s="747">
        <f t="shared" ref="D55:N55" si="22">+D54</f>
        <v>1268.8474804166667</v>
      </c>
      <c r="E55" s="747">
        <f t="shared" si="22"/>
        <v>1268.8474804166667</v>
      </c>
      <c r="F55" s="747">
        <f t="shared" si="22"/>
        <v>1268.8474804166667</v>
      </c>
      <c r="G55" s="747">
        <f t="shared" si="22"/>
        <v>1268.8474804166667</v>
      </c>
      <c r="H55" s="747">
        <f t="shared" si="22"/>
        <v>1268.8474804166667</v>
      </c>
      <c r="I55" s="747">
        <f t="shared" si="22"/>
        <v>1268.8474804166667</v>
      </c>
      <c r="J55" s="747">
        <f t="shared" si="22"/>
        <v>1268.8474804166667</v>
      </c>
      <c r="K55" s="747">
        <f t="shared" si="22"/>
        <v>1268.8474804166667</v>
      </c>
      <c r="L55" s="747">
        <f t="shared" si="22"/>
        <v>1268.8474804166667</v>
      </c>
      <c r="M55" s="747">
        <f t="shared" si="22"/>
        <v>1268.8474804166667</v>
      </c>
      <c r="N55" s="747">
        <f t="shared" si="22"/>
        <v>1268.8474804166667</v>
      </c>
      <c r="O55" s="747">
        <f t="shared" ref="O55:AO55" si="23">+O54</f>
        <v>0</v>
      </c>
      <c r="P55" s="747">
        <f t="shared" si="23"/>
        <v>0</v>
      </c>
      <c r="Q55" s="747">
        <f t="shared" si="23"/>
        <v>0</v>
      </c>
      <c r="R55" s="747">
        <f t="shared" si="23"/>
        <v>0</v>
      </c>
      <c r="S55" s="747">
        <f t="shared" si="23"/>
        <v>0</v>
      </c>
      <c r="T55" s="747">
        <f t="shared" si="23"/>
        <v>0</v>
      </c>
      <c r="U55" s="747">
        <f t="shared" si="23"/>
        <v>0</v>
      </c>
      <c r="V55" s="747">
        <f t="shared" si="23"/>
        <v>0</v>
      </c>
      <c r="W55" s="747">
        <f t="shared" si="23"/>
        <v>0</v>
      </c>
      <c r="X55" s="747">
        <f t="shared" si="23"/>
        <v>0</v>
      </c>
      <c r="Y55" s="747">
        <f t="shared" si="23"/>
        <v>0</v>
      </c>
      <c r="Z55" s="747">
        <f t="shared" si="23"/>
        <v>0</v>
      </c>
      <c r="AA55" s="747">
        <f t="shared" si="23"/>
        <v>4003.1161059999999</v>
      </c>
      <c r="AB55" s="747">
        <f t="shared" si="23"/>
        <v>4003.1161059999999</v>
      </c>
      <c r="AC55" s="747">
        <f t="shared" si="23"/>
        <v>4003.1161059999999</v>
      </c>
      <c r="AD55" s="747">
        <f t="shared" si="23"/>
        <v>4003.1161059999999</v>
      </c>
      <c r="AE55" s="747">
        <f t="shared" si="23"/>
        <v>4003.1161059999999</v>
      </c>
      <c r="AF55" s="747">
        <f t="shared" si="23"/>
        <v>4003.1161059999999</v>
      </c>
      <c r="AG55" s="747">
        <f t="shared" si="23"/>
        <v>4003.1161059999999</v>
      </c>
      <c r="AH55" s="747">
        <f t="shared" si="23"/>
        <v>4003.1161059999999</v>
      </c>
      <c r="AI55" s="747">
        <f t="shared" si="23"/>
        <v>4003.1161059999999</v>
      </c>
      <c r="AJ55" s="747">
        <f t="shared" si="23"/>
        <v>4003.1161059999999</v>
      </c>
      <c r="AK55" s="747">
        <f t="shared" si="23"/>
        <v>4003.1161059999999</v>
      </c>
      <c r="AL55" s="747">
        <f t="shared" si="23"/>
        <v>4003.1161059999999</v>
      </c>
      <c r="AM55" s="747">
        <f t="shared" si="23"/>
        <v>0</v>
      </c>
      <c r="AN55" s="747">
        <f t="shared" si="23"/>
        <v>0</v>
      </c>
      <c r="AO55" s="747">
        <f t="shared" si="23"/>
        <v>0</v>
      </c>
      <c r="AP55" s="752"/>
    </row>
    <row r="56" spans="2:43" ht="12.75" customHeight="1">
      <c r="C56" s="748"/>
      <c r="D56" s="748"/>
      <c r="E56" s="748"/>
      <c r="F56" s="748"/>
      <c r="G56" s="748"/>
      <c r="H56" s="748"/>
      <c r="I56" s="748"/>
      <c r="J56" s="748"/>
      <c r="K56" s="748"/>
      <c r="L56" s="748"/>
      <c r="M56" s="748"/>
      <c r="N56" s="748"/>
      <c r="O56" s="748"/>
      <c r="P56" s="748"/>
      <c r="Q56" s="748"/>
      <c r="R56" s="748"/>
      <c r="S56" s="748"/>
      <c r="T56" s="748"/>
      <c r="U56" s="748"/>
      <c r="V56" s="748"/>
      <c r="W56" s="748"/>
      <c r="X56" s="748"/>
      <c r="Y56" s="748"/>
      <c r="Z56" s="748"/>
      <c r="AA56" s="748"/>
      <c r="AB56" s="748"/>
      <c r="AC56" s="748"/>
      <c r="AD56" s="748"/>
      <c r="AE56" s="748"/>
      <c r="AF56" s="748"/>
      <c r="AG56" s="748"/>
      <c r="AH56" s="748"/>
      <c r="AI56" s="748"/>
      <c r="AJ56" s="748"/>
      <c r="AK56" s="748"/>
      <c r="AL56" s="748"/>
      <c r="AP56" s="767"/>
    </row>
    <row r="57" spans="2:43" ht="12" customHeight="1">
      <c r="B57" s="740" t="s">
        <v>637</v>
      </c>
      <c r="C57" s="749">
        <f>+C51-C55</f>
        <v>391588.49967958336</v>
      </c>
      <c r="D57" s="749">
        <f t="shared" ref="D57:AO57" si="24">+D51-D55</f>
        <v>391588.49967958336</v>
      </c>
      <c r="E57" s="749">
        <f t="shared" si="24"/>
        <v>391588.49967958336</v>
      </c>
      <c r="F57" s="749">
        <f t="shared" si="24"/>
        <v>406813.30258358334</v>
      </c>
      <c r="G57" s="749">
        <f t="shared" si="24"/>
        <v>407064.34675058338</v>
      </c>
      <c r="H57" s="749">
        <f t="shared" si="24"/>
        <v>402522.34008358337</v>
      </c>
      <c r="I57" s="749">
        <f t="shared" si="24"/>
        <v>402522.34008358337</v>
      </c>
      <c r="J57" s="749">
        <f t="shared" si="24"/>
        <v>402522.34008358337</v>
      </c>
      <c r="K57" s="749">
        <f t="shared" si="24"/>
        <v>402522.34008358337</v>
      </c>
      <c r="L57" s="749">
        <f t="shared" si="24"/>
        <v>402522.34008358337</v>
      </c>
      <c r="M57" s="749">
        <f t="shared" si="24"/>
        <v>402522.34008358337</v>
      </c>
      <c r="N57" s="749">
        <f t="shared" si="24"/>
        <v>406990.93446258333</v>
      </c>
      <c r="O57" s="749">
        <f t="shared" si="24"/>
        <v>406261.02252658329</v>
      </c>
      <c r="P57" s="749">
        <f t="shared" si="24"/>
        <v>406261.02252658329</v>
      </c>
      <c r="Q57" s="749">
        <f t="shared" si="24"/>
        <v>406261.02252658329</v>
      </c>
      <c r="R57" s="749">
        <f t="shared" si="24"/>
        <v>421608.58247174823</v>
      </c>
      <c r="S57" s="749">
        <f t="shared" si="24"/>
        <v>421608.58247174823</v>
      </c>
      <c r="T57" s="749">
        <f t="shared" si="24"/>
        <v>421608.58247174823</v>
      </c>
      <c r="U57" s="749">
        <f t="shared" si="24"/>
        <v>421608.58247174823</v>
      </c>
      <c r="V57" s="749">
        <f t="shared" si="24"/>
        <v>421608.58247174823</v>
      </c>
      <c r="W57" s="749">
        <f t="shared" si="24"/>
        <v>421608.58247174823</v>
      </c>
      <c r="X57" s="749">
        <f t="shared" si="24"/>
        <v>421608.58247174823</v>
      </c>
      <c r="Y57" s="749">
        <f t="shared" si="24"/>
        <v>421608.58247174823</v>
      </c>
      <c r="Z57" s="749">
        <f t="shared" si="24"/>
        <v>421608.58247174823</v>
      </c>
      <c r="AA57" s="749">
        <f t="shared" si="24"/>
        <v>405617.47397566499</v>
      </c>
      <c r="AB57" s="749">
        <f t="shared" si="24"/>
        <v>405617.47397566499</v>
      </c>
      <c r="AC57" s="749">
        <f t="shared" si="24"/>
        <v>405617.47397566499</v>
      </c>
      <c r="AD57" s="749">
        <f t="shared" si="24"/>
        <v>421502.19851891074</v>
      </c>
      <c r="AE57" s="749">
        <f t="shared" si="24"/>
        <v>421502.19851891074</v>
      </c>
      <c r="AF57" s="749">
        <f t="shared" si="24"/>
        <v>421502.19851891074</v>
      </c>
      <c r="AG57" s="749">
        <f t="shared" si="24"/>
        <v>421502.19851891074</v>
      </c>
      <c r="AH57" s="749">
        <f t="shared" si="24"/>
        <v>421502.19851891074</v>
      </c>
      <c r="AI57" s="749">
        <f t="shared" si="24"/>
        <v>421502.19851891074</v>
      </c>
      <c r="AJ57" s="749">
        <f t="shared" si="24"/>
        <v>421502.19851891074</v>
      </c>
      <c r="AK57" s="749">
        <f t="shared" si="24"/>
        <v>421502.19851891074</v>
      </c>
      <c r="AL57" s="749">
        <f t="shared" si="24"/>
        <v>421502.19851891074</v>
      </c>
      <c r="AM57" s="749">
        <f t="shared" si="24"/>
        <v>423508.9780138731</v>
      </c>
      <c r="AN57" s="749">
        <f t="shared" si="24"/>
        <v>423508.9780138731</v>
      </c>
      <c r="AO57" s="749">
        <f t="shared" si="24"/>
        <v>423508.9780138731</v>
      </c>
      <c r="AP57" s="752"/>
    </row>
    <row r="58" spans="2:43" ht="12.75" customHeight="1">
      <c r="C58" s="748"/>
      <c r="D58" s="748"/>
      <c r="E58" s="748"/>
      <c r="F58" s="748"/>
      <c r="G58" s="748"/>
      <c r="H58" s="748"/>
      <c r="I58" s="748"/>
      <c r="J58" s="748"/>
      <c r="K58" s="748"/>
      <c r="L58" s="748"/>
      <c r="M58" s="748"/>
      <c r="N58" s="748"/>
      <c r="O58" s="748"/>
      <c r="P58" s="748"/>
      <c r="Q58" s="748"/>
      <c r="R58" s="748"/>
      <c r="S58" s="748"/>
      <c r="T58" s="748"/>
      <c r="U58" s="748"/>
      <c r="V58" s="748"/>
      <c r="W58" s="748"/>
      <c r="X58" s="748"/>
      <c r="Y58" s="748"/>
      <c r="Z58" s="748"/>
      <c r="AA58" s="748"/>
      <c r="AB58" s="748"/>
      <c r="AC58" s="748"/>
      <c r="AD58" s="748"/>
      <c r="AE58" s="748"/>
      <c r="AF58" s="748"/>
      <c r="AG58" s="748"/>
      <c r="AH58" s="748"/>
      <c r="AI58" s="748"/>
      <c r="AJ58" s="748"/>
      <c r="AK58" s="748"/>
      <c r="AL58" s="748"/>
      <c r="AP58" s="767"/>
    </row>
    <row r="59" spans="2:43" ht="12" customHeight="1">
      <c r="B59" s="740" t="s">
        <v>638</v>
      </c>
      <c r="C59" s="748"/>
      <c r="D59" s="748"/>
      <c r="E59" s="748"/>
      <c r="F59" s="748"/>
      <c r="G59" s="748"/>
      <c r="H59" s="748"/>
      <c r="I59" s="748"/>
      <c r="J59" s="748"/>
      <c r="K59" s="748"/>
      <c r="L59" s="748"/>
      <c r="M59" s="748"/>
      <c r="N59" s="748"/>
      <c r="O59" s="748"/>
      <c r="P59" s="748"/>
      <c r="Q59" s="748"/>
      <c r="R59" s="748"/>
      <c r="S59" s="748"/>
      <c r="T59" s="748"/>
      <c r="U59" s="748"/>
      <c r="V59" s="748"/>
      <c r="W59" s="748"/>
      <c r="X59" s="748"/>
      <c r="Y59" s="748"/>
      <c r="Z59" s="748"/>
      <c r="AA59" s="748"/>
      <c r="AB59" s="748"/>
      <c r="AC59" s="748"/>
      <c r="AD59" s="748"/>
      <c r="AE59" s="748"/>
      <c r="AF59" s="748"/>
      <c r="AG59" s="748"/>
      <c r="AH59" s="748"/>
      <c r="AI59" s="748"/>
      <c r="AJ59" s="748"/>
      <c r="AK59" s="748"/>
      <c r="AL59" s="748"/>
      <c r="AP59" s="767"/>
    </row>
    <row r="60" spans="2:43" ht="12" customHeight="1">
      <c r="B60" s="740" t="s">
        <v>639</v>
      </c>
      <c r="C60" s="744">
        <v>-116171.16666666667</v>
      </c>
      <c r="D60" s="744">
        <v>-116171.16666666667</v>
      </c>
      <c r="E60" s="744">
        <v>-116171.16666666667</v>
      </c>
      <c r="F60" s="744">
        <v>-116171.16666666667</v>
      </c>
      <c r="G60" s="744">
        <v>-116171.16666666667</v>
      </c>
      <c r="H60" s="744">
        <v>-116171.16666666667</v>
      </c>
      <c r="I60" s="744">
        <v>-116171.16666666667</v>
      </c>
      <c r="J60" s="744">
        <v>-116171.16666666667</v>
      </c>
      <c r="K60" s="744">
        <v>-116171.16666666667</v>
      </c>
      <c r="L60" s="744">
        <v>-116171.16666666667</v>
      </c>
      <c r="M60" s="744">
        <v>-116171.16666666667</v>
      </c>
      <c r="N60" s="744">
        <v>-116171.16666666667</v>
      </c>
      <c r="O60" s="744">
        <v>-4166.666666666667</v>
      </c>
      <c r="P60" s="744">
        <v>-4166.666666666667</v>
      </c>
      <c r="Q60" s="744">
        <v>-4166.666666666667</v>
      </c>
      <c r="R60" s="744">
        <v>-4166.666666666667</v>
      </c>
      <c r="S60" s="744">
        <v>-4166.666666666667</v>
      </c>
      <c r="T60" s="744">
        <v>-4166.666666666667</v>
      </c>
      <c r="U60" s="744">
        <v>-4166.666666666667</v>
      </c>
      <c r="V60" s="744">
        <v>-4166.666666666667</v>
      </c>
      <c r="W60" s="744">
        <v>-4166.666666666667</v>
      </c>
      <c r="X60" s="744">
        <v>-4166.666666666667</v>
      </c>
      <c r="Y60" s="744">
        <v>-4166.666666666667</v>
      </c>
      <c r="Z60" s="744">
        <v>-4166.666666666667</v>
      </c>
      <c r="AA60" s="744">
        <v>-9963</v>
      </c>
      <c r="AB60" s="744">
        <v>-9963</v>
      </c>
      <c r="AC60" s="744">
        <v>-9963</v>
      </c>
      <c r="AD60" s="744">
        <v>-9963</v>
      </c>
      <c r="AE60" s="744">
        <v>-9963</v>
      </c>
      <c r="AF60" s="744">
        <v>-9963</v>
      </c>
      <c r="AG60" s="744">
        <v>-9963</v>
      </c>
      <c r="AH60" s="744">
        <v>-9963</v>
      </c>
      <c r="AI60" s="744">
        <v>-9963</v>
      </c>
      <c r="AJ60" s="744">
        <v>-9963</v>
      </c>
      <c r="AK60" s="744">
        <v>-9963</v>
      </c>
      <c r="AL60" s="744">
        <f>AK60</f>
        <v>-9963</v>
      </c>
      <c r="AM60" s="773">
        <f>AL60</f>
        <v>-9963</v>
      </c>
      <c r="AN60" s="773">
        <f t="shared" ref="AN60:AO60" si="25">AM60</f>
        <v>-9963</v>
      </c>
      <c r="AO60" s="773">
        <f t="shared" si="25"/>
        <v>-9963</v>
      </c>
      <c r="AP60" s="745"/>
      <c r="AQ60" s="746" t="s">
        <v>640</v>
      </c>
    </row>
    <row r="61" spans="2:43" ht="12" customHeight="1">
      <c r="B61" s="740" t="s">
        <v>641</v>
      </c>
      <c r="C61" s="747">
        <f>+C60</f>
        <v>-116171.16666666667</v>
      </c>
      <c r="D61" s="747">
        <f t="shared" ref="D61:N61" si="26">+D60</f>
        <v>-116171.16666666667</v>
      </c>
      <c r="E61" s="747">
        <f t="shared" si="26"/>
        <v>-116171.16666666667</v>
      </c>
      <c r="F61" s="747">
        <f t="shared" si="26"/>
        <v>-116171.16666666667</v>
      </c>
      <c r="G61" s="747">
        <f t="shared" si="26"/>
        <v>-116171.16666666667</v>
      </c>
      <c r="H61" s="747">
        <f t="shared" si="26"/>
        <v>-116171.16666666667</v>
      </c>
      <c r="I61" s="747">
        <f t="shared" si="26"/>
        <v>-116171.16666666667</v>
      </c>
      <c r="J61" s="747">
        <f t="shared" si="26"/>
        <v>-116171.16666666667</v>
      </c>
      <c r="K61" s="747">
        <f t="shared" si="26"/>
        <v>-116171.16666666667</v>
      </c>
      <c r="L61" s="747">
        <f t="shared" si="26"/>
        <v>-116171.16666666667</v>
      </c>
      <c r="M61" s="747">
        <f t="shared" si="26"/>
        <v>-116171.16666666667</v>
      </c>
      <c r="N61" s="747">
        <f t="shared" si="26"/>
        <v>-116171.16666666667</v>
      </c>
      <c r="O61" s="747">
        <f t="shared" ref="O61:AL61" si="27">+O60</f>
        <v>-4166.666666666667</v>
      </c>
      <c r="P61" s="747">
        <f t="shared" si="27"/>
        <v>-4166.666666666667</v>
      </c>
      <c r="Q61" s="747">
        <f t="shared" si="27"/>
        <v>-4166.666666666667</v>
      </c>
      <c r="R61" s="747">
        <f t="shared" si="27"/>
        <v>-4166.666666666667</v>
      </c>
      <c r="S61" s="747">
        <f t="shared" si="27"/>
        <v>-4166.666666666667</v>
      </c>
      <c r="T61" s="747">
        <f t="shared" si="27"/>
        <v>-4166.666666666667</v>
      </c>
      <c r="U61" s="747">
        <f t="shared" si="27"/>
        <v>-4166.666666666667</v>
      </c>
      <c r="V61" s="747">
        <f t="shared" si="27"/>
        <v>-4166.666666666667</v>
      </c>
      <c r="W61" s="747">
        <f t="shared" si="27"/>
        <v>-4166.666666666667</v>
      </c>
      <c r="X61" s="747">
        <f t="shared" si="27"/>
        <v>-4166.666666666667</v>
      </c>
      <c r="Y61" s="747">
        <f t="shared" si="27"/>
        <v>-4166.666666666667</v>
      </c>
      <c r="Z61" s="747">
        <f t="shared" si="27"/>
        <v>-4166.666666666667</v>
      </c>
      <c r="AA61" s="747">
        <f t="shared" si="27"/>
        <v>-9963</v>
      </c>
      <c r="AB61" s="747">
        <f t="shared" si="27"/>
        <v>-9963</v>
      </c>
      <c r="AC61" s="747">
        <f t="shared" si="27"/>
        <v>-9963</v>
      </c>
      <c r="AD61" s="747">
        <f t="shared" si="27"/>
        <v>-9963</v>
      </c>
      <c r="AE61" s="747">
        <f t="shared" si="27"/>
        <v>-9963</v>
      </c>
      <c r="AF61" s="747">
        <f t="shared" si="27"/>
        <v>-9963</v>
      </c>
      <c r="AG61" s="747">
        <f t="shared" si="27"/>
        <v>-9963</v>
      </c>
      <c r="AH61" s="747">
        <f t="shared" si="27"/>
        <v>-9963</v>
      </c>
      <c r="AI61" s="747">
        <f t="shared" si="27"/>
        <v>-9963</v>
      </c>
      <c r="AJ61" s="747">
        <f t="shared" si="27"/>
        <v>-9963</v>
      </c>
      <c r="AK61" s="747">
        <f t="shared" si="27"/>
        <v>-9963</v>
      </c>
      <c r="AL61" s="747">
        <f t="shared" si="27"/>
        <v>-9963</v>
      </c>
      <c r="AM61" s="747">
        <f t="shared" ref="AM61:AO61" si="28">+AM60</f>
        <v>-9963</v>
      </c>
      <c r="AN61" s="747">
        <f t="shared" si="28"/>
        <v>-9963</v>
      </c>
      <c r="AO61" s="747">
        <f t="shared" si="28"/>
        <v>-9963</v>
      </c>
      <c r="AP61" s="752"/>
    </row>
    <row r="62" spans="2:43" ht="12.75" customHeight="1">
      <c r="C62" s="748"/>
      <c r="D62" s="748"/>
      <c r="E62" s="748"/>
      <c r="F62" s="748"/>
      <c r="G62" s="748"/>
      <c r="H62" s="748"/>
      <c r="I62" s="748"/>
      <c r="J62" s="748"/>
      <c r="K62" s="748"/>
      <c r="L62" s="748"/>
      <c r="M62" s="748"/>
      <c r="N62" s="748"/>
      <c r="O62" s="748"/>
      <c r="P62" s="748"/>
      <c r="Q62" s="748"/>
      <c r="R62" s="748"/>
      <c r="S62" s="748"/>
      <c r="T62" s="748"/>
      <c r="U62" s="748"/>
      <c r="V62" s="748"/>
      <c r="W62" s="748"/>
      <c r="X62" s="748"/>
      <c r="Y62" s="748"/>
      <c r="Z62" s="748"/>
      <c r="AA62" s="748"/>
      <c r="AB62" s="748"/>
      <c r="AC62" s="748"/>
      <c r="AD62" s="748"/>
      <c r="AE62" s="748"/>
      <c r="AF62" s="748"/>
      <c r="AG62" s="748"/>
      <c r="AH62" s="748"/>
      <c r="AI62" s="748"/>
      <c r="AJ62" s="748"/>
      <c r="AK62" s="748"/>
      <c r="AL62" s="748"/>
      <c r="AP62" s="767"/>
    </row>
    <row r="63" spans="2:43" ht="12" customHeight="1" thickBot="1">
      <c r="B63" s="740" t="s">
        <v>152</v>
      </c>
      <c r="C63" s="751">
        <f t="shared" ref="C63:AO63" si="29">+C57+C61</f>
        <v>275417.33301291667</v>
      </c>
      <c r="D63" s="751">
        <f t="shared" si="29"/>
        <v>275417.33301291667</v>
      </c>
      <c r="E63" s="751">
        <f t="shared" si="29"/>
        <v>275417.33301291667</v>
      </c>
      <c r="F63" s="751">
        <f t="shared" si="29"/>
        <v>290642.13591691665</v>
      </c>
      <c r="G63" s="751">
        <f t="shared" si="29"/>
        <v>290893.1800839167</v>
      </c>
      <c r="H63" s="751">
        <f t="shared" si="29"/>
        <v>286351.17341691669</v>
      </c>
      <c r="I63" s="751">
        <f t="shared" si="29"/>
        <v>286351.17341691669</v>
      </c>
      <c r="J63" s="751">
        <f t="shared" si="29"/>
        <v>286351.17341691669</v>
      </c>
      <c r="K63" s="751">
        <f t="shared" si="29"/>
        <v>286351.17341691669</v>
      </c>
      <c r="L63" s="751">
        <f t="shared" si="29"/>
        <v>286351.17341691669</v>
      </c>
      <c r="M63" s="751">
        <f t="shared" si="29"/>
        <v>286351.17341691669</v>
      </c>
      <c r="N63" s="751">
        <f t="shared" si="29"/>
        <v>290819.76779591665</v>
      </c>
      <c r="O63" s="751">
        <f t="shared" si="29"/>
        <v>402094.3558599166</v>
      </c>
      <c r="P63" s="751">
        <f t="shared" si="29"/>
        <v>402094.3558599166</v>
      </c>
      <c r="Q63" s="751">
        <f t="shared" si="29"/>
        <v>402094.3558599166</v>
      </c>
      <c r="R63" s="751">
        <f t="shared" si="29"/>
        <v>417441.91580508155</v>
      </c>
      <c r="S63" s="751">
        <f t="shared" si="29"/>
        <v>417441.91580508155</v>
      </c>
      <c r="T63" s="751">
        <f t="shared" si="29"/>
        <v>417441.91580508155</v>
      </c>
      <c r="U63" s="751">
        <f t="shared" si="29"/>
        <v>417441.91580508155</v>
      </c>
      <c r="V63" s="751">
        <f t="shared" si="29"/>
        <v>417441.91580508155</v>
      </c>
      <c r="W63" s="751">
        <f t="shared" si="29"/>
        <v>417441.91580508155</v>
      </c>
      <c r="X63" s="751">
        <f t="shared" si="29"/>
        <v>417441.91580508155</v>
      </c>
      <c r="Y63" s="751">
        <f t="shared" si="29"/>
        <v>417441.91580508155</v>
      </c>
      <c r="Z63" s="751">
        <f t="shared" si="29"/>
        <v>417441.91580508155</v>
      </c>
      <c r="AA63" s="751">
        <f t="shared" si="29"/>
        <v>395654.47397566499</v>
      </c>
      <c r="AB63" s="751">
        <f t="shared" si="29"/>
        <v>395654.47397566499</v>
      </c>
      <c r="AC63" s="751">
        <f t="shared" si="29"/>
        <v>395654.47397566499</v>
      </c>
      <c r="AD63" s="751">
        <f t="shared" si="29"/>
        <v>411539.19851891074</v>
      </c>
      <c r="AE63" s="751">
        <f t="shared" si="29"/>
        <v>411539.19851891074</v>
      </c>
      <c r="AF63" s="751">
        <f t="shared" si="29"/>
        <v>411539.19851891074</v>
      </c>
      <c r="AG63" s="751">
        <f t="shared" si="29"/>
        <v>411539.19851891074</v>
      </c>
      <c r="AH63" s="751">
        <f t="shared" si="29"/>
        <v>411539.19851891074</v>
      </c>
      <c r="AI63" s="751">
        <f t="shared" si="29"/>
        <v>411539.19851891074</v>
      </c>
      <c r="AJ63" s="751">
        <f t="shared" si="29"/>
        <v>411539.19851891074</v>
      </c>
      <c r="AK63" s="751">
        <f t="shared" si="29"/>
        <v>411539.19851891074</v>
      </c>
      <c r="AL63" s="751">
        <f t="shared" si="29"/>
        <v>411539.19851891074</v>
      </c>
      <c r="AM63" s="751">
        <f t="shared" si="29"/>
        <v>413545.9780138731</v>
      </c>
      <c r="AN63" s="751">
        <f t="shared" si="29"/>
        <v>413545.9780138731</v>
      </c>
      <c r="AO63" s="751">
        <f t="shared" si="29"/>
        <v>413545.9780138731</v>
      </c>
      <c r="AP63" s="752">
        <f>SUM(C63:AO63)</f>
        <v>14511428.575801305</v>
      </c>
    </row>
    <row r="64" spans="2:43">
      <c r="AP64" s="767"/>
    </row>
    <row r="65" spans="2:42">
      <c r="B65" s="739" t="str">
        <f>최초3개년추정!B54</f>
        <v>Trust Expenses</v>
      </c>
      <c r="F65" s="979">
        <f>최초3개년추정!C54/12</f>
        <v>25991.833333333332</v>
      </c>
      <c r="G65" s="979">
        <f>F65</f>
        <v>25991.833333333332</v>
      </c>
      <c r="H65" s="979">
        <f t="shared" ref="H65:AO65" si="30">G65</f>
        <v>25991.833333333332</v>
      </c>
      <c r="I65" s="979">
        <f t="shared" si="30"/>
        <v>25991.833333333332</v>
      </c>
      <c r="J65" s="979">
        <f t="shared" si="30"/>
        <v>25991.833333333332</v>
      </c>
      <c r="K65" s="979">
        <f t="shared" si="30"/>
        <v>25991.833333333332</v>
      </c>
      <c r="L65" s="979">
        <f t="shared" si="30"/>
        <v>25991.833333333332</v>
      </c>
      <c r="M65" s="979">
        <f t="shared" si="30"/>
        <v>25991.833333333332</v>
      </c>
      <c r="N65" s="979">
        <f t="shared" si="30"/>
        <v>25991.833333333332</v>
      </c>
      <c r="O65" s="979">
        <f t="shared" si="30"/>
        <v>25991.833333333332</v>
      </c>
      <c r="P65" s="979">
        <f t="shared" si="30"/>
        <v>25991.833333333332</v>
      </c>
      <c r="Q65" s="979">
        <f t="shared" si="30"/>
        <v>25991.833333333332</v>
      </c>
      <c r="R65" s="980">
        <f>Q65*1.05</f>
        <v>27291.424999999999</v>
      </c>
      <c r="S65" s="979">
        <f t="shared" si="30"/>
        <v>27291.424999999999</v>
      </c>
      <c r="T65" s="979">
        <f t="shared" si="30"/>
        <v>27291.424999999999</v>
      </c>
      <c r="U65" s="979">
        <f t="shared" si="30"/>
        <v>27291.424999999999</v>
      </c>
      <c r="V65" s="979">
        <f t="shared" si="30"/>
        <v>27291.424999999999</v>
      </c>
      <c r="W65" s="979">
        <f t="shared" si="30"/>
        <v>27291.424999999999</v>
      </c>
      <c r="X65" s="979">
        <f t="shared" si="30"/>
        <v>27291.424999999999</v>
      </c>
      <c r="Y65" s="979">
        <f t="shared" si="30"/>
        <v>27291.424999999999</v>
      </c>
      <c r="Z65" s="979">
        <f t="shared" si="30"/>
        <v>27291.424999999999</v>
      </c>
      <c r="AA65" s="979">
        <f t="shared" si="30"/>
        <v>27291.424999999999</v>
      </c>
      <c r="AB65" s="979">
        <f t="shared" si="30"/>
        <v>27291.424999999999</v>
      </c>
      <c r="AC65" s="979">
        <f t="shared" si="30"/>
        <v>27291.424999999999</v>
      </c>
      <c r="AD65" s="980">
        <f>AC65*1.05</f>
        <v>28655.99625</v>
      </c>
      <c r="AE65" s="979">
        <f t="shared" si="30"/>
        <v>28655.99625</v>
      </c>
      <c r="AF65" s="979">
        <f t="shared" si="30"/>
        <v>28655.99625</v>
      </c>
      <c r="AG65" s="979">
        <f t="shared" si="30"/>
        <v>28655.99625</v>
      </c>
      <c r="AH65" s="979">
        <f t="shared" si="30"/>
        <v>28655.99625</v>
      </c>
      <c r="AI65" s="979">
        <f t="shared" si="30"/>
        <v>28655.99625</v>
      </c>
      <c r="AJ65" s="979">
        <f t="shared" si="30"/>
        <v>28655.99625</v>
      </c>
      <c r="AK65" s="979">
        <f t="shared" si="30"/>
        <v>28655.99625</v>
      </c>
      <c r="AL65" s="979">
        <f t="shared" si="30"/>
        <v>28655.99625</v>
      </c>
      <c r="AM65" s="979">
        <f t="shared" si="30"/>
        <v>28655.99625</v>
      </c>
      <c r="AN65" s="979">
        <f t="shared" si="30"/>
        <v>28655.99625</v>
      </c>
      <c r="AO65" s="979">
        <f t="shared" si="30"/>
        <v>28655.99625</v>
      </c>
      <c r="AP65" s="767"/>
    </row>
  </sheetData>
  <phoneticPr fontId="3" type="noConversion"/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K19"/>
  <sheetViews>
    <sheetView view="pageBreakPreview" zoomScaleNormal="100" zoomScaleSheetLayoutView="100" workbookViewId="0">
      <selection activeCell="B1" sqref="B1"/>
    </sheetView>
  </sheetViews>
  <sheetFormatPr defaultRowHeight="16.5"/>
  <cols>
    <col min="1" max="1" width="2.28515625" style="370" customWidth="1"/>
    <col min="2" max="2" width="10.140625" style="370" customWidth="1"/>
    <col min="3" max="3" width="31.140625" style="370" bestFit="1" customWidth="1"/>
    <col min="4" max="4" width="19.42578125" style="370" customWidth="1"/>
    <col min="5" max="6" width="19.42578125" style="370" hidden="1" customWidth="1"/>
    <col min="7" max="7" width="20.140625" style="370" customWidth="1"/>
    <col min="8" max="8" width="32.85546875" style="370" bestFit="1" customWidth="1"/>
    <col min="9" max="9" width="4.7109375" style="370" customWidth="1"/>
    <col min="10" max="10" width="9.140625" style="370"/>
    <col min="11" max="11" width="12.7109375" style="370" bestFit="1" customWidth="1"/>
    <col min="12" max="16384" width="9.140625" style="370"/>
  </cols>
  <sheetData>
    <row r="1" spans="2:11" ht="28.5" customHeight="1" thickBot="1">
      <c r="H1" s="371" t="s">
        <v>208</v>
      </c>
    </row>
    <row r="2" spans="2:11">
      <c r="B2" s="1008" t="s">
        <v>209</v>
      </c>
      <c r="C2" s="1008"/>
      <c r="D2" s="372" t="s">
        <v>210</v>
      </c>
      <c r="E2" s="372" t="s">
        <v>211</v>
      </c>
      <c r="F2" s="373" t="s">
        <v>212</v>
      </c>
      <c r="G2" s="374" t="s">
        <v>213</v>
      </c>
      <c r="H2" s="375" t="s">
        <v>214</v>
      </c>
    </row>
    <row r="3" spans="2:11">
      <c r="B3" s="1009" t="s">
        <v>215</v>
      </c>
      <c r="C3" s="1009"/>
      <c r="D3" s="376">
        <v>35.1</v>
      </c>
      <c r="E3" s="376">
        <v>37</v>
      </c>
      <c r="F3" s="377">
        <v>37</v>
      </c>
      <c r="G3" s="378">
        <v>37</v>
      </c>
      <c r="H3" s="379"/>
    </row>
    <row r="4" spans="2:11">
      <c r="B4" s="1009" t="s">
        <v>216</v>
      </c>
      <c r="C4" s="1009"/>
      <c r="D4" s="380">
        <v>0</v>
      </c>
      <c r="E4" s="381">
        <v>4.2999999999999997E-2</v>
      </c>
      <c r="F4" s="382">
        <v>4.2000000000000003E-2</v>
      </c>
      <c r="G4" s="383">
        <v>3.56E-2</v>
      </c>
      <c r="H4" s="384"/>
    </row>
    <row r="5" spans="2:11">
      <c r="B5" s="1009" t="s">
        <v>217</v>
      </c>
      <c r="C5" s="1009"/>
      <c r="D5" s="385">
        <v>3</v>
      </c>
      <c r="E5" s="385">
        <v>3</v>
      </c>
      <c r="F5" s="386">
        <v>3</v>
      </c>
      <c r="G5" s="387">
        <v>3</v>
      </c>
      <c r="H5" s="388"/>
    </row>
    <row r="6" spans="2:11">
      <c r="B6" s="1009" t="s">
        <v>218</v>
      </c>
      <c r="C6" s="1009"/>
      <c r="D6" s="380">
        <v>0</v>
      </c>
      <c r="E6" s="389">
        <v>3.0000000000000001E-3</v>
      </c>
      <c r="F6" s="390">
        <v>0</v>
      </c>
      <c r="G6" s="391">
        <v>0</v>
      </c>
      <c r="H6" s="384"/>
    </row>
    <row r="7" spans="2:11">
      <c r="B7" s="1010" t="s">
        <v>219</v>
      </c>
      <c r="C7" s="1010"/>
      <c r="D7" s="392">
        <v>0</v>
      </c>
      <c r="E7" s="393">
        <f>(E3*E4*3)+(E3*E6)</f>
        <v>4.8839999999999995</v>
      </c>
      <c r="F7" s="394">
        <f>(F3*F4*3)+(F3*F6)</f>
        <v>4.6619999999999999</v>
      </c>
      <c r="G7" s="395">
        <f>(G3*G4*3)+(G3*G6)</f>
        <v>3.9516</v>
      </c>
      <c r="H7" s="396"/>
    </row>
    <row r="8" spans="2:11" ht="16.5" customHeight="1">
      <c r="B8" s="1005" t="s">
        <v>220</v>
      </c>
      <c r="C8" s="397" t="s">
        <v>221</v>
      </c>
      <c r="D8" s="398"/>
      <c r="E8" s="399">
        <v>0</v>
      </c>
      <c r="F8" s="400">
        <f>60000*3</f>
        <v>180000</v>
      </c>
      <c r="G8" s="401">
        <f>60000*3</f>
        <v>180000</v>
      </c>
      <c r="H8" s="379" t="s">
        <v>222</v>
      </c>
    </row>
    <row r="9" spans="2:11" ht="16.5" customHeight="1">
      <c r="B9" s="1005"/>
      <c r="C9" s="432" t="s">
        <v>233</v>
      </c>
      <c r="D9" s="433"/>
      <c r="E9" s="434">
        <v>30000</v>
      </c>
      <c r="F9" s="435">
        <v>80000</v>
      </c>
      <c r="G9" s="436">
        <v>80000</v>
      </c>
      <c r="H9" s="402" t="s">
        <v>223</v>
      </c>
    </row>
    <row r="10" spans="2:11">
      <c r="B10" s="1005"/>
      <c r="C10" s="397" t="s">
        <v>224</v>
      </c>
      <c r="D10" s="398"/>
      <c r="E10" s="399">
        <v>0</v>
      </c>
      <c r="F10" s="400">
        <f>50000000/820</f>
        <v>60975.609756097561</v>
      </c>
      <c r="G10" s="401">
        <f>50000000/820</f>
        <v>60975.609756097561</v>
      </c>
      <c r="H10" s="403" t="s">
        <v>225</v>
      </c>
      <c r="K10" s="441">
        <f>G10*820/1000</f>
        <v>50000</v>
      </c>
    </row>
    <row r="11" spans="2:11">
      <c r="B11" s="1005"/>
      <c r="C11" s="397" t="s">
        <v>226</v>
      </c>
      <c r="D11" s="398"/>
      <c r="E11" s="399">
        <v>0</v>
      </c>
      <c r="F11" s="400">
        <f>90000000/820</f>
        <v>109756.09756097561</v>
      </c>
      <c r="G11" s="401">
        <f>90000000/820</f>
        <v>109756.09756097561</v>
      </c>
      <c r="H11" s="403" t="s">
        <v>225</v>
      </c>
      <c r="K11" s="441">
        <f>G11*820/1000</f>
        <v>90000</v>
      </c>
    </row>
    <row r="12" spans="2:11">
      <c r="B12" s="1005"/>
      <c r="C12" s="432" t="s">
        <v>234</v>
      </c>
      <c r="D12" s="433"/>
      <c r="E12" s="437">
        <v>9000</v>
      </c>
      <c r="F12" s="438">
        <v>9000</v>
      </c>
      <c r="G12" s="439">
        <v>9000</v>
      </c>
      <c r="H12" s="404"/>
    </row>
    <row r="13" spans="2:11">
      <c r="B13" s="1005"/>
      <c r="C13" s="432" t="s">
        <v>235</v>
      </c>
      <c r="D13" s="433"/>
      <c r="E13" s="440">
        <v>0</v>
      </c>
      <c r="F13" s="438">
        <v>20000</v>
      </c>
      <c r="G13" s="439">
        <v>20000</v>
      </c>
      <c r="H13" s="404"/>
    </row>
    <row r="14" spans="2:11">
      <c r="B14" s="1005"/>
      <c r="C14" s="432" t="s">
        <v>227</v>
      </c>
      <c r="D14" s="433"/>
      <c r="E14" s="440">
        <v>0</v>
      </c>
      <c r="F14" s="438">
        <v>25000</v>
      </c>
      <c r="G14" s="439">
        <v>25000</v>
      </c>
      <c r="H14" s="404"/>
    </row>
    <row r="15" spans="2:11">
      <c r="B15" s="1005"/>
      <c r="C15" s="405" t="s">
        <v>228</v>
      </c>
      <c r="D15" s="406"/>
      <c r="E15" s="407">
        <f>SUM(E8:E14)</f>
        <v>39000</v>
      </c>
      <c r="F15" s="408">
        <f>SUM(F8:F14)</f>
        <v>484731.70731707313</v>
      </c>
      <c r="G15" s="409">
        <f>SUM(G8:G14)</f>
        <v>484731.70731707313</v>
      </c>
      <c r="H15" s="410"/>
    </row>
    <row r="16" spans="2:11">
      <c r="B16" s="1005"/>
      <c r="C16" s="411" t="s">
        <v>229</v>
      </c>
      <c r="D16" s="412"/>
      <c r="E16" s="413">
        <f>E15/1000000</f>
        <v>3.9E-2</v>
      </c>
      <c r="F16" s="414">
        <f>F15/1000000</f>
        <v>0.48473170731707316</v>
      </c>
      <c r="G16" s="415">
        <f>G15/1000000</f>
        <v>0.48473170731707316</v>
      </c>
      <c r="H16" s="416"/>
    </row>
    <row r="17" spans="2:8">
      <c r="B17" s="1006" t="s">
        <v>230</v>
      </c>
      <c r="C17" s="1007"/>
      <c r="D17" s="412"/>
      <c r="E17" s="417">
        <f>E16+E7</f>
        <v>4.9229999999999992</v>
      </c>
      <c r="F17" s="418">
        <f>F16+F7</f>
        <v>5.1467317073170733</v>
      </c>
      <c r="G17" s="419">
        <f>G16+G7</f>
        <v>4.4363317073170734</v>
      </c>
      <c r="H17" s="416"/>
    </row>
    <row r="18" spans="2:8" ht="17.25" thickBot="1">
      <c r="B18" s="1006" t="s">
        <v>231</v>
      </c>
      <c r="C18" s="1007"/>
      <c r="D18" s="412"/>
      <c r="E18" s="420">
        <f>(E17/3)/E3</f>
        <v>4.4351351351351348E-2</v>
      </c>
      <c r="F18" s="421">
        <f>(F17/3)/F3</f>
        <v>4.6366952318171832E-2</v>
      </c>
      <c r="G18" s="422">
        <f>(G17/3)/G3</f>
        <v>3.9966952318171836E-2</v>
      </c>
      <c r="H18" s="416"/>
    </row>
    <row r="19" spans="2:8">
      <c r="F19" s="423"/>
      <c r="G19" s="423"/>
    </row>
  </sheetData>
  <mergeCells count="9">
    <mergeCell ref="B8:B16"/>
    <mergeCell ref="B17:C17"/>
    <mergeCell ref="B18:C18"/>
    <mergeCell ref="B2:C2"/>
    <mergeCell ref="B3:C3"/>
    <mergeCell ref="B4:C4"/>
    <mergeCell ref="B5:C5"/>
    <mergeCell ref="B6:C6"/>
    <mergeCell ref="B7:C7"/>
  </mergeCells>
  <phoneticPr fontId="3" type="noConversion"/>
  <pageMargins left="0.7" right="0.7" top="0.75" bottom="0.75" header="0.3" footer="0.3"/>
  <pageSetup paperSize="9" scale="51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Q38"/>
  <sheetViews>
    <sheetView showGridLines="0" zoomScaleNormal="100" workbookViewId="0">
      <selection activeCell="G16" sqref="G16"/>
    </sheetView>
  </sheetViews>
  <sheetFormatPr defaultRowHeight="12"/>
  <cols>
    <col min="2" max="2" width="28.42578125" customWidth="1"/>
    <col min="4" max="4" width="9.42578125" bestFit="1" customWidth="1"/>
    <col min="5" max="5" width="13.140625" bestFit="1" customWidth="1"/>
    <col min="6" max="6" width="11.28515625" bestFit="1" customWidth="1"/>
    <col min="7" max="7" width="13.28515625" customWidth="1"/>
    <col min="8" max="8" width="25.42578125" customWidth="1"/>
    <col min="9" max="9" width="12.140625" customWidth="1"/>
    <col min="10" max="10" width="11.28515625" bestFit="1" customWidth="1"/>
    <col min="11" max="11" width="9.42578125" bestFit="1" customWidth="1"/>
    <col min="12" max="12" width="10.140625" bestFit="1" customWidth="1"/>
    <col min="13" max="13" width="9.42578125" bestFit="1" customWidth="1"/>
    <col min="14" max="14" width="11.140625" bestFit="1" customWidth="1"/>
    <col min="15" max="15" width="9.42578125" bestFit="1" customWidth="1"/>
    <col min="16" max="16" width="11.28515625" bestFit="1" customWidth="1"/>
    <col min="17" max="17" width="9.140625" customWidth="1"/>
  </cols>
  <sheetData>
    <row r="1" spans="2:17" ht="12" customHeight="1">
      <c r="B1" s="356" t="s">
        <v>198</v>
      </c>
    </row>
    <row r="2" spans="2:17" ht="12" customHeight="1">
      <c r="B2" s="338" t="s">
        <v>182</v>
      </c>
      <c r="C2" s="338" t="s">
        <v>183</v>
      </c>
      <c r="D2" s="338" t="s">
        <v>184</v>
      </c>
      <c r="E2" s="338" t="s">
        <v>185</v>
      </c>
      <c r="F2" s="338" t="s">
        <v>186</v>
      </c>
      <c r="G2" s="338" t="s">
        <v>187</v>
      </c>
      <c r="H2" s="338"/>
      <c r="I2" s="338" t="s">
        <v>188</v>
      </c>
      <c r="J2" s="338" t="s">
        <v>189</v>
      </c>
      <c r="K2" s="338"/>
      <c r="L2" s="338" t="s">
        <v>190</v>
      </c>
      <c r="M2" s="338"/>
      <c r="N2" s="338" t="s">
        <v>191</v>
      </c>
      <c r="O2" s="338"/>
      <c r="P2" s="338" t="s">
        <v>192</v>
      </c>
      <c r="Q2" s="338" t="s">
        <v>193</v>
      </c>
    </row>
    <row r="3" spans="2:17" s="2" customFormat="1" ht="12" customHeight="1">
      <c r="B3" s="339" t="s">
        <v>238</v>
      </c>
      <c r="C3" s="326" t="s">
        <v>194</v>
      </c>
      <c r="D3" s="355">
        <v>10348.5</v>
      </c>
      <c r="E3" s="327">
        <v>41183</v>
      </c>
      <c r="F3" s="327">
        <v>46660</v>
      </c>
      <c r="G3" s="328">
        <f>SUM(G20:G26)</f>
        <v>4912151</v>
      </c>
      <c r="H3" s="328">
        <f>G3/$D3</f>
        <v>474.67275450548391</v>
      </c>
      <c r="I3" s="329" t="s">
        <v>163</v>
      </c>
      <c r="J3" s="328">
        <v>65167</v>
      </c>
      <c r="K3" s="328">
        <f>J3/$D3</f>
        <v>6.2972411460598154</v>
      </c>
      <c r="L3" s="328">
        <f>SUM(L20:L26)</f>
        <v>4977319</v>
      </c>
      <c r="M3" s="328">
        <f>L3/$D3</f>
        <v>480.9700922839059</v>
      </c>
      <c r="N3" s="328">
        <f>SUM(N20:N26)</f>
        <v>4689486</v>
      </c>
      <c r="O3" s="328">
        <f>N3/$D3</f>
        <v>453.15610958109869</v>
      </c>
      <c r="P3" s="330">
        <v>43009</v>
      </c>
      <c r="Q3" s="357">
        <v>3.5000000000000003E-2</v>
      </c>
    </row>
    <row r="4" spans="2:17" ht="12" customHeight="1">
      <c r="B4" s="340" t="s">
        <v>171</v>
      </c>
      <c r="C4" s="335" t="s">
        <v>172</v>
      </c>
      <c r="D4" s="351">
        <v>114</v>
      </c>
      <c r="E4" s="332">
        <v>41628</v>
      </c>
      <c r="F4" s="332">
        <v>43453</v>
      </c>
      <c r="G4" s="333">
        <v>56811</v>
      </c>
      <c r="H4" s="333">
        <f t="shared" ref="H4:H8" si="0">G4/$D4</f>
        <v>498.34210526315792</v>
      </c>
      <c r="I4" s="334" t="s">
        <v>173</v>
      </c>
      <c r="J4" s="336"/>
      <c r="K4" s="336"/>
      <c r="L4" s="333">
        <v>56811</v>
      </c>
      <c r="M4" s="333">
        <v>498</v>
      </c>
      <c r="N4" s="333">
        <v>56811</v>
      </c>
      <c r="O4" s="333">
        <v>498</v>
      </c>
      <c r="P4" s="337">
        <v>43089</v>
      </c>
      <c r="Q4" s="334" t="s">
        <v>174</v>
      </c>
    </row>
    <row r="5" spans="2:17" ht="12" customHeight="1">
      <c r="B5" s="340" t="s">
        <v>175</v>
      </c>
      <c r="C5" s="335" t="s">
        <v>176</v>
      </c>
      <c r="D5" s="352">
        <v>343</v>
      </c>
      <c r="E5" s="332">
        <v>41960</v>
      </c>
      <c r="F5" s="332">
        <v>44151</v>
      </c>
      <c r="G5" s="333">
        <v>178204</v>
      </c>
      <c r="H5" s="333">
        <f t="shared" si="0"/>
        <v>519.54518950437318</v>
      </c>
      <c r="I5" s="349" t="s">
        <v>177</v>
      </c>
      <c r="J5" s="333">
        <v>5704</v>
      </c>
      <c r="K5" s="333">
        <v>17</v>
      </c>
      <c r="L5" s="333">
        <v>183908</v>
      </c>
      <c r="M5" s="333">
        <v>536</v>
      </c>
      <c r="N5" s="333">
        <v>188650</v>
      </c>
      <c r="O5" s="333">
        <v>550</v>
      </c>
      <c r="P5" s="337">
        <v>43056</v>
      </c>
      <c r="Q5" s="357">
        <v>3.5000000000000003E-2</v>
      </c>
    </row>
    <row r="6" spans="2:17" s="2" customFormat="1" ht="12" customHeight="1">
      <c r="B6" s="341" t="s">
        <v>238</v>
      </c>
      <c r="C6" s="342" t="s">
        <v>181</v>
      </c>
      <c r="D6" s="354">
        <f>64.5+196.5</f>
        <v>261</v>
      </c>
      <c r="E6" s="343">
        <v>41183</v>
      </c>
      <c r="F6" s="343">
        <v>46660</v>
      </c>
      <c r="G6" s="344">
        <v>52200</v>
      </c>
      <c r="H6" s="344">
        <f t="shared" si="0"/>
        <v>200</v>
      </c>
      <c r="I6" s="345" t="s">
        <v>173</v>
      </c>
      <c r="J6" s="346"/>
      <c r="K6" s="346"/>
      <c r="L6" s="344">
        <v>52200</v>
      </c>
      <c r="M6" s="344">
        <v>200</v>
      </c>
      <c r="N6" s="344">
        <v>52200</v>
      </c>
      <c r="O6" s="344">
        <v>200</v>
      </c>
      <c r="P6" s="347">
        <v>43009</v>
      </c>
      <c r="Q6" s="361">
        <v>0</v>
      </c>
    </row>
    <row r="7" spans="2:17" ht="12" customHeight="1">
      <c r="B7" s="340" t="s">
        <v>178</v>
      </c>
      <c r="C7" s="335" t="s">
        <v>179</v>
      </c>
      <c r="D7" s="351">
        <v>31</v>
      </c>
      <c r="E7" s="332">
        <v>42284</v>
      </c>
      <c r="F7" s="332">
        <v>59444</v>
      </c>
      <c r="G7" s="333">
        <v>87508</v>
      </c>
      <c r="H7" s="333">
        <f t="shared" si="0"/>
        <v>2822.8387096774195</v>
      </c>
      <c r="I7" s="334" t="s">
        <v>173</v>
      </c>
      <c r="J7" s="336"/>
      <c r="K7" s="336"/>
      <c r="L7" s="333">
        <v>87508</v>
      </c>
      <c r="M7" s="333">
        <v>2823</v>
      </c>
      <c r="N7" s="333">
        <v>62000</v>
      </c>
      <c r="O7" s="333">
        <v>2000</v>
      </c>
      <c r="P7" s="330">
        <v>43009</v>
      </c>
      <c r="Q7" s="357">
        <v>3.2500000000000001E-2</v>
      </c>
    </row>
    <row r="8" spans="2:17" ht="12" customHeight="1">
      <c r="B8" s="340" t="s">
        <v>238</v>
      </c>
      <c r="C8" s="335" t="s">
        <v>180</v>
      </c>
      <c r="D8" s="353">
        <v>25</v>
      </c>
      <c r="E8" s="332">
        <v>41183</v>
      </c>
      <c r="F8" s="332">
        <v>46660</v>
      </c>
      <c r="G8" s="333">
        <v>50204</v>
      </c>
      <c r="H8" s="333">
        <f t="shared" si="0"/>
        <v>2008.16</v>
      </c>
      <c r="I8" s="334" t="s">
        <v>173</v>
      </c>
      <c r="J8" s="336"/>
      <c r="K8" s="336"/>
      <c r="L8" s="333">
        <v>50204</v>
      </c>
      <c r="M8" s="333">
        <v>2008</v>
      </c>
      <c r="N8" s="333">
        <v>50000</v>
      </c>
      <c r="O8" s="333">
        <v>2000</v>
      </c>
      <c r="P8" s="330">
        <v>43009</v>
      </c>
      <c r="Q8" s="357">
        <v>3.5000000000000003E-2</v>
      </c>
    </row>
    <row r="9" spans="2:17" ht="12" customHeight="1">
      <c r="D9" s="350">
        <f>SUM(D3:D6)</f>
        <v>11066.5</v>
      </c>
    </row>
    <row r="10" spans="2:17" ht="12" customHeight="1">
      <c r="D10" s="350"/>
      <c r="G10" s="360">
        <f>Q3</f>
        <v>3.5000000000000003E-2</v>
      </c>
      <c r="H10" s="358" t="s">
        <v>195</v>
      </c>
    </row>
    <row r="11" spans="2:17" s="2" customFormat="1" ht="12" customHeight="1">
      <c r="D11" s="350" t="s">
        <v>197</v>
      </c>
      <c r="G11" s="359">
        <f>SUMPRODUCT(G7:G8,Q7:Q8)/SUM(G7:G8)</f>
        <v>3.3411394794934358E-2</v>
      </c>
      <c r="H11" s="358" t="s">
        <v>196</v>
      </c>
    </row>
    <row r="12" spans="2:17" s="2" customFormat="1" ht="12" customHeight="1">
      <c r="D12" s="350"/>
    </row>
    <row r="13" spans="2:17" s="2" customFormat="1" ht="12" customHeight="1">
      <c r="D13" s="350"/>
    </row>
    <row r="14" spans="2:17" s="2" customFormat="1" ht="12" customHeight="1">
      <c r="D14" s="350"/>
      <c r="G14" s="348"/>
    </row>
    <row r="15" spans="2:17" s="2" customFormat="1" ht="12" customHeight="1">
      <c r="D15" s="350"/>
    </row>
    <row r="16" spans="2:17" s="2" customFormat="1" ht="12" customHeight="1">
      <c r="D16" s="350"/>
    </row>
    <row r="17" spans="2:17" hidden="1"/>
    <row r="18" spans="2:17" hidden="1"/>
    <row r="19" spans="2:17" hidden="1"/>
    <row r="20" spans="2:17" hidden="1">
      <c r="B20" s="339" t="s">
        <v>238</v>
      </c>
      <c r="C20" s="326" t="s">
        <v>162</v>
      </c>
      <c r="D20" s="355">
        <v>226</v>
      </c>
      <c r="E20" s="327">
        <v>41183</v>
      </c>
      <c r="F20" s="327">
        <v>46660</v>
      </c>
      <c r="G20" s="328">
        <v>107276</v>
      </c>
      <c r="H20" s="328">
        <v>475</v>
      </c>
      <c r="I20" s="329" t="s">
        <v>163</v>
      </c>
      <c r="J20" s="328">
        <v>1423</v>
      </c>
      <c r="K20" s="328">
        <v>6</v>
      </c>
      <c r="L20" s="328">
        <v>108699</v>
      </c>
      <c r="M20" s="328">
        <v>481</v>
      </c>
      <c r="N20" s="328">
        <v>100570</v>
      </c>
      <c r="O20" s="328">
        <v>445</v>
      </c>
      <c r="P20" s="330">
        <v>43009</v>
      </c>
      <c r="Q20" s="329" t="s">
        <v>164</v>
      </c>
    </row>
    <row r="21" spans="2:17" hidden="1">
      <c r="B21" s="340" t="s">
        <v>238</v>
      </c>
      <c r="C21" s="331" t="s">
        <v>165</v>
      </c>
      <c r="D21" s="353">
        <v>1645.9</v>
      </c>
      <c r="E21" s="332">
        <v>41183</v>
      </c>
      <c r="F21" s="332">
        <v>46660</v>
      </c>
      <c r="G21" s="333">
        <v>804333</v>
      </c>
      <c r="H21" s="333">
        <v>475</v>
      </c>
      <c r="I21" s="334" t="s">
        <v>163</v>
      </c>
      <c r="J21" s="333">
        <v>10671</v>
      </c>
      <c r="K21" s="333">
        <v>6</v>
      </c>
      <c r="L21" s="333">
        <v>815004</v>
      </c>
      <c r="M21" s="333">
        <v>481</v>
      </c>
      <c r="N21" s="333">
        <v>754053</v>
      </c>
      <c r="O21" s="333">
        <v>445</v>
      </c>
      <c r="P21" s="330">
        <v>43009</v>
      </c>
      <c r="Q21" s="334" t="s">
        <v>164</v>
      </c>
    </row>
    <row r="22" spans="2:17" hidden="1">
      <c r="B22" s="340" t="s">
        <v>238</v>
      </c>
      <c r="C22" s="331" t="s">
        <v>166</v>
      </c>
      <c r="D22" s="353">
        <v>1683</v>
      </c>
      <c r="E22" s="332">
        <v>41183</v>
      </c>
      <c r="F22" s="332">
        <v>46660</v>
      </c>
      <c r="G22" s="333">
        <v>798874</v>
      </c>
      <c r="H22" s="333">
        <v>475</v>
      </c>
      <c r="I22" s="334" t="s">
        <v>163</v>
      </c>
      <c r="J22" s="333">
        <v>10598</v>
      </c>
      <c r="K22" s="333">
        <v>6</v>
      </c>
      <c r="L22" s="333">
        <v>809473</v>
      </c>
      <c r="M22" s="333">
        <v>481</v>
      </c>
      <c r="N22" s="333">
        <v>748935</v>
      </c>
      <c r="O22" s="333">
        <v>445</v>
      </c>
      <c r="P22" s="330">
        <v>43009</v>
      </c>
      <c r="Q22" s="334" t="s">
        <v>164</v>
      </c>
    </row>
    <row r="23" spans="2:17" hidden="1">
      <c r="B23" s="340" t="s">
        <v>238</v>
      </c>
      <c r="C23" s="331" t="s">
        <v>167</v>
      </c>
      <c r="D23" s="353">
        <v>1681.5</v>
      </c>
      <c r="E23" s="332">
        <v>41183</v>
      </c>
      <c r="F23" s="332">
        <v>46660</v>
      </c>
      <c r="G23" s="333">
        <v>798162</v>
      </c>
      <c r="H23" s="333">
        <v>475</v>
      </c>
      <c r="I23" s="334" t="s">
        <v>163</v>
      </c>
      <c r="J23" s="333">
        <v>10589</v>
      </c>
      <c r="K23" s="333">
        <v>6</v>
      </c>
      <c r="L23" s="333">
        <v>808751</v>
      </c>
      <c r="M23" s="333">
        <v>481</v>
      </c>
      <c r="N23" s="333">
        <v>756675</v>
      </c>
      <c r="O23" s="333">
        <v>450</v>
      </c>
      <c r="P23" s="330">
        <v>43009</v>
      </c>
      <c r="Q23" s="334" t="s">
        <v>164</v>
      </c>
    </row>
    <row r="24" spans="2:17" hidden="1">
      <c r="B24" s="340" t="s">
        <v>238</v>
      </c>
      <c r="C24" s="331" t="s">
        <v>168</v>
      </c>
      <c r="D24" s="353">
        <v>1682</v>
      </c>
      <c r="E24" s="332">
        <v>41183</v>
      </c>
      <c r="F24" s="332">
        <v>46660</v>
      </c>
      <c r="G24" s="333">
        <v>798400</v>
      </c>
      <c r="H24" s="333">
        <v>475</v>
      </c>
      <c r="I24" s="334" t="s">
        <v>163</v>
      </c>
      <c r="J24" s="333">
        <v>10592</v>
      </c>
      <c r="K24" s="333">
        <v>6</v>
      </c>
      <c r="L24" s="333">
        <v>808992</v>
      </c>
      <c r="M24" s="333">
        <v>481</v>
      </c>
      <c r="N24" s="333">
        <v>765310</v>
      </c>
      <c r="O24" s="333">
        <v>455</v>
      </c>
      <c r="P24" s="330">
        <v>43009</v>
      </c>
      <c r="Q24" s="334" t="s">
        <v>164</v>
      </c>
    </row>
    <row r="25" spans="2:17" hidden="1">
      <c r="B25" s="340" t="s">
        <v>238</v>
      </c>
      <c r="C25" s="331" t="s">
        <v>169</v>
      </c>
      <c r="D25" s="353">
        <v>1691</v>
      </c>
      <c r="E25" s="332">
        <v>41183</v>
      </c>
      <c r="F25" s="332">
        <v>46660</v>
      </c>
      <c r="G25" s="333">
        <v>802672</v>
      </c>
      <c r="H25" s="333">
        <v>475</v>
      </c>
      <c r="I25" s="334" t="s">
        <v>163</v>
      </c>
      <c r="J25" s="333">
        <v>10649</v>
      </c>
      <c r="K25" s="333">
        <v>6</v>
      </c>
      <c r="L25" s="333">
        <v>813320</v>
      </c>
      <c r="M25" s="333">
        <v>481</v>
      </c>
      <c r="N25" s="333">
        <v>777860</v>
      </c>
      <c r="O25" s="333">
        <v>460</v>
      </c>
      <c r="P25" s="330">
        <v>43009</v>
      </c>
      <c r="Q25" s="334" t="s">
        <v>164</v>
      </c>
    </row>
    <row r="26" spans="2:17" hidden="1">
      <c r="B26" s="340" t="s">
        <v>238</v>
      </c>
      <c r="C26" s="331" t="s">
        <v>170</v>
      </c>
      <c r="D26" s="353">
        <v>1690.5</v>
      </c>
      <c r="E26" s="332">
        <v>41183</v>
      </c>
      <c r="F26" s="332">
        <v>46660</v>
      </c>
      <c r="G26" s="333">
        <v>802434</v>
      </c>
      <c r="H26" s="333">
        <v>475</v>
      </c>
      <c r="I26" s="334" t="s">
        <v>163</v>
      </c>
      <c r="J26" s="333">
        <v>10645</v>
      </c>
      <c r="K26" s="333">
        <v>6</v>
      </c>
      <c r="L26" s="333">
        <v>813080</v>
      </c>
      <c r="M26" s="333">
        <v>481</v>
      </c>
      <c r="N26" s="333">
        <v>786083</v>
      </c>
      <c r="O26" s="333">
        <v>465</v>
      </c>
      <c r="P26" s="330">
        <v>43009</v>
      </c>
      <c r="Q26" s="334" t="s">
        <v>164</v>
      </c>
    </row>
    <row r="27" spans="2:17" hidden="1"/>
    <row r="28" spans="2:17" hidden="1"/>
    <row r="29" spans="2:17" hidden="1"/>
    <row r="30" spans="2:17" hidden="1"/>
    <row r="31" spans="2:17" hidden="1"/>
    <row r="32" spans="2:17" hidden="1"/>
    <row r="33" spans="5:7" hidden="1"/>
    <row r="35" spans="5:7">
      <c r="E35" t="s">
        <v>514</v>
      </c>
      <c r="F35" s="350">
        <f>D3</f>
        <v>10348.5</v>
      </c>
    </row>
    <row r="36" spans="5:7">
      <c r="E36" t="s">
        <v>515</v>
      </c>
      <c r="F36" s="350">
        <f>SUM(D4:D5)</f>
        <v>457</v>
      </c>
    </row>
    <row r="37" spans="5:7">
      <c r="F37" s="350">
        <f>SUM(F35:F36)</f>
        <v>10805.5</v>
      </c>
    </row>
    <row r="38" spans="5:7">
      <c r="E38" t="s">
        <v>516</v>
      </c>
      <c r="F38" s="350">
        <f>D6</f>
        <v>261</v>
      </c>
      <c r="G38" s="664">
        <f>F38/3.3057</f>
        <v>78.954533079226792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F23:N50"/>
  <sheetViews>
    <sheetView showGridLines="0" topLeftCell="A13" workbookViewId="0">
      <selection activeCell="H23" sqref="H23"/>
    </sheetView>
  </sheetViews>
  <sheetFormatPr defaultRowHeight="12"/>
  <cols>
    <col min="7" max="7" width="10.42578125" bestFit="1" customWidth="1"/>
    <col min="12" max="12" width="21.85546875" bestFit="1" customWidth="1"/>
  </cols>
  <sheetData>
    <row r="23" spans="6:13">
      <c r="F23" s="8" t="s">
        <v>91</v>
      </c>
      <c r="G23" s="24">
        <f>'A&amp;R'!C39</f>
        <v>37000000</v>
      </c>
      <c r="H23" s="75">
        <f>I23/G23*360/365</f>
        <v>4.7100000000000003E-2</v>
      </c>
      <c r="I23" s="49">
        <f>I27-I24-I25</f>
        <v>1766904.1666666667</v>
      </c>
      <c r="K23" s="1">
        <f>I23/G23</f>
        <v>4.7754166666666667E-2</v>
      </c>
      <c r="L23" s="181"/>
    </row>
    <row r="24" spans="6:13">
      <c r="F24" s="80" t="s">
        <v>92</v>
      </c>
      <c r="G24" s="24">
        <f>'A&amp;R'!C40</f>
        <v>0</v>
      </c>
      <c r="H24" s="182">
        <f>'A&amp;R'!D40</f>
        <v>0</v>
      </c>
      <c r="I24" s="49">
        <f t="shared" ref="I24:I27" si="0">G24*H24*365/360</f>
        <v>0</v>
      </c>
      <c r="K24" s="1" t="e">
        <f>I24/G24</f>
        <v>#DIV/0!</v>
      </c>
      <c r="L24" s="181"/>
    </row>
    <row r="25" spans="6:13">
      <c r="F25" s="80" t="s">
        <v>92</v>
      </c>
      <c r="G25" s="24">
        <f>'A&amp;R'!C41</f>
        <v>0</v>
      </c>
      <c r="H25" s="182">
        <f>'A&amp;R'!D41</f>
        <v>0</v>
      </c>
      <c r="I25" s="49">
        <f t="shared" ref="I25" si="1">G25*H25*365/360</f>
        <v>0</v>
      </c>
    </row>
    <row r="26" spans="6:13">
      <c r="F26" s="167" t="str">
        <f>""</f>
        <v/>
      </c>
      <c r="G26" s="168">
        <v>0</v>
      </c>
      <c r="H26" s="169"/>
      <c r="I26" s="168">
        <f t="shared" si="0"/>
        <v>0</v>
      </c>
    </row>
    <row r="27" spans="6:13">
      <c r="F27" s="86" t="s">
        <v>45</v>
      </c>
      <c r="G27" s="52">
        <f>SUM(G23,G24,G25,G26)</f>
        <v>37000000</v>
      </c>
      <c r="H27" s="182">
        <v>4.7100000000000003E-2</v>
      </c>
      <c r="I27" s="49">
        <f t="shared" si="0"/>
        <v>1766904.1666666667</v>
      </c>
    </row>
    <row r="31" spans="6:13" ht="13.5">
      <c r="F31" s="185" t="s">
        <v>96</v>
      </c>
      <c r="M31" t="s">
        <v>111</v>
      </c>
    </row>
    <row r="32" spans="6:13" ht="13.5">
      <c r="F32" s="185" t="s">
        <v>97</v>
      </c>
      <c r="M32" s="2" t="s">
        <v>111</v>
      </c>
    </row>
    <row r="33" spans="6:14" ht="13.5">
      <c r="F33" s="185" t="s">
        <v>98</v>
      </c>
      <c r="M33" s="2" t="s">
        <v>111</v>
      </c>
    </row>
    <row r="34" spans="6:14" ht="13.5">
      <c r="F34" s="185"/>
    </row>
    <row r="35" spans="6:14" ht="13.5">
      <c r="F35" s="186" t="s">
        <v>99</v>
      </c>
    </row>
    <row r="36" spans="6:14" ht="13.5">
      <c r="F36" s="185" t="s">
        <v>100</v>
      </c>
      <c r="M36" s="2" t="s">
        <v>111</v>
      </c>
      <c r="N36" t="s">
        <v>113</v>
      </c>
    </row>
    <row r="37" spans="6:14" ht="13.5">
      <c r="F37" s="185" t="s">
        <v>101</v>
      </c>
      <c r="M37" s="2" t="s">
        <v>111</v>
      </c>
    </row>
    <row r="38" spans="6:14" ht="13.5">
      <c r="F38" s="185" t="s">
        <v>102</v>
      </c>
      <c r="M38" s="2" t="s">
        <v>111</v>
      </c>
    </row>
    <row r="39" spans="6:14" ht="13.5">
      <c r="F39" s="185" t="s">
        <v>103</v>
      </c>
      <c r="M39" s="2" t="s">
        <v>111</v>
      </c>
    </row>
    <row r="40" spans="6:14" ht="13.5">
      <c r="F40" s="185"/>
    </row>
    <row r="41" spans="6:14" ht="13.5">
      <c r="F41" s="185" t="s">
        <v>104</v>
      </c>
      <c r="M41" s="2" t="s">
        <v>111</v>
      </c>
      <c r="N41" t="s">
        <v>112</v>
      </c>
    </row>
    <row r="42" spans="6:14" ht="13.5">
      <c r="F42" s="185" t="s">
        <v>105</v>
      </c>
      <c r="M42" s="2" t="s">
        <v>111</v>
      </c>
    </row>
    <row r="45" spans="6:14" ht="13.5">
      <c r="F45" s="186" t="s">
        <v>106</v>
      </c>
    </row>
    <row r="46" spans="6:14" ht="13.5">
      <c r="F46" s="185" t="s">
        <v>107</v>
      </c>
      <c r="M46" s="2" t="s">
        <v>111</v>
      </c>
    </row>
    <row r="47" spans="6:14" ht="13.5">
      <c r="F47" s="185" t="s">
        <v>108</v>
      </c>
      <c r="M47" s="2" t="s">
        <v>111</v>
      </c>
    </row>
    <row r="48" spans="6:14" ht="13.5">
      <c r="F48" s="185"/>
    </row>
    <row r="49" spans="6:13" ht="13.5">
      <c r="F49" s="185" t="s">
        <v>109</v>
      </c>
      <c r="M49" s="2" t="s">
        <v>111</v>
      </c>
    </row>
    <row r="50" spans="6:13" ht="13.5">
      <c r="F50" s="185" t="s">
        <v>110</v>
      </c>
      <c r="M50" s="2" t="s">
        <v>111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A1:AQ135"/>
  <sheetViews>
    <sheetView showGridLines="0" zoomScale="115" zoomScaleNormal="115" workbookViewId="0">
      <selection activeCell="R18" sqref="R18"/>
    </sheetView>
  </sheetViews>
  <sheetFormatPr defaultColWidth="0" defaultRowHeight="11.25" outlineLevelCol="1"/>
  <cols>
    <col min="1" max="1" width="2.42578125" style="4" customWidth="1"/>
    <col min="2" max="2" width="18.7109375" style="4" customWidth="1"/>
    <col min="3" max="3" width="11" style="4" customWidth="1"/>
    <col min="4" max="7" width="10.5703125" style="4" customWidth="1"/>
    <col min="8" max="8" width="10.140625" style="4" customWidth="1"/>
    <col min="9" max="9" width="2.42578125" style="4" customWidth="1"/>
    <col min="10" max="10" width="18.42578125" style="4" customWidth="1"/>
    <col min="11" max="11" width="12.7109375" style="4" customWidth="1"/>
    <col min="12" max="16" width="11" style="4" customWidth="1"/>
    <col min="17" max="17" width="2.42578125" style="4" customWidth="1"/>
    <col min="18" max="18" width="34.42578125" style="4" customWidth="1"/>
    <col min="19" max="19" width="6.85546875" style="4" hidden="1" customWidth="1" outlineLevel="1"/>
    <col min="20" max="20" width="12" style="4" hidden="1" customWidth="1" outlineLevel="1"/>
    <col min="21" max="21" width="11.140625" style="4" customWidth="1" collapsed="1"/>
    <col min="22" max="22" width="10.5703125" style="4" customWidth="1"/>
    <col min="23" max="25" width="10.140625" style="4" customWidth="1"/>
    <col min="26" max="32" width="10.140625" style="4" hidden="1" customWidth="1" outlineLevel="1"/>
    <col min="33" max="33" width="3.7109375" style="4" customWidth="1" collapsed="1"/>
    <col min="34" max="34" width="12.7109375" style="4" customWidth="1"/>
    <col min="35" max="35" width="8" style="4" customWidth="1"/>
    <col min="36" max="36" width="9.140625" style="4" customWidth="1"/>
    <col min="37" max="38" width="8" style="4" customWidth="1"/>
    <col min="39" max="43" width="0" style="4" hidden="1" customWidth="1"/>
    <col min="44" max="16384" width="8" style="4" hidden="1"/>
  </cols>
  <sheetData>
    <row r="1" spans="2:37">
      <c r="B1" s="234" t="s">
        <v>121</v>
      </c>
      <c r="C1" s="369"/>
      <c r="D1" s="234"/>
      <c r="E1" s="369" t="s">
        <v>286</v>
      </c>
      <c r="F1" s="234"/>
      <c r="G1" s="234" t="s">
        <v>4</v>
      </c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</row>
    <row r="2" spans="2:37" ht="12" thickBot="1"/>
    <row r="3" spans="2:37">
      <c r="B3" s="236" t="s">
        <v>5</v>
      </c>
      <c r="C3" s="237"/>
      <c r="D3" s="238"/>
      <c r="E3" s="238"/>
      <c r="F3" s="238"/>
      <c r="G3" s="239"/>
      <c r="H3" s="240"/>
      <c r="J3" s="236" t="s">
        <v>6</v>
      </c>
      <c r="K3" s="238"/>
      <c r="L3" s="238"/>
      <c r="M3" s="238"/>
      <c r="N3" s="238"/>
      <c r="O3" s="239"/>
      <c r="P3" s="246"/>
      <c r="R3" s="236" t="s">
        <v>7</v>
      </c>
      <c r="S3" s="237"/>
      <c r="T3" s="237"/>
      <c r="U3" s="237"/>
      <c r="V3" s="238"/>
      <c r="W3" s="238"/>
      <c r="X3" s="238"/>
      <c r="Y3" s="259"/>
      <c r="Z3" s="238"/>
      <c r="AA3" s="238"/>
      <c r="AB3" s="238"/>
      <c r="AC3" s="238"/>
      <c r="AD3" s="238"/>
      <c r="AE3" s="238"/>
      <c r="AF3" s="259"/>
      <c r="AG3" s="5"/>
      <c r="AH3" s="236" t="s">
        <v>308</v>
      </c>
      <c r="AI3" s="238"/>
      <c r="AJ3" s="238"/>
      <c r="AK3" s="259"/>
    </row>
    <row r="4" spans="2:37">
      <c r="B4" s="5"/>
      <c r="C4" s="6"/>
      <c r="D4" s="6"/>
      <c r="E4" s="6"/>
      <c r="F4" s="6"/>
      <c r="G4" s="6"/>
      <c r="H4" s="7"/>
      <c r="J4" s="5"/>
      <c r="K4" s="6"/>
      <c r="L4" s="6"/>
      <c r="M4" s="6"/>
      <c r="N4" s="6"/>
      <c r="O4" s="6"/>
      <c r="P4" s="7"/>
      <c r="R4" s="5"/>
      <c r="S4" s="6"/>
      <c r="T4" s="6"/>
      <c r="U4" s="6"/>
      <c r="V4" s="6"/>
      <c r="W4" s="6"/>
      <c r="X4" s="6"/>
      <c r="Y4" s="7"/>
      <c r="Z4" s="6"/>
      <c r="AA4" s="6"/>
      <c r="AB4" s="6"/>
      <c r="AC4" s="6"/>
      <c r="AD4" s="6"/>
      <c r="AE4" s="6"/>
      <c r="AF4" s="7"/>
      <c r="AG4" s="5"/>
      <c r="AH4" s="5"/>
      <c r="AI4" s="191"/>
      <c r="AJ4" s="191"/>
      <c r="AK4" s="517"/>
    </row>
    <row r="5" spans="2:37">
      <c r="B5" s="8" t="s">
        <v>8</v>
      </c>
      <c r="C5" s="9"/>
      <c r="D5" s="9"/>
      <c r="E5" s="9"/>
      <c r="F5" s="9"/>
      <c r="G5" s="6"/>
      <c r="H5" s="179">
        <v>43373</v>
      </c>
      <c r="I5" s="10"/>
      <c r="J5" s="11" t="s">
        <v>9</v>
      </c>
      <c r="K5" s="6"/>
      <c r="L5" s="12"/>
      <c r="M5" s="12"/>
      <c r="N5" s="12"/>
      <c r="O5" s="13" t="s">
        <v>303</v>
      </c>
      <c r="P5" s="14" t="s">
        <v>10</v>
      </c>
      <c r="R5" s="263" t="s">
        <v>291</v>
      </c>
      <c r="S5" s="6"/>
      <c r="T5" s="15" t="s">
        <v>11</v>
      </c>
      <c r="U5" s="15"/>
      <c r="V5" s="6"/>
      <c r="W5" s="6"/>
      <c r="X5" s="6"/>
      <c r="Y5" s="7"/>
      <c r="Z5" s="6"/>
      <c r="AA5" s="6"/>
      <c r="AB5" s="6"/>
      <c r="AC5" s="6"/>
      <c r="AD5" s="6"/>
      <c r="AE5" s="6"/>
      <c r="AF5" s="7"/>
      <c r="AG5" s="5"/>
      <c r="AH5" s="263" t="s">
        <v>316</v>
      </c>
      <c r="AI5" s="533"/>
      <c r="AJ5" s="6"/>
      <c r="AK5" s="7"/>
    </row>
    <row r="6" spans="2:37">
      <c r="B6" s="5" t="s">
        <v>12</v>
      </c>
      <c r="C6" s="6"/>
      <c r="D6" s="6"/>
      <c r="E6" s="6"/>
      <c r="F6" s="6"/>
      <c r="G6" s="6"/>
      <c r="H6" s="16">
        <f>H5</f>
        <v>43373</v>
      </c>
      <c r="I6" s="10"/>
      <c r="J6" s="5"/>
      <c r="K6" s="6"/>
      <c r="L6" s="23" t="s">
        <v>301</v>
      </c>
      <c r="M6" s="23"/>
      <c r="N6" s="91"/>
      <c r="O6" s="150">
        <f ca="1">U40</f>
        <v>4.4920003009953149E-2</v>
      </c>
      <c r="P6" s="60">
        <f>U41</f>
        <v>4.5894578099250793E-2</v>
      </c>
      <c r="R6" s="527">
        <f>H17</f>
        <v>1</v>
      </c>
      <c r="S6" s="249">
        <f>ROW('CF(M)'!A5)</f>
        <v>5</v>
      </c>
      <c r="T6" s="249" t="str">
        <f>$T$5&amp;S6&amp;":"&amp;S6</f>
        <v>'CF(M)'!5:5</v>
      </c>
      <c r="U6" s="250"/>
      <c r="V6" s="251"/>
      <c r="W6" s="251">
        <f>V6+1</f>
        <v>1</v>
      </c>
      <c r="X6" s="251">
        <f t="shared" ref="X6:AF6" si="0">W6+1</f>
        <v>2</v>
      </c>
      <c r="Y6" s="252">
        <f t="shared" si="0"/>
        <v>3</v>
      </c>
      <c r="Z6" s="251">
        <f t="shared" si="0"/>
        <v>4</v>
      </c>
      <c r="AA6" s="251">
        <f t="shared" si="0"/>
        <v>5</v>
      </c>
      <c r="AB6" s="251">
        <f t="shared" si="0"/>
        <v>6</v>
      </c>
      <c r="AC6" s="251">
        <f t="shared" si="0"/>
        <v>7</v>
      </c>
      <c r="AD6" s="251">
        <f t="shared" si="0"/>
        <v>8</v>
      </c>
      <c r="AE6" s="251">
        <f t="shared" si="0"/>
        <v>9</v>
      </c>
      <c r="AF6" s="252">
        <f t="shared" si="0"/>
        <v>10</v>
      </c>
      <c r="AG6" s="5"/>
      <c r="AH6" s="526">
        <v>1000</v>
      </c>
      <c r="AI6" s="260"/>
      <c r="AJ6" s="250"/>
      <c r="AK6" s="518"/>
    </row>
    <row r="7" spans="2:37">
      <c r="B7" s="8" t="s">
        <v>13</v>
      </c>
      <c r="C7" s="9"/>
      <c r="D7" s="9"/>
      <c r="E7" s="9"/>
      <c r="F7" s="9"/>
      <c r="G7" s="9"/>
      <c r="H7" s="19">
        <f>DATEDIF(H5,H8,"m")</f>
        <v>36</v>
      </c>
      <c r="I7" s="10"/>
      <c r="J7" s="5"/>
      <c r="K7" s="6"/>
      <c r="L7" s="30" t="s">
        <v>302</v>
      </c>
      <c r="M7" s="30"/>
      <c r="N7" s="46"/>
      <c r="O7" s="177">
        <f ca="1">U56</f>
        <v>4.0555555555555553E-2</v>
      </c>
      <c r="P7" s="178">
        <f>U57</f>
        <v>4.1176310181617742E-2</v>
      </c>
      <c r="R7" s="253"/>
      <c r="S7" s="254"/>
      <c r="T7" s="254"/>
      <c r="U7" s="255" t="s">
        <v>14</v>
      </c>
      <c r="V7" s="256"/>
      <c r="W7" s="257">
        <f t="shared" ref="W7:AF7" si="1">W23</f>
        <v>43738</v>
      </c>
      <c r="X7" s="257">
        <f t="shared" si="1"/>
        <v>44104</v>
      </c>
      <c r="Y7" s="258">
        <f t="shared" si="1"/>
        <v>44469</v>
      </c>
      <c r="Z7" s="257">
        <f t="shared" si="1"/>
        <v>44469</v>
      </c>
      <c r="AA7" s="257">
        <f t="shared" si="1"/>
        <v>44469</v>
      </c>
      <c r="AB7" s="257">
        <f t="shared" si="1"/>
        <v>44469</v>
      </c>
      <c r="AC7" s="257">
        <f t="shared" si="1"/>
        <v>44469</v>
      </c>
      <c r="AD7" s="257">
        <f t="shared" si="1"/>
        <v>44469</v>
      </c>
      <c r="AE7" s="257">
        <f t="shared" si="1"/>
        <v>44469</v>
      </c>
      <c r="AF7" s="258">
        <f t="shared" si="1"/>
        <v>44469</v>
      </c>
      <c r="AG7" s="5"/>
      <c r="AH7" s="528">
        <f>H5</f>
        <v>43373</v>
      </c>
      <c r="AI7" s="254"/>
      <c r="AJ7" s="255" t="s">
        <v>86</v>
      </c>
      <c r="AK7" s="519" t="s">
        <v>28</v>
      </c>
    </row>
    <row r="8" spans="2:37">
      <c r="B8" s="8" t="s">
        <v>15</v>
      </c>
      <c r="C8" s="9"/>
      <c r="D8" s="9"/>
      <c r="E8" s="9"/>
      <c r="F8" s="9"/>
      <c r="G8" s="9"/>
      <c r="H8" s="21">
        <f>H33+H35</f>
        <v>44469</v>
      </c>
      <c r="I8" s="10"/>
      <c r="J8" s="5"/>
      <c r="K8" s="6"/>
      <c r="L8" s="6"/>
      <c r="M8" s="6"/>
      <c r="N8" s="6"/>
      <c r="O8" s="6"/>
      <c r="P8" s="7"/>
      <c r="R8" s="22" t="str">
        <f>'CF(M)'!C17</f>
        <v>Base Rent</v>
      </c>
      <c r="S8" s="9">
        <f>'CF(M)'!A17</f>
        <v>17</v>
      </c>
      <c r="T8" s="23" t="str">
        <f>$T$5&amp;S8&amp;":"&amp;S8</f>
        <v>'CF(M)'!17:17</v>
      </c>
      <c r="U8" s="495">
        <f t="shared" ref="U8:U9" ca="1" si="2">SUM(V8:AF8)</f>
        <v>17502508.700314689</v>
      </c>
      <c r="V8" s="495"/>
      <c r="W8" s="495">
        <f t="shared" ref="W8:AF9" ca="1" si="3">SUMIF(INDIRECT($T$6),W$6,INDIRECT($T8))</f>
        <v>5672022.1655796245</v>
      </c>
      <c r="X8" s="495">
        <f t="shared" ca="1" si="3"/>
        <v>5855445.8350412957</v>
      </c>
      <c r="Y8" s="496">
        <f t="shared" ca="1" si="3"/>
        <v>5975040.6996937692</v>
      </c>
      <c r="Z8" s="24">
        <f t="shared" ca="1" si="3"/>
        <v>0</v>
      </c>
      <c r="AA8" s="24">
        <f t="shared" ca="1" si="3"/>
        <v>0</v>
      </c>
      <c r="AB8" s="24">
        <f t="shared" ca="1" si="3"/>
        <v>0</v>
      </c>
      <c r="AC8" s="24">
        <f t="shared" ca="1" si="3"/>
        <v>0</v>
      </c>
      <c r="AD8" s="24">
        <f t="shared" ca="1" si="3"/>
        <v>0</v>
      </c>
      <c r="AE8" s="24">
        <f t="shared" ca="1" si="3"/>
        <v>0</v>
      </c>
      <c r="AF8" s="25">
        <f t="shared" ca="1" si="3"/>
        <v>0</v>
      </c>
      <c r="AG8" s="26"/>
      <c r="AH8" s="520">
        <f t="shared" ref="AH8:AH47" si="4">EOMONTH(AH7,3)</f>
        <v>43465</v>
      </c>
      <c r="AI8" s="163">
        <v>1</v>
      </c>
      <c r="AJ8" s="52">
        <f t="shared" ref="AJ8:AJ47" ca="1" si="5">SUMIF(INDIRECT($AJ$51),$AI8,INDIRECT($AJ$52))</f>
        <v>378222.22222222225</v>
      </c>
      <c r="AK8" s="521">
        <f t="shared" ref="AK8:AK47" ca="1" si="6">-AJ8/$V$53*365/($AH8-$AH7)</f>
        <v>4.055555555555556E-2</v>
      </c>
    </row>
    <row r="9" spans="2:37">
      <c r="B9" s="5" t="s">
        <v>428</v>
      </c>
      <c r="C9" s="6"/>
      <c r="D9" s="6"/>
      <c r="E9" s="6"/>
      <c r="F9" s="6"/>
      <c r="G9" s="6"/>
      <c r="H9" s="27">
        <v>3</v>
      </c>
      <c r="I9" s="10"/>
      <c r="J9" s="5"/>
      <c r="K9" s="6"/>
      <c r="L9" s="23"/>
      <c r="M9" s="23"/>
      <c r="N9" s="81"/>
      <c r="O9" s="6"/>
      <c r="P9" s="60"/>
      <c r="R9" s="28" t="str">
        <f>'CF(M)'!C18</f>
        <v>Recoveries</v>
      </c>
      <c r="S9" s="29">
        <f>'CF(M)'!A18</f>
        <v>18</v>
      </c>
      <c r="T9" s="30" t="str">
        <f t="shared" ref="T9" si="7">$T$5&amp;S9&amp;":"&amp;S9</f>
        <v>'CF(M)'!18:18</v>
      </c>
      <c r="U9" s="497">
        <f t="shared" ca="1" si="2"/>
        <v>229919.47997044533</v>
      </c>
      <c r="V9" s="497"/>
      <c r="W9" s="497">
        <f t="shared" ca="1" si="3"/>
        <v>71101.288534749998</v>
      </c>
      <c r="X9" s="497">
        <f t="shared" ca="1" si="3"/>
        <v>77359.255811249997</v>
      </c>
      <c r="Y9" s="498">
        <f t="shared" ca="1" si="3"/>
        <v>81458.935624445337</v>
      </c>
      <c r="Z9" s="31">
        <f t="shared" ca="1" si="3"/>
        <v>0</v>
      </c>
      <c r="AA9" s="31">
        <f t="shared" ca="1" si="3"/>
        <v>0</v>
      </c>
      <c r="AB9" s="31">
        <f t="shared" ca="1" si="3"/>
        <v>0</v>
      </c>
      <c r="AC9" s="31">
        <f t="shared" ca="1" si="3"/>
        <v>0</v>
      </c>
      <c r="AD9" s="31">
        <f t="shared" ca="1" si="3"/>
        <v>0</v>
      </c>
      <c r="AE9" s="31">
        <f t="shared" ca="1" si="3"/>
        <v>0</v>
      </c>
      <c r="AF9" s="32">
        <f t="shared" ca="1" si="3"/>
        <v>0</v>
      </c>
      <c r="AG9" s="26"/>
      <c r="AH9" s="522">
        <f t="shared" si="4"/>
        <v>43555</v>
      </c>
      <c r="AI9" s="163">
        <f t="shared" ref="AI9:AI16" si="8">AI8+1</f>
        <v>2</v>
      </c>
      <c r="AJ9" s="52">
        <f t="shared" ca="1" si="5"/>
        <v>370000</v>
      </c>
      <c r="AK9" s="521">
        <f t="shared" ca="1" si="6"/>
        <v>4.0555555555555553E-2</v>
      </c>
    </row>
    <row r="10" spans="2:37">
      <c r="B10" s="5"/>
      <c r="C10" s="6"/>
      <c r="D10" s="6"/>
      <c r="E10" s="6"/>
      <c r="F10" s="6"/>
      <c r="G10" s="6"/>
      <c r="H10" s="7"/>
      <c r="I10" s="10"/>
      <c r="J10" s="11" t="s">
        <v>18</v>
      </c>
      <c r="K10" s="6"/>
      <c r="L10" s="43"/>
      <c r="M10" s="1001" t="s">
        <v>19</v>
      </c>
      <c r="N10" s="1002"/>
      <c r="O10" s="1003" t="s">
        <v>20</v>
      </c>
      <c r="P10" s="1004"/>
      <c r="R10" s="35" t="str">
        <f>'CF(M)'!C19</f>
        <v>Effective Rental Income</v>
      </c>
      <c r="S10" s="9">
        <f>'CF(M)'!A19</f>
        <v>19</v>
      </c>
      <c r="T10" s="23" t="str">
        <f t="shared" ref="T10:T17" si="9">$T$5&amp;S10&amp;":"&amp;S10</f>
        <v>'CF(M)'!19:19</v>
      </c>
      <c r="U10" s="495">
        <f t="shared" ref="U10:U17" ca="1" si="10">SUM(V10:AF10)</f>
        <v>17732428.180285137</v>
      </c>
      <c r="V10" s="495"/>
      <c r="W10" s="495">
        <f t="shared" ref="W10:AF10" ca="1" si="11">SUM(W8:W9)</f>
        <v>5743123.4541143747</v>
      </c>
      <c r="X10" s="495">
        <f t="shared" ca="1" si="11"/>
        <v>5932805.0908525456</v>
      </c>
      <c r="Y10" s="496">
        <f t="shared" ca="1" si="11"/>
        <v>6056499.635318215</v>
      </c>
      <c r="Z10" s="24">
        <f t="shared" ca="1" si="11"/>
        <v>0</v>
      </c>
      <c r="AA10" s="24">
        <f t="shared" ca="1" si="11"/>
        <v>0</v>
      </c>
      <c r="AB10" s="24">
        <f t="shared" ca="1" si="11"/>
        <v>0</v>
      </c>
      <c r="AC10" s="24">
        <f t="shared" ca="1" si="11"/>
        <v>0</v>
      </c>
      <c r="AD10" s="24">
        <f t="shared" ca="1" si="11"/>
        <v>0</v>
      </c>
      <c r="AE10" s="24">
        <f t="shared" ca="1" si="11"/>
        <v>0</v>
      </c>
      <c r="AF10" s="25">
        <f t="shared" ca="1" si="11"/>
        <v>0</v>
      </c>
      <c r="AG10" s="26"/>
      <c r="AH10" s="522">
        <f t="shared" si="4"/>
        <v>43646</v>
      </c>
      <c r="AI10" s="163">
        <f t="shared" si="8"/>
        <v>3</v>
      </c>
      <c r="AJ10" s="52">
        <f t="shared" ca="1" si="5"/>
        <v>374111.11111111107</v>
      </c>
      <c r="AK10" s="521">
        <f t="shared" ca="1" si="6"/>
        <v>4.0555555555555553E-2</v>
      </c>
    </row>
    <row r="11" spans="2:37">
      <c r="B11" s="33" t="s">
        <v>319</v>
      </c>
      <c r="C11" s="23"/>
      <c r="D11" s="9"/>
      <c r="E11" s="9"/>
      <c r="F11" s="9"/>
      <c r="G11" s="9"/>
      <c r="H11" s="34">
        <v>820</v>
      </c>
      <c r="I11" s="10"/>
      <c r="J11" s="5"/>
      <c r="K11" s="6"/>
      <c r="L11" s="30"/>
      <c r="M11" s="151" t="s">
        <v>21</v>
      </c>
      <c r="N11" s="152" t="s">
        <v>22</v>
      </c>
      <c r="O11" s="151" t="s">
        <v>21</v>
      </c>
      <c r="P11" s="153" t="s">
        <v>23</v>
      </c>
      <c r="R11" s="28" t="str">
        <f>'CF(M)'!C20</f>
        <v>Operating Expenses</v>
      </c>
      <c r="S11" s="29">
        <f>'CF(M)'!A20</f>
        <v>20</v>
      </c>
      <c r="T11" s="30" t="str">
        <f t="shared" si="9"/>
        <v>'CF(M)'!20:20</v>
      </c>
      <c r="U11" s="497">
        <f t="shared" ca="1" si="10"/>
        <v>-2743790.6124786688</v>
      </c>
      <c r="V11" s="497"/>
      <c r="W11" s="497">
        <f t="shared" ref="W11:AF13" ca="1" si="12">SUMIF(INDIRECT($T$6),W$6,INDIRECT($T11))</f>
        <v>-877838.74254449969</v>
      </c>
      <c r="X11" s="497">
        <f t="shared" ca="1" si="12"/>
        <v>-909496.06775824982</v>
      </c>
      <c r="Y11" s="498">
        <f t="shared" ca="1" si="12"/>
        <v>-956455.80217591906</v>
      </c>
      <c r="Z11" s="31">
        <f t="shared" ca="1" si="12"/>
        <v>0</v>
      </c>
      <c r="AA11" s="31">
        <f t="shared" ca="1" si="12"/>
        <v>0</v>
      </c>
      <c r="AB11" s="31">
        <f t="shared" ca="1" si="12"/>
        <v>0</v>
      </c>
      <c r="AC11" s="31">
        <f t="shared" ca="1" si="12"/>
        <v>0</v>
      </c>
      <c r="AD11" s="31">
        <f t="shared" ca="1" si="12"/>
        <v>0</v>
      </c>
      <c r="AE11" s="31">
        <f t="shared" ca="1" si="12"/>
        <v>0</v>
      </c>
      <c r="AF11" s="32">
        <f t="shared" ca="1" si="12"/>
        <v>0</v>
      </c>
      <c r="AG11" s="26"/>
      <c r="AH11" s="522">
        <f t="shared" si="4"/>
        <v>43738</v>
      </c>
      <c r="AI11" s="163">
        <f t="shared" si="8"/>
        <v>4</v>
      </c>
      <c r="AJ11" s="52">
        <f t="shared" ca="1" si="5"/>
        <v>378222.22222222225</v>
      </c>
      <c r="AK11" s="521">
        <f t="shared" ca="1" si="6"/>
        <v>4.055555555555556E-2</v>
      </c>
    </row>
    <row r="12" spans="2:37">
      <c r="B12" s="5" t="s">
        <v>317</v>
      </c>
      <c r="C12" s="6"/>
      <c r="D12" s="6"/>
      <c r="E12" s="6"/>
      <c r="F12" s="6"/>
      <c r="G12" s="17" t="s">
        <v>245</v>
      </c>
      <c r="H12" s="448">
        <v>0.1</v>
      </c>
      <c r="I12" s="10"/>
      <c r="J12" s="5"/>
      <c r="K12" s="6"/>
      <c r="L12" s="510" t="str">
        <f>B39</f>
        <v>Senior Loan</v>
      </c>
      <c r="M12" s="506">
        <f ca="1">U25</f>
        <v>0.13503277088113932</v>
      </c>
      <c r="N12" s="507">
        <f ca="1">V25</f>
        <v>0.13149418139378041</v>
      </c>
      <c r="O12" s="508">
        <f ca="1">U26</f>
        <v>3.3265263264935712</v>
      </c>
      <c r="P12" s="509">
        <f ca="1">V26</f>
        <v>3.2423222809425312</v>
      </c>
      <c r="R12" s="35" t="str">
        <f>'CF(M)'!C21</f>
        <v>NOI</v>
      </c>
      <c r="S12" s="9">
        <f>'CF(M)'!A21</f>
        <v>21</v>
      </c>
      <c r="T12" s="23" t="str">
        <f t="shared" si="9"/>
        <v>'CF(M)'!21:21</v>
      </c>
      <c r="U12" s="494">
        <f t="shared" ca="1" si="10"/>
        <v>14988637.567806467</v>
      </c>
      <c r="V12" s="494"/>
      <c r="W12" s="494">
        <f t="shared" ref="W12:AF12" ca="1" si="13">SUM(W10:W11)</f>
        <v>4865284.7115698755</v>
      </c>
      <c r="X12" s="494">
        <f t="shared" ca="1" si="13"/>
        <v>5023309.0230942955</v>
      </c>
      <c r="Y12" s="602">
        <f t="shared" ca="1" si="13"/>
        <v>5100043.8331422955</v>
      </c>
      <c r="Z12" s="38">
        <f t="shared" ca="1" si="13"/>
        <v>0</v>
      </c>
      <c r="AA12" s="38">
        <f t="shared" ca="1" si="13"/>
        <v>0</v>
      </c>
      <c r="AB12" s="24">
        <f t="shared" ca="1" si="13"/>
        <v>0</v>
      </c>
      <c r="AC12" s="24">
        <f t="shared" ca="1" si="13"/>
        <v>0</v>
      </c>
      <c r="AD12" s="24">
        <f t="shared" ca="1" si="13"/>
        <v>0</v>
      </c>
      <c r="AE12" s="24">
        <f t="shared" ca="1" si="13"/>
        <v>0</v>
      </c>
      <c r="AF12" s="25">
        <f t="shared" ca="1" si="13"/>
        <v>0</v>
      </c>
      <c r="AG12" s="26"/>
      <c r="AH12" s="522">
        <f t="shared" si="4"/>
        <v>43830</v>
      </c>
      <c r="AI12" s="163">
        <f t="shared" si="8"/>
        <v>5</v>
      </c>
      <c r="AJ12" s="52">
        <f t="shared" ca="1" si="5"/>
        <v>378222.22222222225</v>
      </c>
      <c r="AK12" s="521">
        <f t="shared" ca="1" si="6"/>
        <v>4.055555555555556E-2</v>
      </c>
    </row>
    <row r="13" spans="2:37">
      <c r="B13" s="5" t="s">
        <v>318</v>
      </c>
      <c r="C13" s="6"/>
      <c r="D13" s="6"/>
      <c r="E13" s="6"/>
      <c r="F13" s="6"/>
      <c r="G13" s="17" t="s">
        <v>247</v>
      </c>
      <c r="H13" s="448">
        <v>0.25</v>
      </c>
      <c r="I13" s="10"/>
      <c r="J13" s="5"/>
      <c r="K13" s="6"/>
      <c r="L13" s="6"/>
      <c r="M13" s="6"/>
      <c r="N13" s="6"/>
      <c r="O13" s="6"/>
      <c r="P13" s="7"/>
      <c r="R13" s="35" t="str">
        <f>'CF(M)'!C22</f>
        <v>Trust Expenses</v>
      </c>
      <c r="S13" s="9">
        <f>'CF(M)'!A22</f>
        <v>22</v>
      </c>
      <c r="T13" s="23" t="str">
        <f t="shared" ref="T13" si="14">$T$5&amp;S13&amp;":"&amp;S13</f>
        <v>'CF(M)'!22:22</v>
      </c>
      <c r="U13" s="494">
        <f t="shared" ref="U13" ca="1" si="15">SUM(V13:AF13)</f>
        <v>-983271.05499999993</v>
      </c>
      <c r="V13" s="494"/>
      <c r="W13" s="497">
        <f t="shared" ca="1" si="12"/>
        <v>-311902</v>
      </c>
      <c r="X13" s="497">
        <f t="shared" ca="1" si="12"/>
        <v>-327497.09999999992</v>
      </c>
      <c r="Y13" s="498">
        <f t="shared" ca="1" si="12"/>
        <v>-343871.95500000007</v>
      </c>
      <c r="Z13" s="31">
        <f t="shared" ca="1" si="12"/>
        <v>0</v>
      </c>
      <c r="AA13" s="31">
        <f t="shared" ca="1" si="12"/>
        <v>0</v>
      </c>
      <c r="AB13" s="31">
        <f t="shared" ca="1" si="12"/>
        <v>0</v>
      </c>
      <c r="AC13" s="31">
        <f t="shared" ca="1" si="12"/>
        <v>0</v>
      </c>
      <c r="AD13" s="31">
        <f t="shared" ca="1" si="12"/>
        <v>0</v>
      </c>
      <c r="AE13" s="31">
        <f t="shared" ca="1" si="12"/>
        <v>0</v>
      </c>
      <c r="AF13" s="32">
        <f t="shared" ca="1" si="12"/>
        <v>0</v>
      </c>
      <c r="AG13" s="26"/>
      <c r="AH13" s="522">
        <f t="shared" si="4"/>
        <v>43921</v>
      </c>
      <c r="AI13" s="163">
        <f t="shared" si="8"/>
        <v>6</v>
      </c>
      <c r="AJ13" s="52">
        <f t="shared" ca="1" si="5"/>
        <v>374111.11111111112</v>
      </c>
      <c r="AK13" s="521">
        <f t="shared" ca="1" si="6"/>
        <v>4.0555555555555553E-2</v>
      </c>
    </row>
    <row r="14" spans="2:37">
      <c r="B14" s="5" t="s">
        <v>259</v>
      </c>
      <c r="C14" s="6"/>
      <c r="D14" s="6"/>
      <c r="E14" s="6"/>
      <c r="F14" s="6"/>
      <c r="G14" s="6"/>
      <c r="H14" s="459" t="s">
        <v>260</v>
      </c>
      <c r="I14" s="10"/>
      <c r="J14" s="5"/>
      <c r="K14" s="6"/>
      <c r="L14" s="6"/>
      <c r="M14" s="6"/>
      <c r="N14" s="6"/>
      <c r="O14" s="6"/>
      <c r="P14" s="7"/>
      <c r="R14" s="41" t="str">
        <f>'CF(M)'!C23</f>
        <v>Cash Flow Before Debt Service</v>
      </c>
      <c r="S14" s="42">
        <f>'CF(M)'!A23</f>
        <v>23</v>
      </c>
      <c r="T14" s="43" t="str">
        <f t="shared" si="9"/>
        <v>'CF(M)'!23:23</v>
      </c>
      <c r="U14" s="514">
        <f t="shared" ca="1" si="10"/>
        <v>14005366.512806466</v>
      </c>
      <c r="V14" s="514"/>
      <c r="W14" s="514">
        <f t="shared" ref="W14:AF14" ca="1" si="16">SUM(W12:W13)</f>
        <v>4553382.7115698755</v>
      </c>
      <c r="X14" s="514">
        <f t="shared" ca="1" si="16"/>
        <v>4695811.9230942959</v>
      </c>
      <c r="Y14" s="603">
        <f t="shared" ca="1" si="16"/>
        <v>4756171.8781422954</v>
      </c>
      <c r="Z14" s="44">
        <f t="shared" ca="1" si="16"/>
        <v>0</v>
      </c>
      <c r="AA14" s="44">
        <f t="shared" ca="1" si="16"/>
        <v>0</v>
      </c>
      <c r="AB14" s="44">
        <f t="shared" ca="1" si="16"/>
        <v>0</v>
      </c>
      <c r="AC14" s="44">
        <f t="shared" ca="1" si="16"/>
        <v>0</v>
      </c>
      <c r="AD14" s="44">
        <f t="shared" ca="1" si="16"/>
        <v>0</v>
      </c>
      <c r="AE14" s="44">
        <f t="shared" ca="1" si="16"/>
        <v>0</v>
      </c>
      <c r="AF14" s="45">
        <f t="shared" ca="1" si="16"/>
        <v>0</v>
      </c>
      <c r="AG14" s="26"/>
      <c r="AH14" s="522">
        <f t="shared" si="4"/>
        <v>44012</v>
      </c>
      <c r="AI14" s="163">
        <f t="shared" si="8"/>
        <v>7</v>
      </c>
      <c r="AJ14" s="52">
        <f t="shared" ca="1" si="5"/>
        <v>374111.11111111107</v>
      </c>
      <c r="AK14" s="521">
        <f t="shared" ca="1" si="6"/>
        <v>4.0555555555555553E-2</v>
      </c>
    </row>
    <row r="15" spans="2:37">
      <c r="B15" s="5"/>
      <c r="C15" s="6"/>
      <c r="D15" s="6"/>
      <c r="E15" s="6"/>
      <c r="F15" s="6"/>
      <c r="G15" s="6"/>
      <c r="H15" s="7"/>
      <c r="I15" s="10"/>
      <c r="J15" s="11" t="s">
        <v>315</v>
      </c>
      <c r="K15" s="6"/>
      <c r="L15" s="154" t="s">
        <v>314</v>
      </c>
      <c r="M15" s="154"/>
      <c r="N15" s="37"/>
      <c r="O15" s="155"/>
      <c r="P15" s="532">
        <f>D39*365/360</f>
        <v>4.0555555555555553E-2</v>
      </c>
      <c r="R15" s="11" t="s">
        <v>26</v>
      </c>
      <c r="S15" s="9">
        <f>'CF(M)'!A24</f>
        <v>24</v>
      </c>
      <c r="T15" s="23" t="str">
        <f t="shared" si="9"/>
        <v>'CF(M)'!24:24</v>
      </c>
      <c r="U15" s="495">
        <f t="shared" ca="1" si="10"/>
        <v>-4505777.777777778</v>
      </c>
      <c r="V15" s="495"/>
      <c r="W15" s="495">
        <f t="shared" ref="W15:AF15" ca="1" si="17">-SUM(W16:W16)</f>
        <v>-1500555.5555555555</v>
      </c>
      <c r="X15" s="495">
        <f t="shared" ca="1" si="17"/>
        <v>-1504666.6666666665</v>
      </c>
      <c r="Y15" s="496">
        <f t="shared" ca="1" si="17"/>
        <v>-1500555.5555555555</v>
      </c>
      <c r="Z15" s="24">
        <f t="shared" ca="1" si="17"/>
        <v>0</v>
      </c>
      <c r="AA15" s="24">
        <f t="shared" ca="1" si="17"/>
        <v>0</v>
      </c>
      <c r="AB15" s="24">
        <f t="shared" ca="1" si="17"/>
        <v>0</v>
      </c>
      <c r="AC15" s="24">
        <f t="shared" ca="1" si="17"/>
        <v>0</v>
      </c>
      <c r="AD15" s="24">
        <f t="shared" ca="1" si="17"/>
        <v>0</v>
      </c>
      <c r="AE15" s="24">
        <f t="shared" ca="1" si="17"/>
        <v>0</v>
      </c>
      <c r="AF15" s="25">
        <f t="shared" ca="1" si="17"/>
        <v>0</v>
      </c>
      <c r="AG15" s="26"/>
      <c r="AH15" s="522">
        <f t="shared" si="4"/>
        <v>44104</v>
      </c>
      <c r="AI15" s="163">
        <f t="shared" si="8"/>
        <v>8</v>
      </c>
      <c r="AJ15" s="52">
        <f t="shared" ca="1" si="5"/>
        <v>378222.22222222225</v>
      </c>
      <c r="AK15" s="521">
        <f t="shared" ca="1" si="6"/>
        <v>4.055555555555556E-2</v>
      </c>
    </row>
    <row r="16" spans="2:37">
      <c r="B16" s="5"/>
      <c r="C16" s="6"/>
      <c r="D16" s="6"/>
      <c r="E16" s="6"/>
      <c r="F16" s="6"/>
      <c r="G16" s="6"/>
      <c r="H16" s="7"/>
      <c r="J16" s="5"/>
      <c r="K16" s="6"/>
      <c r="L16" s="156" t="s">
        <v>313</v>
      </c>
      <c r="M16" s="156"/>
      <c r="N16" s="6"/>
      <c r="O16" s="6"/>
      <c r="P16" s="521">
        <f ca="1">(-U34/V37)*365/(H33-V32)</f>
        <v>1.6216216216216218E-3</v>
      </c>
      <c r="R16" s="47" t="s">
        <v>292</v>
      </c>
      <c r="S16" s="48">
        <f>'CF(M)'!A38</f>
        <v>38</v>
      </c>
      <c r="T16" s="23" t="str">
        <f t="shared" si="9"/>
        <v>'CF(M)'!38:38</v>
      </c>
      <c r="U16" s="515">
        <f t="shared" ca="1" si="10"/>
        <v>4505777.777777778</v>
      </c>
      <c r="V16" s="515"/>
      <c r="W16" s="515">
        <f t="shared" ref="W16:AF16" ca="1" si="18">SUMIF(INDIRECT($T$6),W$6,INDIRECT($T16))</f>
        <v>1500555.5555555555</v>
      </c>
      <c r="X16" s="515">
        <f t="shared" ca="1" si="18"/>
        <v>1504666.6666666665</v>
      </c>
      <c r="Y16" s="604">
        <f t="shared" ca="1" si="18"/>
        <v>1500555.5555555555</v>
      </c>
      <c r="Z16" s="49">
        <f t="shared" ca="1" si="18"/>
        <v>0</v>
      </c>
      <c r="AA16" s="49">
        <f t="shared" ca="1" si="18"/>
        <v>0</v>
      </c>
      <c r="AB16" s="49">
        <f t="shared" ca="1" si="18"/>
        <v>0</v>
      </c>
      <c r="AC16" s="49">
        <f t="shared" ca="1" si="18"/>
        <v>0</v>
      </c>
      <c r="AD16" s="49">
        <f t="shared" ca="1" si="18"/>
        <v>0</v>
      </c>
      <c r="AE16" s="49">
        <f t="shared" ca="1" si="18"/>
        <v>0</v>
      </c>
      <c r="AF16" s="50">
        <f t="shared" ca="1" si="18"/>
        <v>0</v>
      </c>
      <c r="AG16" s="26"/>
      <c r="AH16" s="522">
        <f t="shared" si="4"/>
        <v>44196</v>
      </c>
      <c r="AI16" s="163">
        <f t="shared" si="8"/>
        <v>9</v>
      </c>
      <c r="AJ16" s="52">
        <f t="shared" ca="1" si="5"/>
        <v>378222.22222222225</v>
      </c>
      <c r="AK16" s="521">
        <f t="shared" ca="1" si="6"/>
        <v>4.055555555555556E-2</v>
      </c>
    </row>
    <row r="17" spans="2:38">
      <c r="B17" s="241" t="s">
        <v>16</v>
      </c>
      <c r="C17" s="242"/>
      <c r="D17" s="243"/>
      <c r="E17" s="243"/>
      <c r="F17" s="243"/>
      <c r="G17" s="244" t="s">
        <v>17</v>
      </c>
      <c r="H17" s="245">
        <v>1</v>
      </c>
      <c r="I17" s="10"/>
      <c r="J17" s="5"/>
      <c r="K17" s="6"/>
      <c r="L17" s="530" t="s">
        <v>312</v>
      </c>
      <c r="M17" s="20"/>
      <c r="N17" s="20"/>
      <c r="O17" s="20"/>
      <c r="P17" s="529">
        <f ca="1">V40</f>
        <v>2.7428258327759835E-3</v>
      </c>
      <c r="R17" s="157" t="s">
        <v>29</v>
      </c>
      <c r="S17" s="158">
        <f>'CF(M)'!A29</f>
        <v>29</v>
      </c>
      <c r="T17" s="55" t="str">
        <f t="shared" si="9"/>
        <v>'CF(M)'!29:29</v>
      </c>
      <c r="U17" s="516">
        <f t="shared" ca="1" si="10"/>
        <v>9499588.7350286897</v>
      </c>
      <c r="V17" s="516"/>
      <c r="W17" s="984">
        <f t="shared" ref="W17:AF17" ca="1" si="19">SUM(W14,W15)</f>
        <v>3052827.15601432</v>
      </c>
      <c r="X17" s="984">
        <f t="shared" ca="1" si="19"/>
        <v>3191145.2564276294</v>
      </c>
      <c r="Y17" s="985">
        <f t="shared" ca="1" si="19"/>
        <v>3255616.3225867399</v>
      </c>
      <c r="Z17" s="488">
        <f t="shared" ca="1" si="19"/>
        <v>0</v>
      </c>
      <c r="AA17" s="488">
        <f t="shared" ca="1" si="19"/>
        <v>0</v>
      </c>
      <c r="AB17" s="488">
        <f t="shared" ca="1" si="19"/>
        <v>0</v>
      </c>
      <c r="AC17" s="488">
        <f t="shared" ca="1" si="19"/>
        <v>0</v>
      </c>
      <c r="AD17" s="488">
        <f t="shared" ca="1" si="19"/>
        <v>0</v>
      </c>
      <c r="AE17" s="488">
        <f t="shared" ca="1" si="19"/>
        <v>0</v>
      </c>
      <c r="AF17" s="489">
        <f t="shared" ca="1" si="19"/>
        <v>0</v>
      </c>
      <c r="AG17" s="26"/>
      <c r="AH17" s="522">
        <f t="shared" si="4"/>
        <v>44286</v>
      </c>
      <c r="AI17" s="163">
        <f t="shared" ref="AI17:AI32" si="20">AI16+1</f>
        <v>10</v>
      </c>
      <c r="AJ17" s="52">
        <f t="shared" ca="1" si="5"/>
        <v>370000</v>
      </c>
      <c r="AK17" s="521">
        <f t="shared" ca="1" si="6"/>
        <v>4.0555555555555553E-2</v>
      </c>
    </row>
    <row r="18" spans="2:38">
      <c r="B18" s="5"/>
      <c r="C18" s="6"/>
      <c r="D18" s="6"/>
      <c r="E18" s="6"/>
      <c r="F18" s="6"/>
      <c r="G18" s="6"/>
      <c r="H18" s="7"/>
      <c r="I18" s="10"/>
      <c r="J18" s="5"/>
      <c r="K18" s="6"/>
      <c r="L18" s="508" t="s">
        <v>311</v>
      </c>
      <c r="M18" s="12"/>
      <c r="N18" s="12"/>
      <c r="O18" s="12"/>
      <c r="P18" s="531">
        <f ca="1">SUM(P15:P17)</f>
        <v>4.4920003009953156E-2</v>
      </c>
      <c r="R18" s="983" t="s">
        <v>949</v>
      </c>
      <c r="S18" s="158"/>
      <c r="T18" s="55"/>
      <c r="U18" s="488"/>
      <c r="V18" s="488"/>
      <c r="W18" s="987">
        <f ca="1">-'Property(Y)'!N38</f>
        <v>-1409280.169765</v>
      </c>
      <c r="X18" s="987">
        <f ca="1">-'Property(Y)'!O38</f>
        <v>-49999.999999999993</v>
      </c>
      <c r="Y18" s="988">
        <f ca="1">-'Property(Y)'!P38</f>
        <v>-167593.39327200002</v>
      </c>
      <c r="Z18" s="49"/>
      <c r="AA18" s="49"/>
      <c r="AB18" s="49"/>
      <c r="AC18" s="49"/>
      <c r="AD18" s="49"/>
      <c r="AE18" s="49"/>
      <c r="AF18" s="50"/>
      <c r="AG18" s="5"/>
      <c r="AH18" s="522">
        <f t="shared" si="4"/>
        <v>44377</v>
      </c>
      <c r="AI18" s="163">
        <f t="shared" si="20"/>
        <v>11</v>
      </c>
      <c r="AJ18" s="52">
        <f t="shared" ca="1" si="5"/>
        <v>374111.11111111107</v>
      </c>
      <c r="AK18" s="521">
        <f t="shared" ca="1" si="6"/>
        <v>4.0555555555555553E-2</v>
      </c>
    </row>
    <row r="19" spans="2:38">
      <c r="B19" s="8" t="s">
        <v>24</v>
      </c>
      <c r="C19" s="9"/>
      <c r="D19" s="9"/>
      <c r="E19" s="9"/>
      <c r="F19" s="9"/>
      <c r="G19" s="9"/>
      <c r="H19" s="39" t="s">
        <v>320</v>
      </c>
      <c r="I19" s="10"/>
      <c r="J19" s="5"/>
      <c r="K19" s="6"/>
      <c r="L19" s="6"/>
      <c r="M19" s="6"/>
      <c r="N19" s="6"/>
      <c r="O19" s="6"/>
      <c r="P19" s="708">
        <f ca="1">O6-P18</f>
        <v>0</v>
      </c>
      <c r="R19" s="982" t="s">
        <v>950</v>
      </c>
      <c r="S19" s="48"/>
      <c r="T19" s="23"/>
      <c r="U19" s="49"/>
      <c r="V19" s="49"/>
      <c r="W19" s="986">
        <f t="shared" ref="W19:Y19" ca="1" si="21">SUM(W17:W18)</f>
        <v>1643546.98624932</v>
      </c>
      <c r="X19" s="986">
        <f t="shared" ca="1" si="21"/>
        <v>3141145.2564276294</v>
      </c>
      <c r="Y19" s="986">
        <f t="shared" ca="1" si="21"/>
        <v>3088022.92931474</v>
      </c>
      <c r="Z19" s="49"/>
      <c r="AA19" s="49"/>
      <c r="AB19" s="49"/>
      <c r="AC19" s="49"/>
      <c r="AD19" s="49"/>
      <c r="AE19" s="49"/>
      <c r="AF19" s="50"/>
      <c r="AG19" s="5"/>
      <c r="AH19" s="522">
        <f t="shared" si="4"/>
        <v>44469</v>
      </c>
      <c r="AI19" s="163">
        <f t="shared" si="20"/>
        <v>12</v>
      </c>
      <c r="AJ19" s="52">
        <f t="shared" ca="1" si="5"/>
        <v>378222.22222222225</v>
      </c>
      <c r="AK19" s="521">
        <f t="shared" ca="1" si="6"/>
        <v>4.055555555555556E-2</v>
      </c>
    </row>
    <row r="20" spans="2:38" ht="12" thickBot="1">
      <c r="B20" s="5" t="s">
        <v>25</v>
      </c>
      <c r="C20" s="6"/>
      <c r="D20" s="9"/>
      <c r="E20" s="9"/>
      <c r="F20" s="6"/>
      <c r="G20" s="6"/>
      <c r="H20" s="40" t="s">
        <v>321</v>
      </c>
      <c r="I20" s="10"/>
      <c r="J20" s="5"/>
      <c r="K20" s="6"/>
      <c r="L20" s="6"/>
      <c r="M20" s="6"/>
      <c r="N20" s="6"/>
      <c r="O20" s="6"/>
      <c r="P20" s="7"/>
      <c r="R20" s="66"/>
      <c r="S20" s="48"/>
      <c r="T20" s="23"/>
      <c r="U20" s="49"/>
      <c r="V20" s="49"/>
      <c r="W20" s="49"/>
      <c r="X20" s="49"/>
      <c r="Y20" s="50"/>
      <c r="Z20" s="49"/>
      <c r="AA20" s="49"/>
      <c r="AB20" s="49"/>
      <c r="AC20" s="49"/>
      <c r="AD20" s="49"/>
      <c r="AE20" s="49"/>
      <c r="AF20" s="50"/>
      <c r="AG20" s="5"/>
      <c r="AH20" s="522">
        <f t="shared" si="4"/>
        <v>44561</v>
      </c>
      <c r="AI20" s="163">
        <f t="shared" si="20"/>
        <v>13</v>
      </c>
      <c r="AJ20" s="52">
        <f t="shared" ca="1" si="5"/>
        <v>0</v>
      </c>
      <c r="AK20" s="521">
        <f t="shared" ca="1" si="6"/>
        <v>0</v>
      </c>
    </row>
    <row r="21" spans="2:38" ht="12" thickBot="1">
      <c r="B21" s="8" t="s">
        <v>160</v>
      </c>
      <c r="C21" s="6"/>
      <c r="D21" s="6"/>
      <c r="E21" s="6"/>
      <c r="F21" s="6"/>
      <c r="G21" s="6"/>
      <c r="H21" s="324">
        <f>SUM(Rentroll!D3:D6)</f>
        <v>11066.5</v>
      </c>
      <c r="J21" s="241" t="s">
        <v>37</v>
      </c>
      <c r="K21" s="247"/>
      <c r="L21" s="247"/>
      <c r="M21" s="261" t="s">
        <v>38</v>
      </c>
      <c r="N21" s="262">
        <v>1</v>
      </c>
      <c r="O21" s="244" t="s">
        <v>39</v>
      </c>
      <c r="P21" s="245">
        <v>1</v>
      </c>
      <c r="R21" s="263" t="s">
        <v>293</v>
      </c>
      <c r="S21" s="23"/>
      <c r="T21" s="23"/>
      <c r="U21" s="23"/>
      <c r="V21" s="23"/>
      <c r="W21" s="23"/>
      <c r="X21" s="23"/>
      <c r="Y21" s="65"/>
      <c r="Z21" s="23"/>
      <c r="AA21" s="23"/>
      <c r="AB21" s="23"/>
      <c r="AC21" s="23"/>
      <c r="AD21" s="23"/>
      <c r="AE21" s="23"/>
      <c r="AF21" s="65"/>
      <c r="AG21" s="5"/>
      <c r="AH21" s="522">
        <f t="shared" si="4"/>
        <v>44651</v>
      </c>
      <c r="AI21" s="163">
        <f t="shared" si="20"/>
        <v>14</v>
      </c>
      <c r="AJ21" s="52">
        <f t="shared" ca="1" si="5"/>
        <v>0</v>
      </c>
      <c r="AK21" s="521">
        <f t="shared" ca="1" si="6"/>
        <v>0</v>
      </c>
    </row>
    <row r="22" spans="2:38" ht="12" customHeight="1">
      <c r="B22" s="8" t="s">
        <v>161</v>
      </c>
      <c r="C22" s="9"/>
      <c r="D22" s="9"/>
      <c r="E22" s="9"/>
      <c r="F22" s="9"/>
      <c r="G22" s="9"/>
      <c r="H22" s="325">
        <f>SUM(Rentroll!D7:D8)</f>
        <v>56</v>
      </c>
      <c r="I22" s="10"/>
      <c r="J22" s="5"/>
      <c r="K22" s="6"/>
      <c r="L22" s="6"/>
      <c r="M22" s="6"/>
      <c r="N22" s="6"/>
      <c r="O22" s="6"/>
      <c r="P22" s="7"/>
      <c r="R22" s="527">
        <f>R6</f>
        <v>1</v>
      </c>
      <c r="S22" s="249">
        <f>ROW('CF(M)'!A28)</f>
        <v>28</v>
      </c>
      <c r="T22" s="249" t="str">
        <f>$T$5&amp;S22&amp;":"&amp;S22</f>
        <v>'CF(M)'!28:28</v>
      </c>
      <c r="U22" s="250"/>
      <c r="V22" s="251"/>
      <c r="W22" s="251">
        <f>V22+1</f>
        <v>1</v>
      </c>
      <c r="X22" s="251">
        <f t="shared" ref="X22:AF22" si="22">W22+1</f>
        <v>2</v>
      </c>
      <c r="Y22" s="252">
        <f t="shared" si="22"/>
        <v>3</v>
      </c>
      <c r="Z22" s="251">
        <f t="shared" si="22"/>
        <v>4</v>
      </c>
      <c r="AA22" s="251">
        <f t="shared" si="22"/>
        <v>5</v>
      </c>
      <c r="AB22" s="251">
        <f t="shared" si="22"/>
        <v>6</v>
      </c>
      <c r="AC22" s="251">
        <f t="shared" si="22"/>
        <v>7</v>
      </c>
      <c r="AD22" s="251">
        <f t="shared" si="22"/>
        <v>8</v>
      </c>
      <c r="AE22" s="251">
        <f t="shared" si="22"/>
        <v>9</v>
      </c>
      <c r="AF22" s="252">
        <f t="shared" si="22"/>
        <v>10</v>
      </c>
      <c r="AG22" s="5"/>
      <c r="AH22" s="522">
        <f t="shared" si="4"/>
        <v>44742</v>
      </c>
      <c r="AI22" s="163">
        <f t="shared" si="20"/>
        <v>15</v>
      </c>
      <c r="AJ22" s="52">
        <f t="shared" ca="1" si="5"/>
        <v>0</v>
      </c>
      <c r="AK22" s="521">
        <f t="shared" ca="1" si="6"/>
        <v>0</v>
      </c>
    </row>
    <row r="23" spans="2:38">
      <c r="B23" s="8"/>
      <c r="C23" s="9"/>
      <c r="D23" s="9"/>
      <c r="E23" s="9"/>
      <c r="F23" s="9"/>
      <c r="G23" s="9"/>
      <c r="H23" s="7"/>
      <c r="I23" s="10"/>
      <c r="J23" s="5"/>
      <c r="K23" s="6"/>
      <c r="L23" s="71">
        <v>1</v>
      </c>
      <c r="M23" s="71"/>
      <c r="N23" s="71"/>
      <c r="O23" s="71"/>
      <c r="P23" s="72"/>
      <c r="R23" s="253"/>
      <c r="S23" s="254"/>
      <c r="T23" s="254"/>
      <c r="U23" s="255" t="s">
        <v>21</v>
      </c>
      <c r="V23" s="256" t="s">
        <v>287</v>
      </c>
      <c r="W23" s="257">
        <f t="shared" ref="W23:AF23" si="23">W32</f>
        <v>43738</v>
      </c>
      <c r="X23" s="257">
        <f t="shared" si="23"/>
        <v>44104</v>
      </c>
      <c r="Y23" s="258">
        <f t="shared" si="23"/>
        <v>44469</v>
      </c>
      <c r="Z23" s="257">
        <f t="shared" si="23"/>
        <v>44469</v>
      </c>
      <c r="AA23" s="257">
        <f t="shared" si="23"/>
        <v>44469</v>
      </c>
      <c r="AB23" s="257">
        <f t="shared" si="23"/>
        <v>44469</v>
      </c>
      <c r="AC23" s="257">
        <f t="shared" si="23"/>
        <v>44469</v>
      </c>
      <c r="AD23" s="257">
        <f t="shared" si="23"/>
        <v>44469</v>
      </c>
      <c r="AE23" s="257">
        <f t="shared" si="23"/>
        <v>44469</v>
      </c>
      <c r="AF23" s="258">
        <f t="shared" si="23"/>
        <v>44469</v>
      </c>
      <c r="AG23" s="5"/>
      <c r="AH23" s="522">
        <f t="shared" si="4"/>
        <v>44834</v>
      </c>
      <c r="AI23" s="163">
        <f t="shared" si="20"/>
        <v>16</v>
      </c>
      <c r="AJ23" s="52">
        <f t="shared" ca="1" si="5"/>
        <v>0</v>
      </c>
      <c r="AK23" s="521">
        <f t="shared" ca="1" si="6"/>
        <v>0</v>
      </c>
      <c r="AL23" s="162"/>
    </row>
    <row r="24" spans="2:38">
      <c r="B24" s="5" t="s">
        <v>95</v>
      </c>
      <c r="C24" s="6"/>
      <c r="D24" s="6"/>
      <c r="E24" s="6"/>
      <c r="F24" s="6"/>
      <c r="G24" s="17" t="s">
        <v>246</v>
      </c>
      <c r="H24" s="25">
        <f ca="1">'Property(Y)'!N32</f>
        <v>4865284.7115698745</v>
      </c>
      <c r="I24" s="10"/>
      <c r="J24" s="89" t="s">
        <v>199</v>
      </c>
      <c r="K24" s="37"/>
      <c r="L24" s="37"/>
      <c r="M24" s="362"/>
      <c r="N24" s="362"/>
      <c r="O24" s="362"/>
      <c r="P24" s="363"/>
      <c r="R24" s="486" t="s">
        <v>290</v>
      </c>
      <c r="S24" s="23">
        <f>'CF(M)'!A38</f>
        <v>38</v>
      </c>
      <c r="T24" s="23" t="str">
        <f>$T$5&amp;S24&amp;":"&amp;S24</f>
        <v>'CF(M)'!38:38</v>
      </c>
      <c r="U24" s="82"/>
      <c r="V24" s="49"/>
      <c r="W24" s="49">
        <f t="shared" ref="W24:AF24" ca="1" si="24">SUMIF(INDIRECT($T$6),W$6,INDIRECT($T24))</f>
        <v>1500555.5555555555</v>
      </c>
      <c r="X24" s="49">
        <f t="shared" ca="1" si="24"/>
        <v>1504666.6666666665</v>
      </c>
      <c r="Y24" s="50">
        <f t="shared" ca="1" si="24"/>
        <v>1500555.5555555555</v>
      </c>
      <c r="Z24" s="49">
        <f t="shared" ca="1" si="24"/>
        <v>0</v>
      </c>
      <c r="AA24" s="49">
        <f t="shared" ca="1" si="24"/>
        <v>0</v>
      </c>
      <c r="AB24" s="49">
        <f t="shared" ca="1" si="24"/>
        <v>0</v>
      </c>
      <c r="AC24" s="49">
        <f t="shared" ca="1" si="24"/>
        <v>0</v>
      </c>
      <c r="AD24" s="49">
        <f t="shared" ca="1" si="24"/>
        <v>0</v>
      </c>
      <c r="AE24" s="49">
        <f t="shared" ca="1" si="24"/>
        <v>0</v>
      </c>
      <c r="AF24" s="50">
        <f t="shared" ca="1" si="24"/>
        <v>0</v>
      </c>
      <c r="AG24" s="5"/>
      <c r="AH24" s="522">
        <f t="shared" si="4"/>
        <v>44926</v>
      </c>
      <c r="AI24" s="163">
        <f t="shared" si="20"/>
        <v>17</v>
      </c>
      <c r="AJ24" s="52">
        <f t="shared" ca="1" si="5"/>
        <v>0</v>
      </c>
      <c r="AK24" s="521">
        <f t="shared" ca="1" si="6"/>
        <v>0</v>
      </c>
      <c r="AL24" s="162"/>
    </row>
    <row r="25" spans="2:38">
      <c r="B25" s="5" t="s">
        <v>94</v>
      </c>
      <c r="C25" s="6"/>
      <c r="D25" s="6"/>
      <c r="E25" s="6"/>
      <c r="F25" s="6"/>
      <c r="G25" s="17" t="s">
        <v>568</v>
      </c>
      <c r="H25" s="58">
        <v>68700000</v>
      </c>
      <c r="I25" s="10"/>
      <c r="J25" s="79" t="s">
        <v>200</v>
      </c>
      <c r="K25" s="6" t="s">
        <v>201</v>
      </c>
      <c r="L25" s="765">
        <f>Rentroll2!U11</f>
        <v>508.48146277276265</v>
      </c>
      <c r="M25" s="765"/>
      <c r="N25" s="71"/>
      <c r="O25" s="71"/>
      <c r="P25" s="72"/>
      <c r="R25" s="487" t="s">
        <v>35</v>
      </c>
      <c r="S25" s="64"/>
      <c r="T25" s="67">
        <f>C39</f>
        <v>37000000</v>
      </c>
      <c r="U25" s="150">
        <f ca="1">AVERAGE(W25:AF25)</f>
        <v>0.13503277088113932</v>
      </c>
      <c r="V25" s="150">
        <f ca="1">MIN(W25:AF25)</f>
        <v>0.13149418139378041</v>
      </c>
      <c r="W25" s="68">
        <f t="shared" ref="W25:AF25" ca="1" si="25">IF(W12&lt;&gt;0,W$12/$T$25,"")</f>
        <v>0.13149418139378041</v>
      </c>
      <c r="X25" s="68">
        <f t="shared" ca="1" si="25"/>
        <v>0.13576510873227826</v>
      </c>
      <c r="Y25" s="69">
        <f t="shared" ca="1" si="25"/>
        <v>0.13783902251735933</v>
      </c>
      <c r="Z25" s="68" t="str">
        <f t="shared" ca="1" si="25"/>
        <v/>
      </c>
      <c r="AA25" s="68" t="str">
        <f t="shared" ca="1" si="25"/>
        <v/>
      </c>
      <c r="AB25" s="68" t="str">
        <f t="shared" ca="1" si="25"/>
        <v/>
      </c>
      <c r="AC25" s="68" t="str">
        <f t="shared" ca="1" si="25"/>
        <v/>
      </c>
      <c r="AD25" s="68" t="str">
        <f t="shared" ca="1" si="25"/>
        <v/>
      </c>
      <c r="AE25" s="68" t="str">
        <f t="shared" ca="1" si="25"/>
        <v/>
      </c>
      <c r="AF25" s="69" t="str">
        <f t="shared" ca="1" si="25"/>
        <v/>
      </c>
      <c r="AG25" s="5"/>
      <c r="AH25" s="522">
        <f t="shared" si="4"/>
        <v>45016</v>
      </c>
      <c r="AI25" s="163">
        <f t="shared" si="20"/>
        <v>18</v>
      </c>
      <c r="AJ25" s="52">
        <f t="shared" ca="1" si="5"/>
        <v>0</v>
      </c>
      <c r="AK25" s="521">
        <f t="shared" ca="1" si="6"/>
        <v>0</v>
      </c>
      <c r="AL25" s="162"/>
    </row>
    <row r="26" spans="2:38">
      <c r="B26" s="8"/>
      <c r="C26" s="9"/>
      <c r="D26" s="9"/>
      <c r="E26" s="9"/>
      <c r="F26" s="9"/>
      <c r="G26" s="9"/>
      <c r="H26" s="105">
        <f ca="1">H24/H25</f>
        <v>7.0819282555602256E-2</v>
      </c>
      <c r="I26" s="10"/>
      <c r="J26" s="160"/>
      <c r="K26" s="20" t="s">
        <v>202</v>
      </c>
      <c r="L26" s="766">
        <v>3.5000000000000003E-2</v>
      </c>
      <c r="M26" s="766"/>
      <c r="N26" s="364"/>
      <c r="O26" s="364"/>
      <c r="P26" s="365"/>
      <c r="R26" s="490" t="s">
        <v>44</v>
      </c>
      <c r="S26" s="30"/>
      <c r="T26" s="30"/>
      <c r="U26" s="217">
        <f ca="1">AVERAGE(W26:AF26)</f>
        <v>3.3265263264935712</v>
      </c>
      <c r="V26" s="217">
        <f ca="1">MIN(W26:AF26)</f>
        <v>3.2423222809425312</v>
      </c>
      <c r="W26" s="217">
        <f t="shared" ref="W26:AF26" ca="1" si="26">IFERROR(W$12/W24,"")</f>
        <v>3.2423222809425312</v>
      </c>
      <c r="X26" s="217">
        <f t="shared" ca="1" si="26"/>
        <v>3.3384862803019248</v>
      </c>
      <c r="Y26" s="218">
        <f t="shared" ca="1" si="26"/>
        <v>3.3987704182362579</v>
      </c>
      <c r="Z26" s="217" t="str">
        <f t="shared" ca="1" si="26"/>
        <v/>
      </c>
      <c r="AA26" s="217" t="str">
        <f t="shared" ca="1" si="26"/>
        <v/>
      </c>
      <c r="AB26" s="217" t="str">
        <f t="shared" ca="1" si="26"/>
        <v/>
      </c>
      <c r="AC26" s="217" t="str">
        <f t="shared" ca="1" si="26"/>
        <v/>
      </c>
      <c r="AD26" s="217" t="str">
        <f t="shared" ca="1" si="26"/>
        <v/>
      </c>
      <c r="AE26" s="217" t="str">
        <f t="shared" ca="1" si="26"/>
        <v/>
      </c>
      <c r="AF26" s="218" t="str">
        <f t="shared" ca="1" si="26"/>
        <v/>
      </c>
      <c r="AG26" s="5"/>
      <c r="AH26" s="522">
        <f t="shared" si="4"/>
        <v>45107</v>
      </c>
      <c r="AI26" s="163">
        <f t="shared" si="20"/>
        <v>19</v>
      </c>
      <c r="AJ26" s="52">
        <f t="shared" ca="1" si="5"/>
        <v>0</v>
      </c>
      <c r="AK26" s="521">
        <f t="shared" ca="1" si="6"/>
        <v>0</v>
      </c>
      <c r="AL26" s="162"/>
    </row>
    <row r="27" spans="2:38">
      <c r="B27" s="5"/>
      <c r="C27" s="6"/>
      <c r="D27" s="6"/>
      <c r="E27" s="6"/>
      <c r="F27" s="6"/>
      <c r="G27" s="6"/>
      <c r="H27" s="7"/>
      <c r="I27" s="10"/>
      <c r="J27" s="11" t="s">
        <v>0</v>
      </c>
      <c r="K27" s="6"/>
      <c r="L27" s="6"/>
      <c r="M27" s="765"/>
      <c r="N27" s="71"/>
      <c r="O27" s="71"/>
      <c r="P27" s="72"/>
      <c r="R27" s="5"/>
      <c r="S27" s="6"/>
      <c r="T27" s="6"/>
      <c r="U27" s="6"/>
      <c r="V27" s="6"/>
      <c r="W27" s="6"/>
      <c r="X27" s="6"/>
      <c r="Y27" s="7"/>
      <c r="Z27" s="67"/>
      <c r="AA27" s="67"/>
      <c r="AB27" s="67"/>
      <c r="AC27" s="67"/>
      <c r="AD27" s="67"/>
      <c r="AE27" s="67"/>
      <c r="AF27" s="233"/>
      <c r="AG27" s="5"/>
      <c r="AH27" s="522">
        <f t="shared" si="4"/>
        <v>45199</v>
      </c>
      <c r="AI27" s="163">
        <f t="shared" si="20"/>
        <v>20</v>
      </c>
      <c r="AJ27" s="52">
        <f t="shared" ca="1" si="5"/>
        <v>0</v>
      </c>
      <c r="AK27" s="521">
        <f t="shared" ca="1" si="6"/>
        <v>0</v>
      </c>
      <c r="AL27" s="162"/>
    </row>
    <row r="28" spans="2:38">
      <c r="B28" s="5"/>
      <c r="C28" s="6"/>
      <c r="D28" s="6"/>
      <c r="E28" s="6"/>
      <c r="F28" s="6"/>
      <c r="G28" s="6"/>
      <c r="H28" s="7"/>
      <c r="I28" s="10"/>
      <c r="J28" s="79" t="s">
        <v>203</v>
      </c>
      <c r="K28" s="6" t="s">
        <v>204</v>
      </c>
      <c r="L28" s="765">
        <f ca="1">'Property(Y)'!N20/'A&amp;R'!$H$21</f>
        <v>12.936760792911041</v>
      </c>
      <c r="M28" s="765"/>
      <c r="N28" s="71"/>
      <c r="O28" s="71"/>
      <c r="P28" s="72"/>
      <c r="R28" s="66"/>
      <c r="S28" s="64"/>
      <c r="T28" s="64"/>
      <c r="U28" s="67"/>
      <c r="V28" s="67"/>
      <c r="W28" s="67"/>
      <c r="X28" s="67"/>
      <c r="Y28" s="7"/>
      <c r="Z28" s="67"/>
      <c r="AA28" s="67"/>
      <c r="AB28" s="67"/>
      <c r="AC28" s="67"/>
      <c r="AD28" s="67"/>
      <c r="AE28" s="67"/>
      <c r="AF28" s="233"/>
      <c r="AG28" s="5"/>
      <c r="AH28" s="522">
        <f t="shared" si="4"/>
        <v>45291</v>
      </c>
      <c r="AI28" s="163">
        <f t="shared" si="20"/>
        <v>21</v>
      </c>
      <c r="AJ28" s="52">
        <f t="shared" ca="1" si="5"/>
        <v>0</v>
      </c>
      <c r="AK28" s="521">
        <f t="shared" ca="1" si="6"/>
        <v>0</v>
      </c>
      <c r="AL28" s="162"/>
    </row>
    <row r="29" spans="2:38">
      <c r="B29" s="241" t="s">
        <v>30</v>
      </c>
      <c r="C29" s="242"/>
      <c r="D29" s="243"/>
      <c r="E29" s="243"/>
      <c r="F29" s="243"/>
      <c r="G29" s="244" t="s">
        <v>17</v>
      </c>
      <c r="H29" s="245">
        <v>1</v>
      </c>
      <c r="I29" s="10"/>
      <c r="J29" s="79"/>
      <c r="K29" s="6" t="s">
        <v>202</v>
      </c>
      <c r="L29" s="18">
        <v>0.05</v>
      </c>
      <c r="M29" s="18"/>
      <c r="N29" s="71"/>
      <c r="O29" s="71"/>
      <c r="P29" s="72"/>
      <c r="R29" s="5"/>
      <c r="S29" s="6"/>
      <c r="T29" s="6"/>
      <c r="U29" s="6"/>
      <c r="V29" s="6"/>
      <c r="W29" s="6"/>
      <c r="X29" s="6"/>
      <c r="Y29" s="7"/>
      <c r="Z29" s="6"/>
      <c r="AA29" s="6"/>
      <c r="AB29" s="6"/>
      <c r="AC29" s="6"/>
      <c r="AD29" s="6"/>
      <c r="AE29" s="6"/>
      <c r="AF29" s="7"/>
      <c r="AG29" s="5"/>
      <c r="AH29" s="522">
        <f t="shared" si="4"/>
        <v>45382</v>
      </c>
      <c r="AI29" s="163">
        <f t="shared" si="20"/>
        <v>22</v>
      </c>
      <c r="AJ29" s="52">
        <f t="shared" ca="1" si="5"/>
        <v>0</v>
      </c>
      <c r="AK29" s="521">
        <f t="shared" ca="1" si="6"/>
        <v>0</v>
      </c>
      <c r="AL29" s="162"/>
    </row>
    <row r="30" spans="2:38">
      <c r="B30" s="8"/>
      <c r="C30" s="9"/>
      <c r="D30" s="9"/>
      <c r="E30" s="9"/>
      <c r="F30" s="9"/>
      <c r="G30" s="9"/>
      <c r="H30" s="36"/>
      <c r="I30" s="10"/>
      <c r="J30" s="79" t="s">
        <v>205</v>
      </c>
      <c r="K30" s="6" t="str">
        <f>K28</f>
        <v>Rate/m²</v>
      </c>
      <c r="L30" s="765">
        <f ca="1">'Property(Y)'!N25/H21</f>
        <v>2.3675574966791673</v>
      </c>
      <c r="M30" s="765"/>
      <c r="N30" s="71"/>
      <c r="O30" s="71"/>
      <c r="P30" s="72"/>
      <c r="R30" s="263" t="s">
        <v>294</v>
      </c>
      <c r="S30" s="6"/>
      <c r="T30" s="15"/>
      <c r="U30" s="15"/>
      <c r="V30" s="6"/>
      <c r="W30" s="6"/>
      <c r="X30" s="6"/>
      <c r="Y30" s="7"/>
      <c r="Z30" s="6"/>
      <c r="AA30" s="6"/>
      <c r="AB30" s="6"/>
      <c r="AC30" s="6"/>
      <c r="AD30" s="6"/>
      <c r="AE30" s="6"/>
      <c r="AF30" s="7"/>
      <c r="AG30" s="5"/>
      <c r="AH30" s="522">
        <f t="shared" si="4"/>
        <v>45473</v>
      </c>
      <c r="AI30" s="163">
        <f t="shared" si="20"/>
        <v>23</v>
      </c>
      <c r="AJ30" s="52">
        <f t="shared" ca="1" si="5"/>
        <v>0</v>
      </c>
      <c r="AK30" s="521">
        <f t="shared" ca="1" si="6"/>
        <v>0</v>
      </c>
      <c r="AL30" s="162"/>
    </row>
    <row r="31" spans="2:38">
      <c r="B31" s="8" t="s">
        <v>31</v>
      </c>
      <c r="C31" s="9"/>
      <c r="D31" s="9"/>
      <c r="E31" s="9"/>
      <c r="F31" s="9"/>
      <c r="G31" s="9"/>
      <c r="H31" s="61">
        <f>H5</f>
        <v>43373</v>
      </c>
      <c r="J31" s="79"/>
      <c r="K31" s="6" t="str">
        <f>K29</f>
        <v>Inc Rate</v>
      </c>
      <c r="L31" s="18">
        <v>0.1</v>
      </c>
      <c r="M31" s="18"/>
      <c r="N31" s="71"/>
      <c r="O31" s="71"/>
      <c r="P31" s="72"/>
      <c r="R31" s="527">
        <f>$R$6</f>
        <v>1</v>
      </c>
      <c r="S31" s="249"/>
      <c r="T31" s="249"/>
      <c r="U31" s="250"/>
      <c r="V31" s="251" t="s">
        <v>512</v>
      </c>
      <c r="W31" s="251">
        <v>1</v>
      </c>
      <c r="X31" s="251">
        <f t="shared" ref="X31:AF31" si="27">W31+1</f>
        <v>2</v>
      </c>
      <c r="Y31" s="252">
        <f t="shared" si="27"/>
        <v>3</v>
      </c>
      <c r="Z31" s="251">
        <f t="shared" si="27"/>
        <v>4</v>
      </c>
      <c r="AA31" s="251">
        <f t="shared" si="27"/>
        <v>5</v>
      </c>
      <c r="AB31" s="251">
        <f t="shared" si="27"/>
        <v>6</v>
      </c>
      <c r="AC31" s="251">
        <f t="shared" si="27"/>
        <v>7</v>
      </c>
      <c r="AD31" s="251">
        <f t="shared" si="27"/>
        <v>8</v>
      </c>
      <c r="AE31" s="251">
        <f t="shared" si="27"/>
        <v>9</v>
      </c>
      <c r="AF31" s="252">
        <f t="shared" si="27"/>
        <v>10</v>
      </c>
      <c r="AG31" s="5"/>
      <c r="AH31" s="522">
        <f t="shared" si="4"/>
        <v>45565</v>
      </c>
      <c r="AI31" s="163">
        <f t="shared" si="20"/>
        <v>24</v>
      </c>
      <c r="AJ31" s="52">
        <f t="shared" ca="1" si="5"/>
        <v>0</v>
      </c>
      <c r="AK31" s="521">
        <f t="shared" ca="1" si="6"/>
        <v>0</v>
      </c>
      <c r="AL31" s="162"/>
    </row>
    <row r="32" spans="2:38">
      <c r="B32" s="5" t="s">
        <v>32</v>
      </c>
      <c r="C32" s="6"/>
      <c r="D32" s="6"/>
      <c r="E32" s="6"/>
      <c r="F32" s="6"/>
      <c r="G32" s="6"/>
      <c r="H32" s="19">
        <v>36</v>
      </c>
      <c r="J32" s="79" t="s">
        <v>206</v>
      </c>
      <c r="K32" s="6" t="str">
        <f t="shared" ref="K32:K33" si="28">K30</f>
        <v>Rate/m²</v>
      </c>
      <c r="L32" s="765">
        <f ca="1">'Property(Y)'!N26/$H$21</f>
        <v>58.516907107034726</v>
      </c>
      <c r="M32" s="765"/>
      <c r="N32" s="71"/>
      <c r="O32" s="71"/>
      <c r="P32" s="72"/>
      <c r="R32" s="253"/>
      <c r="S32" s="254"/>
      <c r="T32" s="254"/>
      <c r="U32" s="255" t="s">
        <v>14</v>
      </c>
      <c r="V32" s="256">
        <f>H6</f>
        <v>43373</v>
      </c>
      <c r="W32" s="257">
        <f>MIN(EDATE(H31,12),$H$33)</f>
        <v>43738</v>
      </c>
      <c r="X32" s="257">
        <f t="shared" ref="X32:AF32" si="29">MIN(EDATE(W32,12),$H$33)</f>
        <v>44104</v>
      </c>
      <c r="Y32" s="258">
        <f t="shared" si="29"/>
        <v>44469</v>
      </c>
      <c r="Z32" s="257">
        <f t="shared" si="29"/>
        <v>44469</v>
      </c>
      <c r="AA32" s="257">
        <f t="shared" si="29"/>
        <v>44469</v>
      </c>
      <c r="AB32" s="257">
        <f t="shared" si="29"/>
        <v>44469</v>
      </c>
      <c r="AC32" s="257">
        <f t="shared" si="29"/>
        <v>44469</v>
      </c>
      <c r="AD32" s="257">
        <f t="shared" si="29"/>
        <v>44469</v>
      </c>
      <c r="AE32" s="257">
        <f t="shared" si="29"/>
        <v>44469</v>
      </c>
      <c r="AF32" s="258">
        <f t="shared" si="29"/>
        <v>44469</v>
      </c>
      <c r="AG32" s="5"/>
      <c r="AH32" s="522">
        <f t="shared" si="4"/>
        <v>45657</v>
      </c>
      <c r="AI32" s="163">
        <f t="shared" si="20"/>
        <v>25</v>
      </c>
      <c r="AJ32" s="52">
        <f t="shared" ca="1" si="5"/>
        <v>0</v>
      </c>
      <c r="AK32" s="521">
        <f t="shared" ca="1" si="6"/>
        <v>0</v>
      </c>
      <c r="AL32" s="162"/>
    </row>
    <row r="33" spans="2:38">
      <c r="B33" s="5" t="s">
        <v>33</v>
      </c>
      <c r="C33" s="6"/>
      <c r="D33" s="9"/>
      <c r="E33" s="9"/>
      <c r="F33" s="9"/>
      <c r="G33" s="9"/>
      <c r="H33" s="61">
        <f>EDATE(H31,H32)</f>
        <v>44469</v>
      </c>
      <c r="J33" s="537"/>
      <c r="K33" s="20" t="str">
        <f t="shared" si="28"/>
        <v>Inc Rate</v>
      </c>
      <c r="L33" s="766">
        <v>0.03</v>
      </c>
      <c r="M33" s="766"/>
      <c r="N33" s="364"/>
      <c r="O33" s="364"/>
      <c r="P33" s="365"/>
      <c r="R33" s="95" t="str">
        <f>'CF(M)'!C81</f>
        <v>이자비용</v>
      </c>
      <c r="S33" s="9">
        <f>'CF(M)'!A81</f>
        <v>81</v>
      </c>
      <c r="T33" s="23" t="str">
        <f>$T$5&amp;S33&amp;":"&amp;S33</f>
        <v>'CF(M)'!81:81</v>
      </c>
      <c r="U33" s="501">
        <f t="shared" ref="U33:U36" ca="1" si="30">SUM(V33:AF33)</f>
        <v>-4505777.777777778</v>
      </c>
      <c r="V33" s="495">
        <f t="shared" ref="V33:AF35" ca="1" si="31">SUMIF(INDIRECT($T$6),V$6,INDIRECT($T33))</f>
        <v>0</v>
      </c>
      <c r="W33" s="495">
        <f t="shared" ca="1" si="31"/>
        <v>-1500555.5555555555</v>
      </c>
      <c r="X33" s="495">
        <f t="shared" ca="1" si="31"/>
        <v>-1504666.6666666665</v>
      </c>
      <c r="Y33" s="496">
        <f t="shared" ca="1" si="31"/>
        <v>-1500555.5555555555</v>
      </c>
      <c r="Z33" s="495">
        <f t="shared" ca="1" si="31"/>
        <v>0</v>
      </c>
      <c r="AA33" s="495">
        <f t="shared" ca="1" si="31"/>
        <v>0</v>
      </c>
      <c r="AB33" s="495">
        <f t="shared" ca="1" si="31"/>
        <v>0</v>
      </c>
      <c r="AC33" s="495">
        <f t="shared" ca="1" si="31"/>
        <v>0</v>
      </c>
      <c r="AD33" s="495">
        <f t="shared" ca="1" si="31"/>
        <v>0</v>
      </c>
      <c r="AE33" s="495">
        <f t="shared" ca="1" si="31"/>
        <v>0</v>
      </c>
      <c r="AF33" s="496">
        <f t="shared" ca="1" si="31"/>
        <v>0</v>
      </c>
      <c r="AG33" s="5"/>
      <c r="AH33" s="522">
        <f t="shared" si="4"/>
        <v>45747</v>
      </c>
      <c r="AI33" s="163">
        <f t="shared" ref="AI33:AI47" si="32">AI32+1</f>
        <v>26</v>
      </c>
      <c r="AJ33" s="52">
        <f t="shared" ca="1" si="5"/>
        <v>0</v>
      </c>
      <c r="AK33" s="521">
        <f t="shared" ca="1" si="6"/>
        <v>0</v>
      </c>
      <c r="AL33" s="162"/>
    </row>
    <row r="34" spans="2:38">
      <c r="B34" s="5" t="s">
        <v>34</v>
      </c>
      <c r="C34" s="9"/>
      <c r="D34" s="9"/>
      <c r="E34" s="9"/>
      <c r="F34" s="9"/>
      <c r="G34" s="9"/>
      <c r="H34" s="63">
        <f>DAY(H33)</f>
        <v>30</v>
      </c>
      <c r="J34" s="5"/>
      <c r="K34" s="6"/>
      <c r="L34" s="6"/>
      <c r="M34" s="71"/>
      <c r="N34" s="71"/>
      <c r="O34" s="71"/>
      <c r="P34" s="72"/>
      <c r="R34" s="492" t="str">
        <f>'CF(M)'!C88</f>
        <v>Service Bank Fee</v>
      </c>
      <c r="S34" s="9">
        <f>'CF(M)'!A88</f>
        <v>88</v>
      </c>
      <c r="T34" s="23" t="str">
        <f t="shared" ref="T34:T35" si="33">$T$5&amp;S34&amp;":"&amp;S34</f>
        <v>'CF(M)'!88:88</v>
      </c>
      <c r="U34" s="495">
        <f t="shared" ca="1" si="30"/>
        <v>-180164.38356164383</v>
      </c>
      <c r="V34" s="495">
        <f t="shared" ca="1" si="31"/>
        <v>0</v>
      </c>
      <c r="W34" s="495">
        <f t="shared" ca="1" si="31"/>
        <v>-60000</v>
      </c>
      <c r="X34" s="495">
        <f t="shared" ca="1" si="31"/>
        <v>-60164.38356164383</v>
      </c>
      <c r="Y34" s="496">
        <f t="shared" ca="1" si="31"/>
        <v>-60000</v>
      </c>
      <c r="Z34" s="495">
        <f t="shared" ca="1" si="31"/>
        <v>0</v>
      </c>
      <c r="AA34" s="495">
        <f t="shared" ca="1" si="31"/>
        <v>0</v>
      </c>
      <c r="AB34" s="495">
        <f t="shared" ca="1" si="31"/>
        <v>0</v>
      </c>
      <c r="AC34" s="495">
        <f t="shared" ca="1" si="31"/>
        <v>0</v>
      </c>
      <c r="AD34" s="495">
        <f t="shared" ca="1" si="31"/>
        <v>0</v>
      </c>
      <c r="AE34" s="495">
        <f t="shared" ca="1" si="31"/>
        <v>0</v>
      </c>
      <c r="AF34" s="496">
        <f t="shared" ca="1" si="31"/>
        <v>0</v>
      </c>
      <c r="AG34" s="5"/>
      <c r="AH34" s="522">
        <f t="shared" si="4"/>
        <v>45838</v>
      </c>
      <c r="AI34" s="163">
        <f t="shared" si="32"/>
        <v>27</v>
      </c>
      <c r="AJ34" s="52">
        <f t="shared" ca="1" si="5"/>
        <v>0</v>
      </c>
      <c r="AK34" s="521">
        <f t="shared" ca="1" si="6"/>
        <v>0</v>
      </c>
      <c r="AL34" s="162"/>
    </row>
    <row r="35" spans="2:38">
      <c r="B35" s="5" t="s">
        <v>36</v>
      </c>
      <c r="C35" s="6"/>
      <c r="D35" s="6"/>
      <c r="E35" s="540"/>
      <c r="F35" s="6"/>
      <c r="G35" s="6"/>
      <c r="H35" s="180">
        <v>0</v>
      </c>
      <c r="J35" s="5"/>
      <c r="K35" s="6"/>
      <c r="L35" s="6"/>
      <c r="M35" s="71"/>
      <c r="N35" s="71"/>
      <c r="O35" s="71"/>
      <c r="P35" s="72"/>
      <c r="R35" s="493" t="str">
        <f>'CF(M)'!C95</f>
        <v>대출부대비용</v>
      </c>
      <c r="S35" s="29">
        <f>'CF(M)'!A95</f>
        <v>95</v>
      </c>
      <c r="T35" s="30" t="str">
        <f t="shared" si="33"/>
        <v>'CF(M)'!95:95</v>
      </c>
      <c r="U35" s="497">
        <f t="shared" ca="1" si="30"/>
        <v>-304731.70731707313</v>
      </c>
      <c r="V35" s="497">
        <f t="shared" ca="1" si="31"/>
        <v>-304731.70731707313</v>
      </c>
      <c r="W35" s="497">
        <f t="shared" ca="1" si="31"/>
        <v>0</v>
      </c>
      <c r="X35" s="497">
        <f t="shared" ca="1" si="31"/>
        <v>0</v>
      </c>
      <c r="Y35" s="498">
        <f t="shared" ca="1" si="31"/>
        <v>0</v>
      </c>
      <c r="Z35" s="497">
        <f t="shared" ca="1" si="31"/>
        <v>0</v>
      </c>
      <c r="AA35" s="497">
        <f t="shared" ca="1" si="31"/>
        <v>0</v>
      </c>
      <c r="AB35" s="497">
        <f t="shared" ca="1" si="31"/>
        <v>0</v>
      </c>
      <c r="AC35" s="497">
        <f t="shared" ca="1" si="31"/>
        <v>0</v>
      </c>
      <c r="AD35" s="497">
        <f t="shared" ca="1" si="31"/>
        <v>0</v>
      </c>
      <c r="AE35" s="497">
        <f t="shared" ca="1" si="31"/>
        <v>0</v>
      </c>
      <c r="AF35" s="498">
        <f t="shared" ca="1" si="31"/>
        <v>0</v>
      </c>
      <c r="AG35" s="5"/>
      <c r="AH35" s="522">
        <f t="shared" si="4"/>
        <v>45930</v>
      </c>
      <c r="AI35" s="163">
        <f t="shared" si="32"/>
        <v>28</v>
      </c>
      <c r="AJ35" s="52">
        <f t="shared" ca="1" si="5"/>
        <v>0</v>
      </c>
      <c r="AK35" s="521">
        <f t="shared" ca="1" si="6"/>
        <v>0</v>
      </c>
      <c r="AL35" s="162"/>
    </row>
    <row r="36" spans="2:38">
      <c r="B36" s="5" t="s">
        <v>277</v>
      </c>
      <c r="C36" s="6"/>
      <c r="D36" s="6"/>
      <c r="E36" s="18"/>
      <c r="F36" s="6"/>
      <c r="G36" s="6"/>
      <c r="H36" s="70">
        <f>H31</f>
        <v>43373</v>
      </c>
      <c r="J36" s="5"/>
      <c r="K36" s="6"/>
      <c r="L36" s="6"/>
      <c r="M36" s="71"/>
      <c r="N36" s="71"/>
      <c r="O36" s="71"/>
      <c r="P36" s="72"/>
      <c r="R36" s="104" t="s">
        <v>299</v>
      </c>
      <c r="S36" s="12"/>
      <c r="T36" s="12"/>
      <c r="U36" s="497">
        <f t="shared" ca="1" si="30"/>
        <v>-4990673.8686564937</v>
      </c>
      <c r="V36" s="502">
        <f t="shared" ref="V36:AF36" ca="1" si="34">SUM(V33:V35)</f>
        <v>-304731.70731707313</v>
      </c>
      <c r="W36" s="502">
        <f t="shared" ca="1" si="34"/>
        <v>-1560555.5555555555</v>
      </c>
      <c r="X36" s="502">
        <f t="shared" ca="1" si="34"/>
        <v>-1564831.0502283103</v>
      </c>
      <c r="Y36" s="503">
        <f t="shared" ca="1" si="34"/>
        <v>-1560555.5555555555</v>
      </c>
      <c r="Z36" s="502">
        <f t="shared" ca="1" si="34"/>
        <v>0</v>
      </c>
      <c r="AA36" s="502">
        <f t="shared" ca="1" si="34"/>
        <v>0</v>
      </c>
      <c r="AB36" s="502">
        <f t="shared" ca="1" si="34"/>
        <v>0</v>
      </c>
      <c r="AC36" s="502">
        <f t="shared" ca="1" si="34"/>
        <v>0</v>
      </c>
      <c r="AD36" s="502">
        <f t="shared" ca="1" si="34"/>
        <v>0</v>
      </c>
      <c r="AE36" s="502">
        <f t="shared" ca="1" si="34"/>
        <v>0</v>
      </c>
      <c r="AF36" s="503">
        <f t="shared" ca="1" si="34"/>
        <v>0</v>
      </c>
      <c r="AG36" s="5"/>
      <c r="AH36" s="522">
        <f t="shared" si="4"/>
        <v>46022</v>
      </c>
      <c r="AI36" s="163">
        <f t="shared" si="32"/>
        <v>29</v>
      </c>
      <c r="AJ36" s="52">
        <f t="shared" ca="1" si="5"/>
        <v>0</v>
      </c>
      <c r="AK36" s="521">
        <f t="shared" ca="1" si="6"/>
        <v>0</v>
      </c>
      <c r="AL36" s="162"/>
    </row>
    <row r="37" spans="2:38">
      <c r="B37" s="5"/>
      <c r="C37" s="6"/>
      <c r="D37" s="6"/>
      <c r="E37" s="6"/>
      <c r="F37" s="6"/>
      <c r="G37" s="6"/>
      <c r="H37" s="7"/>
      <c r="J37" s="5"/>
      <c r="K37" s="6"/>
      <c r="L37" s="6"/>
      <c r="M37" s="71"/>
      <c r="N37" s="71"/>
      <c r="O37" s="71"/>
      <c r="P37" s="72"/>
      <c r="R37" s="5" t="str">
        <f>'CF(M)'!C97</f>
        <v>대출실행</v>
      </c>
      <c r="S37" s="9">
        <f>'CF(M)'!A97</f>
        <v>97</v>
      </c>
      <c r="T37" s="23" t="str">
        <f>$T$5&amp;S37&amp;":"&amp;S37</f>
        <v>'CF(M)'!97:97</v>
      </c>
      <c r="U37" s="495">
        <f ca="1">SUM(V37:AF37)</f>
        <v>37000000</v>
      </c>
      <c r="V37" s="495">
        <f t="shared" ref="V37:AF38" ca="1" si="35">SUMIF(INDIRECT($T$6),V$6,INDIRECT($T37))</f>
        <v>37000000</v>
      </c>
      <c r="W37" s="495">
        <f t="shared" ca="1" si="35"/>
        <v>0</v>
      </c>
      <c r="X37" s="495">
        <f t="shared" ca="1" si="35"/>
        <v>0</v>
      </c>
      <c r="Y37" s="496">
        <f t="shared" ca="1" si="35"/>
        <v>0</v>
      </c>
      <c r="Z37" s="495">
        <f t="shared" ca="1" si="35"/>
        <v>0</v>
      </c>
      <c r="AA37" s="495">
        <f t="shared" ca="1" si="35"/>
        <v>0</v>
      </c>
      <c r="AB37" s="495">
        <f t="shared" ca="1" si="35"/>
        <v>0</v>
      </c>
      <c r="AC37" s="495">
        <f t="shared" ca="1" si="35"/>
        <v>0</v>
      </c>
      <c r="AD37" s="495">
        <f t="shared" ca="1" si="35"/>
        <v>0</v>
      </c>
      <c r="AE37" s="495">
        <f t="shared" ca="1" si="35"/>
        <v>0</v>
      </c>
      <c r="AF37" s="496">
        <f t="shared" ca="1" si="35"/>
        <v>0</v>
      </c>
      <c r="AG37" s="5"/>
      <c r="AH37" s="522">
        <f t="shared" si="4"/>
        <v>46112</v>
      </c>
      <c r="AI37" s="163">
        <f t="shared" si="32"/>
        <v>30</v>
      </c>
      <c r="AJ37" s="52">
        <f t="shared" ca="1" si="5"/>
        <v>0</v>
      </c>
      <c r="AK37" s="521">
        <f t="shared" ca="1" si="6"/>
        <v>0</v>
      </c>
    </row>
    <row r="38" spans="2:38">
      <c r="B38" s="73"/>
      <c r="C38" s="13" t="s">
        <v>40</v>
      </c>
      <c r="D38" s="74" t="s">
        <v>41</v>
      </c>
      <c r="E38" s="13" t="s">
        <v>42</v>
      </c>
      <c r="F38" s="13" t="s">
        <v>43</v>
      </c>
      <c r="G38" s="13" t="s">
        <v>19</v>
      </c>
      <c r="H38" s="14" t="s">
        <v>20</v>
      </c>
      <c r="J38" s="241" t="s">
        <v>278</v>
      </c>
      <c r="K38" s="242"/>
      <c r="L38" s="242"/>
      <c r="M38" s="243"/>
      <c r="N38" s="243"/>
      <c r="O38" s="244"/>
      <c r="P38" s="245"/>
      <c r="R38" s="5" t="str">
        <f>'CF(M)'!C98</f>
        <v>대출상환</v>
      </c>
      <c r="S38" s="9">
        <f>'CF(M)'!A98</f>
        <v>98</v>
      </c>
      <c r="T38" s="30" t="str">
        <f>$T$5&amp;S38&amp;":"&amp;S38</f>
        <v>'CF(M)'!98:98</v>
      </c>
      <c r="U38" s="497">
        <f ca="1">SUM(V38:AF38)</f>
        <v>-37000000</v>
      </c>
      <c r="V38" s="497">
        <f t="shared" ca="1" si="35"/>
        <v>0</v>
      </c>
      <c r="W38" s="497">
        <f t="shared" ca="1" si="35"/>
        <v>0</v>
      </c>
      <c r="X38" s="497">
        <f t="shared" ca="1" si="35"/>
        <v>0</v>
      </c>
      <c r="Y38" s="498">
        <f t="shared" ca="1" si="35"/>
        <v>-37000000</v>
      </c>
      <c r="Z38" s="497">
        <f t="shared" ca="1" si="35"/>
        <v>0</v>
      </c>
      <c r="AA38" s="497">
        <f t="shared" ca="1" si="35"/>
        <v>0</v>
      </c>
      <c r="AB38" s="497">
        <f t="shared" ca="1" si="35"/>
        <v>0</v>
      </c>
      <c r="AC38" s="497">
        <f t="shared" ca="1" si="35"/>
        <v>0</v>
      </c>
      <c r="AD38" s="497">
        <f t="shared" ca="1" si="35"/>
        <v>0</v>
      </c>
      <c r="AE38" s="497">
        <f t="shared" ca="1" si="35"/>
        <v>0</v>
      </c>
      <c r="AF38" s="498">
        <f t="shared" ca="1" si="35"/>
        <v>0</v>
      </c>
      <c r="AG38" s="5"/>
      <c r="AH38" s="522">
        <f t="shared" si="4"/>
        <v>46203</v>
      </c>
      <c r="AI38" s="163">
        <f t="shared" si="32"/>
        <v>31</v>
      </c>
      <c r="AJ38" s="52">
        <f t="shared" ca="1" si="5"/>
        <v>0</v>
      </c>
      <c r="AK38" s="521">
        <f t="shared" ca="1" si="6"/>
        <v>0</v>
      </c>
    </row>
    <row r="39" spans="2:38">
      <c r="B39" s="8" t="s">
        <v>232</v>
      </c>
      <c r="C39" s="24">
        <v>37000000</v>
      </c>
      <c r="D39" s="183">
        <v>0.04</v>
      </c>
      <c r="E39" s="49">
        <f>C39*D39*365/360</f>
        <v>1500555.5555555555</v>
      </c>
      <c r="F39" s="76">
        <f>C39/$H$25</f>
        <v>0.53857350800582238</v>
      </c>
      <c r="G39" s="77">
        <f ca="1">$H$24/C39</f>
        <v>0.13149418139378038</v>
      </c>
      <c r="H39" s="78">
        <f ca="1">$H$24/E39</f>
        <v>3.2423222809425303</v>
      </c>
      <c r="I39" s="10"/>
      <c r="J39" s="8"/>
      <c r="K39" s="9"/>
      <c r="L39" s="9"/>
      <c r="M39" s="9"/>
      <c r="N39" s="9"/>
      <c r="O39" s="9"/>
      <c r="P39" s="36"/>
      <c r="R39" s="92" t="str">
        <f>'CF(M)'!C99</f>
        <v>차입자 현금흐름</v>
      </c>
      <c r="S39" s="93"/>
      <c r="T39" s="94"/>
      <c r="U39" s="499">
        <f ca="1">SUM(V39:AF39)</f>
        <v>-4990673.8686564937</v>
      </c>
      <c r="V39" s="499">
        <f t="shared" ref="V39:AF39" ca="1" si="36">SUM(V36:V38)</f>
        <v>36695268.292682923</v>
      </c>
      <c r="W39" s="499">
        <f t="shared" ca="1" si="36"/>
        <v>-1560555.5555555555</v>
      </c>
      <c r="X39" s="499">
        <f t="shared" ca="1" si="36"/>
        <v>-1564831.0502283103</v>
      </c>
      <c r="Y39" s="500">
        <f t="shared" ca="1" si="36"/>
        <v>-38560555.555555552</v>
      </c>
      <c r="Z39" s="499">
        <f t="shared" ca="1" si="36"/>
        <v>0</v>
      </c>
      <c r="AA39" s="499">
        <f t="shared" ca="1" si="36"/>
        <v>0</v>
      </c>
      <c r="AB39" s="499">
        <f t="shared" ca="1" si="36"/>
        <v>0</v>
      </c>
      <c r="AC39" s="499">
        <f t="shared" ca="1" si="36"/>
        <v>0</v>
      </c>
      <c r="AD39" s="499">
        <f t="shared" ca="1" si="36"/>
        <v>0</v>
      </c>
      <c r="AE39" s="499">
        <f t="shared" ca="1" si="36"/>
        <v>0</v>
      </c>
      <c r="AF39" s="500">
        <f t="shared" ca="1" si="36"/>
        <v>0</v>
      </c>
      <c r="AG39" s="5"/>
      <c r="AH39" s="522">
        <f t="shared" si="4"/>
        <v>46295</v>
      </c>
      <c r="AI39" s="163">
        <f t="shared" si="32"/>
        <v>32</v>
      </c>
      <c r="AJ39" s="52">
        <f t="shared" ca="1" si="5"/>
        <v>0</v>
      </c>
      <c r="AK39" s="521">
        <f t="shared" ca="1" si="6"/>
        <v>0</v>
      </c>
    </row>
    <row r="40" spans="2:38">
      <c r="B40" s="424"/>
      <c r="C40" s="425">
        <v>0</v>
      </c>
      <c r="D40" s="426">
        <v>0</v>
      </c>
      <c r="E40" s="425">
        <f t="shared" ref="E40" si="37">C40*D40*365/360</f>
        <v>0</v>
      </c>
      <c r="F40" s="427">
        <f>SUM(C39,C40)/$H$25</f>
        <v>0.53857350800582238</v>
      </c>
      <c r="G40" s="428">
        <f ca="1">$H$24/SUM(C39,C40)</f>
        <v>0.13149418139378038</v>
      </c>
      <c r="H40" s="429">
        <f ca="1">$H$24/SUM(E39,E40)</f>
        <v>3.2423222809425303</v>
      </c>
      <c r="I40" s="10"/>
      <c r="J40" s="95"/>
      <c r="K40" s="42"/>
      <c r="L40" s="42"/>
      <c r="M40" s="106"/>
      <c r="N40" s="106" t="s">
        <v>48</v>
      </c>
      <c r="O40" s="42" t="s">
        <v>49</v>
      </c>
      <c r="P40" s="107"/>
      <c r="R40" s="8" t="s">
        <v>297</v>
      </c>
      <c r="S40" s="9"/>
      <c r="T40" s="9"/>
      <c r="U40" s="77">
        <f ca="1">-U36/V37*365/($H$33-V32)</f>
        <v>4.4920003009953149E-2</v>
      </c>
      <c r="V40" s="83">
        <f ca="1">(-V36/V37)*365/(H33-V32)</f>
        <v>2.7428258327759835E-3</v>
      </c>
      <c r="W40" s="77">
        <f t="shared" ref="W40:Y40" ca="1" si="38">-W36/$V$37*365/(W32-V32)+$V40</f>
        <v>4.4920003009953163E-2</v>
      </c>
      <c r="X40" s="77">
        <f t="shared" ca="1" si="38"/>
        <v>4.4920003009953156E-2</v>
      </c>
      <c r="Y40" s="96">
        <f t="shared" ca="1" si="38"/>
        <v>4.4920003009953163E-2</v>
      </c>
      <c r="Z40" s="77"/>
      <c r="AA40" s="77"/>
      <c r="AB40" s="77"/>
      <c r="AC40" s="77"/>
      <c r="AD40" s="77"/>
      <c r="AE40" s="77"/>
      <c r="AF40" s="96"/>
      <c r="AG40" s="5"/>
      <c r="AH40" s="522">
        <f t="shared" si="4"/>
        <v>46387</v>
      </c>
      <c r="AI40" s="163">
        <f t="shared" si="32"/>
        <v>33</v>
      </c>
      <c r="AJ40" s="52">
        <f t="shared" ca="1" si="5"/>
        <v>0</v>
      </c>
      <c r="AK40" s="521">
        <f t="shared" ca="1" si="6"/>
        <v>0</v>
      </c>
    </row>
    <row r="41" spans="2:38">
      <c r="B41" s="424"/>
      <c r="C41" s="425">
        <v>0</v>
      </c>
      <c r="D41" s="426">
        <v>0</v>
      </c>
      <c r="E41" s="425">
        <f t="shared" ref="E41" si="39">C41*D41*365/360</f>
        <v>0</v>
      </c>
      <c r="F41" s="427">
        <f>SUM(C39,C40,C41)/$H$25</f>
        <v>0.53857350800582238</v>
      </c>
      <c r="G41" s="428">
        <f ca="1">$H$24/SUM(C39,C40,C41)</f>
        <v>0.13149418139378038</v>
      </c>
      <c r="H41" s="429">
        <f ca="1">$H$24/SUM(E39,E40,E41)</f>
        <v>3.2423222809425303</v>
      </c>
      <c r="I41" s="10"/>
      <c r="J41" s="108"/>
      <c r="K41" s="97"/>
      <c r="L41" s="159"/>
      <c r="M41" s="159"/>
      <c r="N41" s="159" t="s">
        <v>236</v>
      </c>
      <c r="O41" s="97" t="s">
        <v>27</v>
      </c>
      <c r="P41" s="98" t="s">
        <v>50</v>
      </c>
      <c r="R41" s="87" t="s">
        <v>296</v>
      </c>
      <c r="S41" s="29"/>
      <c r="T41" s="29"/>
      <c r="U41" s="99">
        <f>'CF(M)'!K102</f>
        <v>4.5894578099250793E-2</v>
      </c>
      <c r="V41" s="29"/>
      <c r="W41" s="62"/>
      <c r="X41" s="29"/>
      <c r="Y41" s="88"/>
      <c r="Z41" s="29"/>
      <c r="AA41" s="29"/>
      <c r="AB41" s="29"/>
      <c r="AC41" s="29"/>
      <c r="AD41" s="29"/>
      <c r="AE41" s="29"/>
      <c r="AF41" s="88"/>
      <c r="AG41" s="5"/>
      <c r="AH41" s="522">
        <f t="shared" si="4"/>
        <v>46477</v>
      </c>
      <c r="AI41" s="163">
        <f t="shared" si="32"/>
        <v>34</v>
      </c>
      <c r="AJ41" s="52">
        <f t="shared" ca="1" si="5"/>
        <v>0</v>
      </c>
      <c r="AK41" s="521">
        <f t="shared" ca="1" si="6"/>
        <v>0</v>
      </c>
    </row>
    <row r="42" spans="2:38">
      <c r="B42" s="167" t="str">
        <f>""</f>
        <v/>
      </c>
      <c r="C42" s="168">
        <v>0</v>
      </c>
      <c r="D42" s="169"/>
      <c r="E42" s="168">
        <f t="shared" ref="E42" si="40">C42*D42*365/360</f>
        <v>0</v>
      </c>
      <c r="F42" s="170">
        <f>SUM(C39,C40,C41,C42)/$H$25</f>
        <v>0.53857350800582238</v>
      </c>
      <c r="G42" s="171">
        <f ca="1">$H$24/SUM(C39,C40,C41,C42)</f>
        <v>0.13149418139378038</v>
      </c>
      <c r="H42" s="172">
        <f ca="1">$H$24/SUM(E39,E40,E41,E42)</f>
        <v>3.2423222809425303</v>
      </c>
      <c r="I42" s="10"/>
      <c r="J42" s="11" t="s">
        <v>279</v>
      </c>
      <c r="K42" s="9"/>
      <c r="L42" s="9"/>
      <c r="M42" s="9"/>
      <c r="N42" s="9"/>
      <c r="O42" s="9"/>
      <c r="P42" s="36"/>
      <c r="R42" s="5"/>
      <c r="S42" s="6"/>
      <c r="T42" s="6"/>
      <c r="U42" s="6"/>
      <c r="V42" s="6"/>
      <c r="W42" s="187"/>
      <c r="X42" s="6"/>
      <c r="Y42" s="7"/>
      <c r="Z42" s="6"/>
      <c r="AA42" s="6"/>
      <c r="AB42" s="6"/>
      <c r="AC42" s="6"/>
      <c r="AD42" s="6"/>
      <c r="AE42" s="6"/>
      <c r="AF42" s="7"/>
      <c r="AG42" s="5"/>
      <c r="AH42" s="522">
        <f t="shared" si="4"/>
        <v>46568</v>
      </c>
      <c r="AI42" s="163">
        <f t="shared" si="32"/>
        <v>35</v>
      </c>
      <c r="AJ42" s="52">
        <f t="shared" ca="1" si="5"/>
        <v>0</v>
      </c>
      <c r="AK42" s="521">
        <f t="shared" ca="1" si="6"/>
        <v>0</v>
      </c>
    </row>
    <row r="43" spans="2:38">
      <c r="B43" s="443" t="s">
        <v>244</v>
      </c>
      <c r="C43" s="444">
        <f>SUM(C39,C40,C41,C42)</f>
        <v>37000000</v>
      </c>
      <c r="D43" s="445">
        <f>E43/C43*360/365</f>
        <v>0.04</v>
      </c>
      <c r="E43" s="444">
        <f>SUM(E39,E40,E41,E42)</f>
        <v>1500555.5555555555</v>
      </c>
      <c r="F43" s="84">
        <f t="shared" ref="F43" si="41">F42</f>
        <v>0.53857350800582238</v>
      </c>
      <c r="G43" s="446">
        <f ca="1">G42</f>
        <v>0.13149418139378038</v>
      </c>
      <c r="H43" s="447">
        <f ca="1">H42</f>
        <v>3.2423222809425303</v>
      </c>
      <c r="I43" s="10"/>
      <c r="J43" s="85" t="s">
        <v>275</v>
      </c>
      <c r="K43" s="9"/>
      <c r="L43" s="24"/>
      <c r="M43" s="24"/>
      <c r="N43" s="482">
        <v>60000</v>
      </c>
      <c r="O43" s="52">
        <f>N43*$H$11/10^3</f>
        <v>49200</v>
      </c>
      <c r="P43" s="110" t="s">
        <v>280</v>
      </c>
      <c r="R43" s="5"/>
      <c r="S43" s="6"/>
      <c r="T43" s="6"/>
      <c r="U43" s="6"/>
      <c r="V43" s="6"/>
      <c r="W43" s="6"/>
      <c r="X43" s="6"/>
      <c r="Y43" s="7"/>
      <c r="Z43" s="6"/>
      <c r="AA43" s="6"/>
      <c r="AB43" s="6"/>
      <c r="AC43" s="6"/>
      <c r="AD43" s="6"/>
      <c r="AE43" s="6"/>
      <c r="AF43" s="7"/>
      <c r="AG43" s="5"/>
      <c r="AH43" s="522">
        <f t="shared" si="4"/>
        <v>46660</v>
      </c>
      <c r="AI43" s="163">
        <f t="shared" si="32"/>
        <v>36</v>
      </c>
      <c r="AJ43" s="52">
        <f t="shared" ca="1" si="5"/>
        <v>0</v>
      </c>
      <c r="AK43" s="521">
        <f t="shared" ca="1" si="6"/>
        <v>0</v>
      </c>
    </row>
    <row r="44" spans="2:38">
      <c r="B44" s="8"/>
      <c r="C44" s="24"/>
      <c r="D44" s="76"/>
      <c r="E44" s="76"/>
      <c r="F44" s="24"/>
      <c r="G44" s="9"/>
      <c r="H44" s="36"/>
      <c r="I44" s="10"/>
      <c r="J44" s="109"/>
      <c r="K44" s="9"/>
      <c r="L44" s="100"/>
      <c r="M44" s="100"/>
      <c r="N44" s="100"/>
      <c r="O44" s="52"/>
      <c r="P44" s="110"/>
      <c r="R44" s="5"/>
      <c r="S44" s="6"/>
      <c r="T44" s="6"/>
      <c r="U44" s="6"/>
      <c r="V44" s="6"/>
      <c r="W44" s="6"/>
      <c r="X44" s="6"/>
      <c r="Y44" s="7"/>
      <c r="Z44" s="6"/>
      <c r="AA44" s="6"/>
      <c r="AB44" s="6"/>
      <c r="AC44" s="6"/>
      <c r="AD44" s="6"/>
      <c r="AE44" s="6"/>
      <c r="AF44" s="7"/>
      <c r="AG44" s="5"/>
      <c r="AH44" s="522">
        <f t="shared" si="4"/>
        <v>46752</v>
      </c>
      <c r="AI44" s="163">
        <f t="shared" si="32"/>
        <v>37</v>
      </c>
      <c r="AJ44" s="52">
        <f t="shared" ca="1" si="5"/>
        <v>0</v>
      </c>
      <c r="AK44" s="521">
        <f t="shared" ca="1" si="6"/>
        <v>0</v>
      </c>
    </row>
    <row r="45" spans="2:38">
      <c r="B45" s="8"/>
      <c r="C45" s="24"/>
      <c r="D45" s="76"/>
      <c r="E45" s="76"/>
      <c r="F45" s="24"/>
      <c r="G45" s="9"/>
      <c r="H45" s="36"/>
      <c r="I45" s="10"/>
      <c r="J45" s="111"/>
      <c r="K45" s="112"/>
      <c r="L45" s="112"/>
      <c r="M45" s="188"/>
      <c r="N45" s="59"/>
      <c r="O45" s="59"/>
      <c r="P45" s="113"/>
      <c r="R45" s="511" t="s">
        <v>502</v>
      </c>
      <c r="S45" s="6"/>
      <c r="T45" s="15"/>
      <c r="U45" s="15"/>
      <c r="V45" s="6"/>
      <c r="W45" s="6"/>
      <c r="X45" s="6"/>
      <c r="Y45" s="7"/>
      <c r="Z45" s="6"/>
      <c r="AA45" s="6"/>
      <c r="AB45" s="6"/>
      <c r="AC45" s="6"/>
      <c r="AD45" s="6"/>
      <c r="AE45" s="6"/>
      <c r="AF45" s="7"/>
      <c r="AG45" s="5"/>
      <c r="AH45" s="522">
        <f t="shared" si="4"/>
        <v>46843</v>
      </c>
      <c r="AI45" s="163">
        <f t="shared" si="32"/>
        <v>38</v>
      </c>
      <c r="AJ45" s="52">
        <f t="shared" ca="1" si="5"/>
        <v>0</v>
      </c>
      <c r="AK45" s="521">
        <f t="shared" ca="1" si="6"/>
        <v>0</v>
      </c>
    </row>
    <row r="46" spans="2:38">
      <c r="B46" s="241" t="s">
        <v>46</v>
      </c>
      <c r="C46" s="242"/>
      <c r="D46" s="243"/>
      <c r="E46" s="243"/>
      <c r="F46" s="243"/>
      <c r="G46" s="244"/>
      <c r="H46" s="245"/>
      <c r="I46" s="10"/>
      <c r="J46" s="11"/>
      <c r="K46" s="6"/>
      <c r="L46" s="6"/>
      <c r="M46" s="6"/>
      <c r="N46" s="6"/>
      <c r="O46" s="6"/>
      <c r="P46" s="7"/>
      <c r="R46" s="526">
        <v>1000</v>
      </c>
      <c r="S46" s="249">
        <f>ROW('CF(M)'!A10)</f>
        <v>10</v>
      </c>
      <c r="T46" s="249" t="str">
        <f>$T$5&amp;S46&amp;":"&amp;S46</f>
        <v>'CF(M)'!10:10</v>
      </c>
      <c r="U46" s="250"/>
      <c r="V46" s="251" t="s">
        <v>511</v>
      </c>
      <c r="W46" s="251">
        <v>1</v>
      </c>
      <c r="X46" s="251">
        <f t="shared" ref="X46:AF46" si="42">W46+1</f>
        <v>2</v>
      </c>
      <c r="Y46" s="252">
        <f t="shared" si="42"/>
        <v>3</v>
      </c>
      <c r="Z46" s="251">
        <f t="shared" si="42"/>
        <v>4</v>
      </c>
      <c r="AA46" s="251">
        <f t="shared" si="42"/>
        <v>5</v>
      </c>
      <c r="AB46" s="251">
        <f t="shared" si="42"/>
        <v>6</v>
      </c>
      <c r="AC46" s="251">
        <f t="shared" si="42"/>
        <v>7</v>
      </c>
      <c r="AD46" s="251">
        <f t="shared" si="42"/>
        <v>8</v>
      </c>
      <c r="AE46" s="251">
        <f t="shared" si="42"/>
        <v>9</v>
      </c>
      <c r="AF46" s="252">
        <f t="shared" si="42"/>
        <v>10</v>
      </c>
      <c r="AG46" s="5"/>
      <c r="AH46" s="522">
        <f t="shared" si="4"/>
        <v>46934</v>
      </c>
      <c r="AI46" s="163">
        <f t="shared" si="32"/>
        <v>39</v>
      </c>
      <c r="AJ46" s="52">
        <f t="shared" ca="1" si="5"/>
        <v>0</v>
      </c>
      <c r="AK46" s="521">
        <f t="shared" ca="1" si="6"/>
        <v>0</v>
      </c>
    </row>
    <row r="47" spans="2:38">
      <c r="B47" s="8"/>
      <c r="C47" s="9"/>
      <c r="D47" s="24"/>
      <c r="E47" s="24"/>
      <c r="F47" s="9"/>
      <c r="G47" s="9"/>
      <c r="H47" s="36"/>
      <c r="I47" s="10"/>
      <c r="J47" s="103"/>
      <c r="K47" s="23"/>
      <c r="L47" s="23"/>
      <c r="M47" s="6"/>
      <c r="N47" s="6"/>
      <c r="O47" s="9"/>
      <c r="P47" s="36"/>
      <c r="R47" s="253"/>
      <c r="S47" s="254"/>
      <c r="T47" s="254"/>
      <c r="U47" s="255" t="s">
        <v>14</v>
      </c>
      <c r="V47" s="256">
        <f>H5</f>
        <v>43373</v>
      </c>
      <c r="W47" s="257">
        <f t="shared" ref="W47:AF47" si="43">EOMONTH(V47,12)</f>
        <v>43738</v>
      </c>
      <c r="X47" s="257">
        <f t="shared" si="43"/>
        <v>44104</v>
      </c>
      <c r="Y47" s="258">
        <f t="shared" si="43"/>
        <v>44469</v>
      </c>
      <c r="Z47" s="257">
        <f t="shared" si="43"/>
        <v>44834</v>
      </c>
      <c r="AA47" s="257">
        <f t="shared" si="43"/>
        <v>45199</v>
      </c>
      <c r="AB47" s="257">
        <f t="shared" si="43"/>
        <v>45565</v>
      </c>
      <c r="AC47" s="257">
        <f t="shared" si="43"/>
        <v>45930</v>
      </c>
      <c r="AD47" s="257">
        <f t="shared" si="43"/>
        <v>46295</v>
      </c>
      <c r="AE47" s="257">
        <f t="shared" si="43"/>
        <v>46660</v>
      </c>
      <c r="AF47" s="258">
        <f t="shared" si="43"/>
        <v>47026</v>
      </c>
      <c r="AG47" s="5"/>
      <c r="AH47" s="522">
        <f t="shared" si="4"/>
        <v>47026</v>
      </c>
      <c r="AI47" s="163">
        <f t="shared" si="32"/>
        <v>40</v>
      </c>
      <c r="AJ47" s="52">
        <f t="shared" ca="1" si="5"/>
        <v>0</v>
      </c>
      <c r="AK47" s="521">
        <f t="shared" ca="1" si="6"/>
        <v>0</v>
      </c>
    </row>
    <row r="48" spans="2:38">
      <c r="B48" s="95"/>
      <c r="C48" s="37"/>
      <c r="D48" s="37"/>
      <c r="E48" s="37"/>
      <c r="F48" s="37"/>
      <c r="G48" s="53"/>
      <c r="H48" s="51"/>
      <c r="J48" s="103"/>
      <c r="K48" s="150"/>
      <c r="L48" s="6"/>
      <c r="M48" s="6"/>
      <c r="N48" s="6"/>
      <c r="O48" s="6"/>
      <c r="P48" s="7"/>
      <c r="R48" s="5" t="s">
        <v>508</v>
      </c>
      <c r="S48" s="6">
        <f>'CF(M)'!A108</f>
        <v>108</v>
      </c>
      <c r="T48" s="23" t="str">
        <f>$T$5&amp;S48&amp;":"&amp;S48</f>
        <v>'CF(M)'!108:108</v>
      </c>
      <c r="U48" s="635">
        <f ca="1">SUM(V48:AF48)</f>
        <v>4505777.777777778</v>
      </c>
      <c r="V48" s="635">
        <f t="shared" ref="V48:AF48" ca="1" si="44">SUMIF(INDIRECT($T$46),V$6,INDIRECT($T48))</f>
        <v>0</v>
      </c>
      <c r="W48" s="635">
        <f t="shared" ca="1" si="44"/>
        <v>1500555.5555555555</v>
      </c>
      <c r="X48" s="635">
        <f t="shared" ca="1" si="44"/>
        <v>1504666.6666666665</v>
      </c>
      <c r="Y48" s="636">
        <f t="shared" ca="1" si="44"/>
        <v>1500555.5555555555</v>
      </c>
      <c r="Z48" s="635">
        <f t="shared" ca="1" si="44"/>
        <v>0</v>
      </c>
      <c r="AA48" s="635">
        <f t="shared" ca="1" si="44"/>
        <v>0</v>
      </c>
      <c r="AB48" s="635">
        <f t="shared" ca="1" si="44"/>
        <v>0</v>
      </c>
      <c r="AC48" s="635">
        <f t="shared" ca="1" si="44"/>
        <v>0</v>
      </c>
      <c r="AD48" s="635">
        <f t="shared" ca="1" si="44"/>
        <v>0</v>
      </c>
      <c r="AE48" s="635">
        <f t="shared" ca="1" si="44"/>
        <v>0</v>
      </c>
      <c r="AF48" s="636">
        <f t="shared" ca="1" si="44"/>
        <v>0</v>
      </c>
      <c r="AG48" s="5"/>
      <c r="AH48" s="523" t="s">
        <v>304</v>
      </c>
      <c r="AI48" s="12"/>
      <c r="AJ48" s="56">
        <f ca="1">SUM(AJ8:AJ47)</f>
        <v>4505777.7777777771</v>
      </c>
      <c r="AK48" s="524">
        <f ca="1">O7</f>
        <v>4.0555555555555553E-2</v>
      </c>
    </row>
    <row r="49" spans="1:37">
      <c r="B49" s="87"/>
      <c r="C49" s="20"/>
      <c r="D49" s="20"/>
      <c r="E49" s="29"/>
      <c r="F49" s="97"/>
      <c r="G49" s="97" t="s">
        <v>237</v>
      </c>
      <c r="H49" s="98" t="s">
        <v>47</v>
      </c>
      <c r="I49" s="10"/>
      <c r="J49" s="8"/>
      <c r="K49" s="9"/>
      <c r="L49" s="9"/>
      <c r="M49" s="9"/>
      <c r="N49" s="9"/>
      <c r="O49" s="9"/>
      <c r="P49" s="36"/>
      <c r="R49" s="160" t="s">
        <v>507</v>
      </c>
      <c r="S49" s="20">
        <f>'CF(M)'!A109</f>
        <v>109</v>
      </c>
      <c r="T49" s="30" t="str">
        <f>$T$5&amp;S49&amp;":"&amp;S49</f>
        <v>'CF(M)'!109:109</v>
      </c>
      <c r="U49" s="637">
        <f t="shared" ref="U49:U50" ca="1" si="45">SUM(V49:AF49)</f>
        <v>-450577.77777777781</v>
      </c>
      <c r="V49" s="637">
        <f t="shared" ref="V49" ca="1" si="46">SUMIF(INDIRECT($T$46),V$6,INDIRECT($T49))</f>
        <v>0</v>
      </c>
      <c r="W49" s="637">
        <f t="shared" ref="W49:AF49" ca="1" si="47">SUMIF(INDIRECT($T$46),W$6,INDIRECT($T49))</f>
        <v>-150055.55555555556</v>
      </c>
      <c r="X49" s="637">
        <f t="shared" ca="1" si="47"/>
        <v>-150466.66666666669</v>
      </c>
      <c r="Y49" s="638">
        <f t="shared" ca="1" si="47"/>
        <v>-150055.55555555556</v>
      </c>
      <c r="Z49" s="637">
        <f t="shared" ca="1" si="47"/>
        <v>0</v>
      </c>
      <c r="AA49" s="637">
        <f t="shared" ca="1" si="47"/>
        <v>0</v>
      </c>
      <c r="AB49" s="637">
        <f t="shared" ca="1" si="47"/>
        <v>0</v>
      </c>
      <c r="AC49" s="637">
        <f t="shared" ca="1" si="47"/>
        <v>0</v>
      </c>
      <c r="AD49" s="637">
        <f t="shared" ca="1" si="47"/>
        <v>0</v>
      </c>
      <c r="AE49" s="637">
        <f t="shared" ca="1" si="47"/>
        <v>0</v>
      </c>
      <c r="AF49" s="638">
        <f t="shared" ca="1" si="47"/>
        <v>0</v>
      </c>
      <c r="AG49" s="5"/>
      <c r="AH49" s="5"/>
      <c r="AI49" s="6"/>
      <c r="AJ49" s="6"/>
      <c r="AK49" s="7"/>
    </row>
    <row r="50" spans="1:37">
      <c r="B50" s="11" t="s">
        <v>248</v>
      </c>
      <c r="C50" s="9"/>
      <c r="D50" s="9"/>
      <c r="E50" s="9"/>
      <c r="F50" s="9"/>
      <c r="G50" s="536">
        <f>C39</f>
        <v>37000000</v>
      </c>
      <c r="H50" s="90">
        <f t="shared" ref="H50" si="48">G50*$H$11/10^3</f>
        <v>30340000</v>
      </c>
      <c r="I50" s="10"/>
      <c r="J50" s="241" t="s">
        <v>51</v>
      </c>
      <c r="K50" s="242"/>
      <c r="L50" s="243"/>
      <c r="M50" s="243"/>
      <c r="N50" s="244"/>
      <c r="O50" s="248"/>
      <c r="P50" s="245"/>
      <c r="R50" s="11" t="s">
        <v>506</v>
      </c>
      <c r="S50" s="164"/>
      <c r="T50" s="164"/>
      <c r="U50" s="639">
        <f t="shared" ca="1" si="45"/>
        <v>4055200</v>
      </c>
      <c r="V50" s="639">
        <f t="shared" ref="V50:AF50" ca="1" si="49">SUM(V48:V49)</f>
        <v>0</v>
      </c>
      <c r="W50" s="639">
        <f t="shared" ca="1" si="49"/>
        <v>1350500</v>
      </c>
      <c r="X50" s="639">
        <f t="shared" ca="1" si="49"/>
        <v>1354199.9999999998</v>
      </c>
      <c r="Y50" s="640">
        <f ca="1">SUM(Y48:Y49)</f>
        <v>1350500</v>
      </c>
      <c r="Z50" s="641">
        <f t="shared" ca="1" si="49"/>
        <v>0</v>
      </c>
      <c r="AA50" s="641">
        <f t="shared" ca="1" si="49"/>
        <v>0</v>
      </c>
      <c r="AB50" s="641">
        <f t="shared" ca="1" si="49"/>
        <v>0</v>
      </c>
      <c r="AC50" s="641">
        <f t="shared" ca="1" si="49"/>
        <v>0</v>
      </c>
      <c r="AD50" s="641">
        <f t="shared" ca="1" si="49"/>
        <v>0</v>
      </c>
      <c r="AE50" s="641">
        <f t="shared" ca="1" si="49"/>
        <v>0</v>
      </c>
      <c r="AF50" s="641">
        <f t="shared" ca="1" si="49"/>
        <v>0</v>
      </c>
      <c r="AG50" s="5"/>
      <c r="AH50" s="5"/>
      <c r="AI50" s="165"/>
      <c r="AJ50" s="166" t="s">
        <v>11</v>
      </c>
      <c r="AK50" s="525"/>
    </row>
    <row r="51" spans="1:37">
      <c r="B51" s="11" t="s">
        <v>249</v>
      </c>
      <c r="C51" s="6"/>
      <c r="D51" s="6"/>
      <c r="E51" s="6"/>
      <c r="F51" s="6"/>
      <c r="G51" s="38">
        <f t="shared" ref="G51:H51" si="50">SUM(G52:G60)</f>
        <v>304731.70731707313</v>
      </c>
      <c r="H51" s="90">
        <f t="shared" si="50"/>
        <v>249880</v>
      </c>
      <c r="I51" s="10"/>
      <c r="J51" s="8"/>
      <c r="K51" s="9"/>
      <c r="L51" s="9"/>
      <c r="M51" s="9"/>
      <c r="N51" s="6"/>
      <c r="O51" s="9"/>
      <c r="P51" s="50"/>
      <c r="R51" s="493" t="str">
        <f>'CF(M)'!C131</f>
        <v>외국납부세액공제</v>
      </c>
      <c r="S51" s="29">
        <f>'CF(M)'!A110</f>
        <v>110</v>
      </c>
      <c r="T51" s="30" t="str">
        <f>$T$5&amp;S51&amp;":"&amp;S51</f>
        <v>'CF(M)'!110:110</v>
      </c>
      <c r="U51" s="497">
        <f ca="1">SUM(V51:AF51)</f>
        <v>450577.77777777781</v>
      </c>
      <c r="V51" s="497">
        <f t="shared" ref="V51:AF51" ca="1" si="51">SUMIF(INDIRECT($T$46),V$6,INDIRECT($T51))</f>
        <v>0</v>
      </c>
      <c r="W51" s="497">
        <f t="shared" ca="1" si="51"/>
        <v>150055.55555555556</v>
      </c>
      <c r="X51" s="497">
        <f t="shared" ca="1" si="51"/>
        <v>150466.66666666669</v>
      </c>
      <c r="Y51" s="498">
        <f t="shared" ca="1" si="51"/>
        <v>150055.55555555556</v>
      </c>
      <c r="Z51" s="497">
        <f t="shared" ca="1" si="51"/>
        <v>0</v>
      </c>
      <c r="AA51" s="497">
        <f t="shared" ca="1" si="51"/>
        <v>0</v>
      </c>
      <c r="AB51" s="497">
        <f t="shared" ca="1" si="51"/>
        <v>0</v>
      </c>
      <c r="AC51" s="497">
        <f t="shared" ca="1" si="51"/>
        <v>0</v>
      </c>
      <c r="AD51" s="497">
        <f t="shared" ca="1" si="51"/>
        <v>0</v>
      </c>
      <c r="AE51" s="497">
        <f t="shared" ca="1" si="51"/>
        <v>0</v>
      </c>
      <c r="AF51" s="498">
        <f t="shared" ca="1" si="51"/>
        <v>0</v>
      </c>
      <c r="AG51" s="5"/>
      <c r="AH51" s="5"/>
      <c r="AI51" s="512">
        <f>ROW('CF(M)'!A11)</f>
        <v>11</v>
      </c>
      <c r="AJ51" s="512" t="str">
        <f>$AJ$50&amp;AI51&amp;":"&amp;AI51</f>
        <v>'CF(M)'!11:11</v>
      </c>
      <c r="AK51" s="517"/>
    </row>
    <row r="52" spans="1:37">
      <c r="B52" s="534" t="s">
        <v>233</v>
      </c>
      <c r="C52" s="17"/>
      <c r="D52" s="17"/>
      <c r="E52" s="9"/>
      <c r="F52" s="9"/>
      <c r="G52" s="430">
        <f>조견표!G9</f>
        <v>80000</v>
      </c>
      <c r="H52" s="58">
        <f>G52*$H$11/10^3</f>
        <v>65600</v>
      </c>
      <c r="I52" s="10"/>
      <c r="J52" s="5"/>
      <c r="K52" s="9"/>
      <c r="L52" s="114"/>
      <c r="M52" s="114"/>
      <c r="N52" s="6"/>
      <c r="O52" s="114"/>
      <c r="P52" s="36"/>
      <c r="R52" s="104" t="s">
        <v>300</v>
      </c>
      <c r="S52" s="12"/>
      <c r="T52" s="12"/>
      <c r="U52" s="502">
        <f ca="1">SUM(V52:AF52)</f>
        <v>4505777.777777778</v>
      </c>
      <c r="V52" s="502">
        <f t="shared" ref="V52:AF52" ca="1" si="52">SUM(V50:V51)</f>
        <v>0</v>
      </c>
      <c r="W52" s="502">
        <f t="shared" ca="1" si="52"/>
        <v>1500555.5555555555</v>
      </c>
      <c r="X52" s="502">
        <f t="shared" ca="1" si="52"/>
        <v>1504666.6666666665</v>
      </c>
      <c r="Y52" s="503">
        <f t="shared" ca="1" si="52"/>
        <v>1500555.5555555555</v>
      </c>
      <c r="Z52" s="502">
        <f t="shared" ca="1" si="52"/>
        <v>0</v>
      </c>
      <c r="AA52" s="502">
        <f t="shared" ca="1" si="52"/>
        <v>0</v>
      </c>
      <c r="AB52" s="502">
        <f t="shared" ca="1" si="52"/>
        <v>0</v>
      </c>
      <c r="AC52" s="502">
        <f t="shared" ca="1" si="52"/>
        <v>0</v>
      </c>
      <c r="AD52" s="502">
        <f t="shared" ca="1" si="52"/>
        <v>0</v>
      </c>
      <c r="AE52" s="502">
        <f t="shared" ca="1" si="52"/>
        <v>0</v>
      </c>
      <c r="AF52" s="503">
        <f t="shared" ca="1" si="52"/>
        <v>0</v>
      </c>
      <c r="AG52" s="5"/>
      <c r="AH52" s="5"/>
      <c r="AI52" s="512">
        <f>'CF(M)'!A106</f>
        <v>106</v>
      </c>
      <c r="AJ52" s="512" t="str">
        <f>$AJ$50&amp;AI52&amp;":"&amp;AI52</f>
        <v>'CF(M)'!106:106</v>
      </c>
      <c r="AK52" s="517"/>
    </row>
    <row r="53" spans="1:37">
      <c r="B53" s="534" t="s">
        <v>234</v>
      </c>
      <c r="C53" s="52"/>
      <c r="D53" s="52"/>
      <c r="E53" s="52"/>
      <c r="F53" s="6"/>
      <c r="G53" s="431">
        <f>조견표!G12</f>
        <v>9000</v>
      </c>
      <c r="H53" s="58">
        <f>G53*$H$11/10^3</f>
        <v>7380</v>
      </c>
      <c r="I53" s="10"/>
      <c r="J53" s="85" t="s">
        <v>305</v>
      </c>
      <c r="K53" s="6"/>
      <c r="L53" s="9"/>
      <c r="M53" s="52" t="b">
        <f ca="1">U37=G50</f>
        <v>1</v>
      </c>
      <c r="N53" s="24"/>
      <c r="O53" s="6"/>
      <c r="P53" s="36"/>
      <c r="R53" s="5" t="s">
        <v>307</v>
      </c>
      <c r="S53" s="9">
        <f>'CF(M)'!A114</f>
        <v>114</v>
      </c>
      <c r="T53" s="23" t="str">
        <f>$T$5&amp;S53&amp;":"&amp;S53</f>
        <v>'CF(M)'!114:114</v>
      </c>
      <c r="U53" s="495">
        <f ca="1">SUM(V53:AF53)</f>
        <v>-37000000</v>
      </c>
      <c r="V53" s="495">
        <f t="shared" ref="V53:AF54" ca="1" si="53">SUMIF(INDIRECT($T$6),V$6,INDIRECT($T53))</f>
        <v>-37000000</v>
      </c>
      <c r="W53" s="495">
        <f t="shared" ca="1" si="53"/>
        <v>0</v>
      </c>
      <c r="X53" s="495">
        <f t="shared" ca="1" si="53"/>
        <v>0</v>
      </c>
      <c r="Y53" s="496">
        <f t="shared" ca="1" si="53"/>
        <v>0</v>
      </c>
      <c r="Z53" s="495">
        <f t="shared" ca="1" si="53"/>
        <v>0</v>
      </c>
      <c r="AA53" s="495">
        <f t="shared" ca="1" si="53"/>
        <v>0</v>
      </c>
      <c r="AB53" s="495">
        <f t="shared" ca="1" si="53"/>
        <v>0</v>
      </c>
      <c r="AC53" s="495">
        <f t="shared" ca="1" si="53"/>
        <v>0</v>
      </c>
      <c r="AD53" s="495">
        <f t="shared" ca="1" si="53"/>
        <v>0</v>
      </c>
      <c r="AE53" s="495">
        <f t="shared" ca="1" si="53"/>
        <v>0</v>
      </c>
      <c r="AF53" s="496">
        <f t="shared" ca="1" si="53"/>
        <v>0</v>
      </c>
      <c r="AG53" s="5"/>
      <c r="AH53" s="5"/>
      <c r="AI53" s="6"/>
      <c r="AJ53" s="6"/>
      <c r="AK53" s="7"/>
    </row>
    <row r="54" spans="1:37">
      <c r="B54" s="534" t="s">
        <v>235</v>
      </c>
      <c r="C54" s="101"/>
      <c r="D54" s="101"/>
      <c r="E54" s="52"/>
      <c r="F54" s="6"/>
      <c r="G54" s="431">
        <f>조견표!G13</f>
        <v>20000</v>
      </c>
      <c r="H54" s="58">
        <f>G54*$H$11/10^3</f>
        <v>16400</v>
      </c>
      <c r="I54" s="10"/>
      <c r="J54" s="85" t="s">
        <v>306</v>
      </c>
      <c r="K54" s="6"/>
      <c r="L54" s="9"/>
      <c r="M54" s="9" t="b">
        <f ca="1">U53=-G50</f>
        <v>1</v>
      </c>
      <c r="N54" s="24"/>
      <c r="O54" s="6"/>
      <c r="P54" s="36"/>
      <c r="R54" s="160" t="s">
        <v>93</v>
      </c>
      <c r="S54" s="29">
        <f>'CF(M)'!A115</f>
        <v>115</v>
      </c>
      <c r="T54" s="30" t="str">
        <f>$T$5&amp;S54&amp;":"&amp;S54</f>
        <v>'CF(M)'!115:115</v>
      </c>
      <c r="U54" s="497">
        <f ca="1">SUM(V54:AF54)</f>
        <v>37000000</v>
      </c>
      <c r="V54" s="497">
        <f t="shared" ca="1" si="53"/>
        <v>0</v>
      </c>
      <c r="W54" s="497">
        <f t="shared" ca="1" si="53"/>
        <v>0</v>
      </c>
      <c r="X54" s="497">
        <f t="shared" ca="1" si="53"/>
        <v>0</v>
      </c>
      <c r="Y54" s="498">
        <f t="shared" ca="1" si="53"/>
        <v>37000000</v>
      </c>
      <c r="Z54" s="497">
        <f t="shared" ca="1" si="53"/>
        <v>0</v>
      </c>
      <c r="AA54" s="497">
        <f t="shared" ca="1" si="53"/>
        <v>0</v>
      </c>
      <c r="AB54" s="497">
        <f t="shared" ca="1" si="53"/>
        <v>0</v>
      </c>
      <c r="AC54" s="497">
        <f t="shared" ca="1" si="53"/>
        <v>0</v>
      </c>
      <c r="AD54" s="497">
        <f t="shared" ca="1" si="53"/>
        <v>0</v>
      </c>
      <c r="AE54" s="497">
        <f t="shared" ca="1" si="53"/>
        <v>0</v>
      </c>
      <c r="AF54" s="498">
        <f t="shared" ca="1" si="53"/>
        <v>0</v>
      </c>
      <c r="AG54" s="5"/>
      <c r="AH54" s="5"/>
      <c r="AI54" s="6"/>
      <c r="AJ54" s="6"/>
      <c r="AK54" s="7"/>
    </row>
    <row r="55" spans="1:37">
      <c r="B55" s="535" t="s">
        <v>243</v>
      </c>
      <c r="C55" s="101"/>
      <c r="D55" s="101"/>
      <c r="E55" s="52"/>
      <c r="F55" s="6"/>
      <c r="G55" s="431">
        <f>조견표!G14</f>
        <v>25000</v>
      </c>
      <c r="H55" s="58">
        <f>G55*$H$11/10^3</f>
        <v>20500</v>
      </c>
      <c r="I55" s="10"/>
      <c r="J55" s="66" t="s">
        <v>52</v>
      </c>
      <c r="K55" s="6"/>
      <c r="L55" s="6"/>
      <c r="M55" s="52" t="b">
        <f ca="1">U38=-G50</f>
        <v>1</v>
      </c>
      <c r="N55" s="6"/>
      <c r="O55" s="6"/>
      <c r="P55" s="36"/>
      <c r="R55" s="443" t="s">
        <v>298</v>
      </c>
      <c r="S55" s="54"/>
      <c r="T55" s="55"/>
      <c r="U55" s="513">
        <f ca="1">SUM(V55:AF55)</f>
        <v>4505777.7777777687</v>
      </c>
      <c r="V55" s="513">
        <f t="shared" ref="V55:AF55" ca="1" si="54">SUM(V52:V54)</f>
        <v>-37000000</v>
      </c>
      <c r="W55" s="513">
        <f t="shared" ca="1" si="54"/>
        <v>1500555.5555555555</v>
      </c>
      <c r="X55" s="513">
        <f t="shared" ca="1" si="54"/>
        <v>1504666.6666666665</v>
      </c>
      <c r="Y55" s="605">
        <f t="shared" ca="1" si="54"/>
        <v>38500555.555555552</v>
      </c>
      <c r="Z55" s="513">
        <f t="shared" ca="1" si="54"/>
        <v>0</v>
      </c>
      <c r="AA55" s="513">
        <f t="shared" ca="1" si="54"/>
        <v>0</v>
      </c>
      <c r="AB55" s="513">
        <f t="shared" ca="1" si="54"/>
        <v>0</v>
      </c>
      <c r="AC55" s="513">
        <f t="shared" ca="1" si="54"/>
        <v>0</v>
      </c>
      <c r="AD55" s="513">
        <f t="shared" ca="1" si="54"/>
        <v>0</v>
      </c>
      <c r="AE55" s="513">
        <f t="shared" ca="1" si="54"/>
        <v>0</v>
      </c>
      <c r="AF55" s="605">
        <f t="shared" ca="1" si="54"/>
        <v>0</v>
      </c>
      <c r="AG55" s="5"/>
      <c r="AH55" s="5"/>
      <c r="AI55" s="6"/>
      <c r="AJ55" s="6"/>
      <c r="AK55" s="7"/>
    </row>
    <row r="56" spans="1:37">
      <c r="B56" s="534" t="s">
        <v>413</v>
      </c>
      <c r="C56" s="9"/>
      <c r="D56" s="9"/>
      <c r="E56" s="9"/>
      <c r="F56" s="9"/>
      <c r="G56" s="184">
        <f>H56/$H$11*1000</f>
        <v>60975.609756097561</v>
      </c>
      <c r="H56" s="442">
        <f>조견표!K10</f>
        <v>50000</v>
      </c>
      <c r="I56" s="10"/>
      <c r="J56" s="66" t="s">
        <v>53</v>
      </c>
      <c r="K56" s="6"/>
      <c r="L56" s="6"/>
      <c r="M56" s="52" t="b">
        <f ca="1">U54=G50</f>
        <v>1</v>
      </c>
      <c r="N56" s="6"/>
      <c r="O56" s="6"/>
      <c r="P56" s="36"/>
      <c r="R56" s="5" t="s">
        <v>297</v>
      </c>
      <c r="S56" s="9"/>
      <c r="T56" s="9"/>
      <c r="U56" s="77">
        <f ca="1">-U52/U53*365/($H$8-V47)</f>
        <v>4.0555555555555553E-2</v>
      </c>
      <c r="V56" s="9"/>
      <c r="W56" s="77">
        <f t="shared" ref="W56:AF56" ca="1" si="55">-W52/$V$53*365/(W47-V47)</f>
        <v>4.0555555555555553E-2</v>
      </c>
      <c r="X56" s="77">
        <f t="shared" ca="1" si="55"/>
        <v>4.0555555555555553E-2</v>
      </c>
      <c r="Y56" s="96">
        <f t="shared" ca="1" si="55"/>
        <v>4.0555555555555553E-2</v>
      </c>
      <c r="Z56" s="77">
        <f t="shared" ca="1" si="55"/>
        <v>0</v>
      </c>
      <c r="AA56" s="77">
        <f t="shared" ca="1" si="55"/>
        <v>0</v>
      </c>
      <c r="AB56" s="83">
        <f t="shared" ca="1" si="55"/>
        <v>0</v>
      </c>
      <c r="AC56" s="83">
        <f t="shared" ca="1" si="55"/>
        <v>0</v>
      </c>
      <c r="AD56" s="83">
        <f t="shared" ca="1" si="55"/>
        <v>0</v>
      </c>
      <c r="AE56" s="83">
        <f t="shared" ca="1" si="55"/>
        <v>0</v>
      </c>
      <c r="AF56" s="105">
        <f t="shared" ca="1" si="55"/>
        <v>0</v>
      </c>
      <c r="AG56" s="5"/>
      <c r="AH56" s="5"/>
      <c r="AI56" s="6"/>
      <c r="AJ56" s="6"/>
      <c r="AK56" s="7"/>
    </row>
    <row r="57" spans="1:37">
      <c r="B57" s="535" t="s">
        <v>239</v>
      </c>
      <c r="C57" s="9"/>
      <c r="D57" s="9"/>
      <c r="E57" s="9"/>
      <c r="F57" s="9"/>
      <c r="G57" s="184">
        <f>H57/$H$11*1000</f>
        <v>109756.0975609756</v>
      </c>
      <c r="H57" s="442">
        <f>조견표!K11</f>
        <v>90000</v>
      </c>
      <c r="I57" s="10"/>
      <c r="J57" s="85" t="s">
        <v>54</v>
      </c>
      <c r="K57" s="6"/>
      <c r="L57" s="24">
        <f>H33-H36</f>
        <v>1096</v>
      </c>
      <c r="M57" s="52">
        <f>$L57/360*G50*D39</f>
        <v>4505777.7777777771</v>
      </c>
      <c r="N57" s="24">
        <f ca="1">U33+M57</f>
        <v>0</v>
      </c>
      <c r="O57" s="6"/>
      <c r="P57" s="36"/>
      <c r="R57" s="160" t="s">
        <v>296</v>
      </c>
      <c r="S57" s="29"/>
      <c r="T57" s="29"/>
      <c r="U57" s="99">
        <f>'CF(M)'!K140</f>
        <v>4.1176310181617742E-2</v>
      </c>
      <c r="V57" s="29"/>
      <c r="W57" s="62"/>
      <c r="X57" s="29"/>
      <c r="Y57" s="88"/>
      <c r="Z57" s="29"/>
      <c r="AA57" s="29"/>
      <c r="AB57" s="29"/>
      <c r="AC57" s="29"/>
      <c r="AD57" s="29"/>
      <c r="AE57" s="29"/>
      <c r="AF57" s="88"/>
      <c r="AG57" s="5"/>
      <c r="AH57" s="5"/>
      <c r="AI57" s="6"/>
      <c r="AJ57" s="6"/>
      <c r="AK57" s="7"/>
    </row>
    <row r="58" spans="1:37">
      <c r="B58" s="535" t="s">
        <v>240</v>
      </c>
      <c r="C58" s="101"/>
      <c r="D58" s="101"/>
      <c r="E58" s="9"/>
      <c r="F58" s="9"/>
      <c r="G58" s="184">
        <f>H58/$H$11*1000</f>
        <v>0</v>
      </c>
      <c r="H58" s="442">
        <v>0</v>
      </c>
      <c r="J58" s="85" t="s">
        <v>309</v>
      </c>
      <c r="K58" s="6"/>
      <c r="L58" s="6"/>
      <c r="M58" s="52">
        <f>M57*(1-H12)</f>
        <v>4055199.9999999995</v>
      </c>
      <c r="N58" s="52">
        <f ca="1">U50-M58</f>
        <v>0</v>
      </c>
      <c r="O58" s="6"/>
      <c r="P58" s="36"/>
      <c r="R58" s="5"/>
      <c r="S58" s="6"/>
      <c r="T58" s="6"/>
      <c r="U58" s="6"/>
      <c r="V58" s="6"/>
      <c r="W58" s="6"/>
      <c r="X58" s="6"/>
      <c r="Y58" s="7"/>
      <c r="Z58" s="6"/>
      <c r="AA58" s="6"/>
      <c r="AB58" s="6"/>
      <c r="AC58" s="6"/>
      <c r="AD58" s="6"/>
      <c r="AE58" s="6"/>
      <c r="AF58" s="7"/>
      <c r="AG58" s="5"/>
      <c r="AH58" s="5"/>
      <c r="AI58" s="6"/>
      <c r="AJ58" s="6"/>
      <c r="AK58" s="7"/>
    </row>
    <row r="59" spans="1:37">
      <c r="B59" s="535" t="s">
        <v>241</v>
      </c>
      <c r="C59" s="9"/>
      <c r="D59" s="9"/>
      <c r="E59" s="9"/>
      <c r="F59" s="9"/>
      <c r="G59" s="184">
        <f>H59/$H$11*1000</f>
        <v>0</v>
      </c>
      <c r="H59" s="442">
        <v>0</v>
      </c>
      <c r="I59" s="10"/>
      <c r="J59" s="176" t="s">
        <v>55</v>
      </c>
      <c r="K59" s="6"/>
      <c r="L59" s="24">
        <f>L57</f>
        <v>1096</v>
      </c>
      <c r="M59" s="52">
        <f>(N43/365)*$L59</f>
        <v>180164.38356164383</v>
      </c>
      <c r="N59" s="24">
        <f ca="1">U34+M59</f>
        <v>0</v>
      </c>
      <c r="O59" s="6"/>
      <c r="P59" s="36"/>
      <c r="R59" s="5"/>
      <c r="S59" s="6"/>
      <c r="T59" s="6"/>
      <c r="U59" s="6"/>
      <c r="V59" s="6"/>
      <c r="W59" s="6"/>
      <c r="X59" s="6"/>
      <c r="Y59" s="7"/>
      <c r="AG59" s="5"/>
      <c r="AH59" s="5"/>
      <c r="AI59" s="6"/>
      <c r="AJ59" s="6"/>
      <c r="AK59" s="7"/>
    </row>
    <row r="60" spans="1:37">
      <c r="B60" s="535" t="s">
        <v>242</v>
      </c>
      <c r="C60" s="9"/>
      <c r="D60" s="9"/>
      <c r="E60" s="9"/>
      <c r="F60" s="9"/>
      <c r="G60" s="184">
        <f>H60/$H$11*1000</f>
        <v>0</v>
      </c>
      <c r="H60" s="442">
        <v>0</v>
      </c>
      <c r="I60" s="10"/>
      <c r="J60" s="176"/>
      <c r="K60" s="6"/>
      <c r="L60" s="24"/>
      <c r="M60" s="52"/>
      <c r="N60" s="24"/>
      <c r="O60" s="6"/>
      <c r="P60" s="36"/>
      <c r="R60" s="5"/>
      <c r="S60" s="6"/>
      <c r="T60" s="6"/>
      <c r="U60" s="6"/>
      <c r="V60" s="6"/>
      <c r="W60" s="6"/>
      <c r="X60" s="6"/>
      <c r="Y60" s="7"/>
      <c r="Z60" s="6"/>
      <c r="AA60" s="6"/>
      <c r="AB60" s="6"/>
      <c r="AC60" s="6"/>
      <c r="AD60" s="6"/>
      <c r="AE60" s="6"/>
      <c r="AF60" s="7"/>
      <c r="AG60" s="5"/>
      <c r="AH60" s="5"/>
      <c r="AI60" s="6"/>
      <c r="AJ60" s="6"/>
      <c r="AK60" s="7"/>
    </row>
    <row r="61" spans="1:37">
      <c r="B61" s="104" t="s">
        <v>310</v>
      </c>
      <c r="C61" s="54"/>
      <c r="D61" s="54"/>
      <c r="E61" s="54"/>
      <c r="F61" s="54"/>
      <c r="G61" s="56">
        <f t="shared" ref="G61:H61" si="56">G50-G51</f>
        <v>36695268.292682923</v>
      </c>
      <c r="H61" s="57">
        <f t="shared" si="56"/>
        <v>30090120</v>
      </c>
      <c r="I61" s="10"/>
      <c r="J61" s="176"/>
      <c r="K61" s="6"/>
      <c r="L61" s="24"/>
      <c r="M61" s="52"/>
      <c r="N61" s="24"/>
      <c r="O61" s="24"/>
      <c r="P61" s="36"/>
      <c r="R61" s="5"/>
      <c r="S61" s="6"/>
      <c r="T61" s="6"/>
      <c r="U61" s="52"/>
      <c r="V61" s="6"/>
      <c r="W61" s="52"/>
      <c r="X61" s="6"/>
      <c r="Y61" s="7"/>
      <c r="Z61" s="6"/>
      <c r="AA61" s="6"/>
      <c r="AB61" s="6"/>
      <c r="AC61" s="6"/>
      <c r="AD61" s="6"/>
      <c r="AE61" s="6"/>
      <c r="AF61" s="7"/>
      <c r="AG61" s="5"/>
      <c r="AH61" s="5"/>
      <c r="AI61" s="6"/>
      <c r="AJ61" s="6"/>
      <c r="AK61" s="7"/>
    </row>
    <row r="62" spans="1:37">
      <c r="B62" s="5"/>
      <c r="C62" s="6"/>
      <c r="D62" s="6"/>
      <c r="E62" s="6"/>
      <c r="F62" s="6"/>
      <c r="G62" s="6"/>
      <c r="H62" s="7"/>
      <c r="I62" s="10"/>
      <c r="J62" s="80"/>
      <c r="K62" s="6"/>
      <c r="L62" s="24"/>
      <c r="M62" s="52"/>
      <c r="N62" s="24"/>
      <c r="O62" s="6"/>
      <c r="P62" s="36"/>
      <c r="R62" s="5"/>
      <c r="S62" s="6"/>
      <c r="T62" s="6"/>
      <c r="U62" s="6"/>
      <c r="V62" s="6"/>
      <c r="W62" s="6"/>
      <c r="X62" s="6"/>
      <c r="Y62" s="7"/>
      <c r="Z62" s="6"/>
      <c r="AA62" s="6"/>
      <c r="AB62" s="6"/>
      <c r="AC62" s="6"/>
      <c r="AD62" s="6"/>
      <c r="AE62" s="6"/>
      <c r="AF62" s="7"/>
      <c r="AG62" s="5"/>
      <c r="AH62" s="5"/>
      <c r="AI62" s="6"/>
      <c r="AJ62" s="6"/>
      <c r="AK62" s="7"/>
    </row>
    <row r="63" spans="1:37">
      <c r="A63" s="102"/>
      <c r="B63" s="8"/>
      <c r="C63" s="9"/>
      <c r="D63" s="9"/>
      <c r="E63" s="9"/>
      <c r="F63" s="9"/>
      <c r="G63" s="9"/>
      <c r="H63" s="36"/>
      <c r="I63" s="10"/>
      <c r="J63" s="80"/>
      <c r="K63" s="9"/>
      <c r="L63" s="24"/>
      <c r="M63" s="52"/>
      <c r="N63" s="52"/>
      <c r="O63" s="24"/>
      <c r="P63" s="25"/>
      <c r="R63" s="5"/>
      <c r="S63" s="6"/>
      <c r="T63" s="6"/>
      <c r="U63" s="6"/>
      <c r="V63" s="6"/>
      <c r="W63" s="6"/>
      <c r="X63" s="6"/>
      <c r="Y63" s="7"/>
      <c r="Z63" s="6"/>
      <c r="AA63" s="6"/>
      <c r="AB63" s="6"/>
      <c r="AC63" s="6"/>
      <c r="AD63" s="6"/>
      <c r="AE63" s="6"/>
      <c r="AF63" s="7"/>
      <c r="AG63" s="5"/>
      <c r="AH63" s="5"/>
      <c r="AI63" s="6"/>
      <c r="AJ63" s="6"/>
      <c r="AK63" s="7"/>
    </row>
    <row r="64" spans="1:37" ht="12" thickBot="1">
      <c r="B64" s="115"/>
      <c r="C64" s="116"/>
      <c r="D64" s="116"/>
      <c r="E64" s="116"/>
      <c r="F64" s="116"/>
      <c r="G64" s="504"/>
      <c r="H64" s="505"/>
      <c r="I64" s="10"/>
      <c r="J64" s="115"/>
      <c r="K64" s="116"/>
      <c r="L64" s="116"/>
      <c r="M64" s="116"/>
      <c r="N64" s="116"/>
      <c r="O64" s="116"/>
      <c r="P64" s="117"/>
      <c r="R64" s="173"/>
      <c r="S64" s="174"/>
      <c r="T64" s="174"/>
      <c r="U64" s="174"/>
      <c r="V64" s="174"/>
      <c r="W64" s="174"/>
      <c r="X64" s="174"/>
      <c r="Y64" s="175"/>
      <c r="Z64" s="174"/>
      <c r="AA64" s="174"/>
      <c r="AB64" s="174"/>
      <c r="AC64" s="174"/>
      <c r="AD64" s="174"/>
      <c r="AE64" s="174"/>
      <c r="AF64" s="175"/>
      <c r="AG64" s="5"/>
      <c r="AH64" s="173"/>
      <c r="AI64" s="174"/>
      <c r="AJ64" s="174"/>
      <c r="AK64" s="175"/>
    </row>
    <row r="65" spans="7:33">
      <c r="I65" s="10"/>
      <c r="J65" s="10"/>
      <c r="K65" s="10"/>
      <c r="L65" s="10"/>
      <c r="M65" s="10"/>
      <c r="N65" s="10"/>
      <c r="O65" s="10"/>
      <c r="P65" s="10"/>
      <c r="AG65" s="6"/>
    </row>
    <row r="66" spans="7:33">
      <c r="I66" s="10"/>
      <c r="AG66" s="6"/>
    </row>
    <row r="67" spans="7:33">
      <c r="I67" s="10"/>
      <c r="AG67" s="6"/>
    </row>
    <row r="68" spans="7:33">
      <c r="I68" s="10"/>
      <c r="AG68" s="6"/>
    </row>
    <row r="69" spans="7:33">
      <c r="G69" s="538"/>
      <c r="I69" s="10"/>
      <c r="AG69" s="6"/>
    </row>
    <row r="70" spans="7:33">
      <c r="I70" s="10"/>
      <c r="AG70" s="6"/>
    </row>
    <row r="71" spans="7:33">
      <c r="I71" s="10"/>
      <c r="AF71" s="6"/>
      <c r="AG71" s="6"/>
    </row>
    <row r="72" spans="7:33">
      <c r="I72" s="10"/>
      <c r="AF72" s="6"/>
      <c r="AG72" s="6"/>
    </row>
    <row r="73" spans="7:33">
      <c r="I73" s="10"/>
      <c r="AF73" s="6"/>
      <c r="AG73" s="6"/>
    </row>
    <row r="74" spans="7:33">
      <c r="I74" s="10"/>
      <c r="AF74" s="6"/>
      <c r="AG74" s="6"/>
    </row>
    <row r="75" spans="7:33">
      <c r="I75" s="10"/>
      <c r="AF75" s="6"/>
      <c r="AG75" s="6"/>
    </row>
    <row r="76" spans="7:33">
      <c r="I76" s="10"/>
      <c r="AF76" s="6"/>
      <c r="AG76" s="6"/>
    </row>
    <row r="77" spans="7:33">
      <c r="I77" s="10"/>
      <c r="AF77" s="6"/>
      <c r="AG77" s="6"/>
    </row>
    <row r="78" spans="7:33">
      <c r="I78" s="10"/>
      <c r="AF78" s="6"/>
      <c r="AG78" s="6"/>
    </row>
    <row r="79" spans="7:33">
      <c r="I79" s="10"/>
      <c r="AF79" s="6"/>
      <c r="AG79" s="6"/>
    </row>
    <row r="80" spans="7:33">
      <c r="I80" s="10"/>
      <c r="AF80" s="6"/>
      <c r="AG80" s="6"/>
    </row>
    <row r="81" spans="2:33">
      <c r="I81" s="10"/>
      <c r="AF81" s="6"/>
      <c r="AG81" s="6"/>
    </row>
    <row r="82" spans="2:33">
      <c r="I82" s="10"/>
      <c r="AF82" s="6"/>
      <c r="AG82" s="6"/>
    </row>
    <row r="83" spans="2:33">
      <c r="I83" s="10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2:33">
      <c r="I84" s="10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2:33">
      <c r="I85" s="10"/>
      <c r="AF85" s="6"/>
      <c r="AG85" s="6"/>
    </row>
    <row r="86" spans="2:33">
      <c r="I86" s="10"/>
      <c r="AF86" s="6"/>
      <c r="AG86" s="6"/>
    </row>
    <row r="87" spans="2:33">
      <c r="I87" s="10"/>
      <c r="AF87" s="6"/>
      <c r="AG87" s="6"/>
    </row>
    <row r="88" spans="2:33">
      <c r="I88" s="10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2:33">
      <c r="B89" s="48"/>
      <c r="C89" s="48"/>
      <c r="D89" s="48"/>
      <c r="E89" s="48"/>
      <c r="F89" s="48"/>
      <c r="G89" s="48"/>
      <c r="H89" s="48"/>
      <c r="I89" s="10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2:33">
      <c r="B90" s="48"/>
      <c r="C90" s="48"/>
      <c r="D90" s="48"/>
      <c r="E90" s="48"/>
      <c r="F90" s="48"/>
      <c r="G90" s="48"/>
      <c r="H90" s="48"/>
      <c r="I90" s="10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2:33">
      <c r="B91" s="48"/>
      <c r="C91" s="48"/>
      <c r="D91" s="48"/>
      <c r="E91" s="48"/>
      <c r="F91" s="48"/>
      <c r="G91" s="48"/>
      <c r="H91" s="48"/>
      <c r="I91" s="10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spans="2:33">
      <c r="B92" s="48"/>
      <c r="C92" s="48"/>
      <c r="D92" s="48"/>
      <c r="E92" s="48"/>
      <c r="F92" s="48"/>
      <c r="G92" s="48"/>
      <c r="H92" s="48"/>
      <c r="I92" s="10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spans="2:33">
      <c r="B93" s="48"/>
      <c r="C93" s="48"/>
      <c r="D93" s="48"/>
      <c r="E93" s="48"/>
      <c r="F93" s="48"/>
      <c r="G93" s="48"/>
      <c r="H93" s="48"/>
      <c r="I93" s="10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spans="2:33">
      <c r="B94" s="48"/>
      <c r="C94" s="48"/>
      <c r="D94" s="48"/>
      <c r="E94" s="48"/>
      <c r="F94" s="48"/>
      <c r="G94" s="48"/>
      <c r="H94" s="48"/>
      <c r="I94" s="10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2:33">
      <c r="B95" s="23"/>
      <c r="C95" s="23"/>
      <c r="D95" s="23"/>
      <c r="E95" s="23"/>
      <c r="F95" s="23"/>
      <c r="G95" s="23"/>
      <c r="H95" s="23"/>
      <c r="I95" s="10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spans="2:33">
      <c r="B96" s="23"/>
      <c r="C96" s="23"/>
      <c r="D96" s="23"/>
      <c r="E96" s="23"/>
      <c r="F96" s="23"/>
      <c r="G96" s="23"/>
      <c r="H96" s="23"/>
      <c r="I96" s="10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2:33">
      <c r="B97" s="23"/>
      <c r="C97" s="23"/>
      <c r="D97" s="23"/>
      <c r="E97" s="23"/>
      <c r="F97" s="23"/>
      <c r="G97" s="23"/>
      <c r="H97" s="23"/>
      <c r="I97" s="10"/>
      <c r="J97" s="10"/>
      <c r="K97" s="10"/>
      <c r="L97" s="10"/>
      <c r="M97" s="10"/>
      <c r="N97" s="10"/>
      <c r="O97" s="10"/>
      <c r="P97" s="10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spans="2:33">
      <c r="B98" s="23"/>
      <c r="C98" s="23"/>
      <c r="D98" s="23"/>
      <c r="E98" s="23"/>
      <c r="F98" s="23"/>
      <c r="G98" s="23"/>
      <c r="H98" s="23"/>
      <c r="I98" s="10"/>
      <c r="J98" s="10"/>
      <c r="K98" s="10"/>
      <c r="L98" s="10"/>
      <c r="M98" s="10"/>
      <c r="N98" s="10"/>
      <c r="O98" s="10"/>
      <c r="P98" s="10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2:33">
      <c r="I99" s="10"/>
      <c r="J99" s="10"/>
      <c r="K99" s="10"/>
      <c r="L99" s="10"/>
      <c r="M99" s="10"/>
      <c r="N99" s="10"/>
      <c r="O99" s="10"/>
      <c r="P99" s="10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spans="2:33">
      <c r="I100" s="10"/>
      <c r="J100" s="10"/>
      <c r="K100" s="10"/>
      <c r="L100" s="10"/>
      <c r="M100" s="10"/>
      <c r="N100" s="10"/>
      <c r="O100" s="10"/>
      <c r="P100" s="10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2:33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2:33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2:33">
      <c r="B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R103" s="6"/>
      <c r="S103" s="6"/>
      <c r="T103" s="6"/>
      <c r="U103" s="161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2:33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2:33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2:33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2:33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2:33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2:33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2:33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3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3">
      <c r="B112" s="10"/>
      <c r="C112" s="10"/>
      <c r="D112" s="10"/>
      <c r="E112" s="10"/>
      <c r="F112" s="10"/>
      <c r="G112" s="10"/>
      <c r="H112" s="10"/>
      <c r="I112" s="10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>
      <c r="B113" s="10"/>
      <c r="C113" s="10"/>
      <c r="D113" s="10"/>
      <c r="E113" s="10"/>
      <c r="F113" s="10"/>
      <c r="G113" s="10"/>
      <c r="H113" s="10"/>
      <c r="I113" s="10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>
      <c r="B114" s="10"/>
      <c r="C114" s="10"/>
      <c r="D114" s="10"/>
      <c r="E114" s="10"/>
      <c r="F114" s="10"/>
      <c r="G114" s="10"/>
      <c r="H114" s="10"/>
      <c r="I114" s="10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>
      <c r="B115" s="10"/>
      <c r="C115" s="10"/>
      <c r="D115" s="10"/>
      <c r="E115" s="10"/>
      <c r="F115" s="10"/>
      <c r="G115" s="10"/>
      <c r="H115" s="10"/>
      <c r="I115" s="10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>
      <c r="B116" s="10"/>
      <c r="C116" s="10"/>
      <c r="D116" s="10"/>
      <c r="E116" s="10"/>
      <c r="F116" s="10"/>
      <c r="G116" s="10"/>
      <c r="H116" s="10"/>
      <c r="I116" s="10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18:32"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18:32"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18:32"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18:32"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18:32"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18:32"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18:32"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</sheetData>
  <mergeCells count="2">
    <mergeCell ref="M10:N10"/>
    <mergeCell ref="O10:P10"/>
  </mergeCells>
  <phoneticPr fontId="3" type="noConversion"/>
  <dataValidations disablePrompts="1" count="1">
    <dataValidation type="list" allowBlank="1" showInputMessage="1" showErrorMessage="1" sqref="N21">
      <formula1>$L$23:$P$23</formula1>
    </dataValidation>
  </dataValidations>
  <pageMargins left="0.7" right="0.7" top="0.75" bottom="0.75" header="0.3" footer="0.3"/>
  <pageSetup paperSize="9" orientation="landscape" horizontalDpi="4294967292" r:id="rId1"/>
  <ignoredErrors>
    <ignoredError sqref="V36:Y36 V50:Y50 W10:Y12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Y55"/>
  <sheetViews>
    <sheetView showGridLines="0" zoomScale="115" zoomScaleNormal="115" workbookViewId="0">
      <pane xSplit="9" ySplit="8" topLeftCell="J9" activePane="bottomRight" state="frozen"/>
      <selection pane="topRight"/>
      <selection pane="bottomLeft"/>
      <selection pane="bottomRight" activeCell="C20" sqref="C20"/>
    </sheetView>
  </sheetViews>
  <sheetFormatPr defaultColWidth="9.140625" defaultRowHeight="11.25" outlineLevelCol="1"/>
  <cols>
    <col min="1" max="1" width="2.42578125" style="119" hidden="1" customWidth="1" outlineLevel="1"/>
    <col min="2" max="2" width="2.42578125" style="119" customWidth="1" collapsed="1"/>
    <col min="3" max="3" width="29.42578125" style="119" customWidth="1"/>
    <col min="4" max="4" width="9.42578125" style="119" hidden="1" customWidth="1" outlineLevel="1"/>
    <col min="5" max="5" width="9.28515625" style="119" hidden="1" customWidth="1" outlineLevel="1"/>
    <col min="6" max="6" width="9.7109375" style="119" hidden="1" customWidth="1" outlineLevel="1"/>
    <col min="7" max="7" width="11.85546875" style="119" hidden="1" customWidth="1" outlineLevel="1"/>
    <col min="8" max="8" width="10.5703125" style="119" hidden="1" customWidth="1" outlineLevel="1"/>
    <col min="9" max="9" width="9.7109375" style="119" hidden="1" customWidth="1" outlineLevel="1"/>
    <col min="10" max="10" width="11.42578125" style="119" customWidth="1" collapsed="1"/>
    <col min="11" max="16" width="10.5703125" style="119" customWidth="1"/>
    <col min="17" max="18" width="8" style="119" customWidth="1"/>
    <col min="19" max="168" width="9.140625" style="119" customWidth="1"/>
    <col min="169" max="16384" width="9.140625" style="119"/>
  </cols>
  <sheetData>
    <row r="1" spans="1:22">
      <c r="C1" s="232" t="s">
        <v>643</v>
      </c>
      <c r="K1" s="461"/>
      <c r="L1" s="461" t="s">
        <v>903</v>
      </c>
      <c r="M1" s="461"/>
      <c r="N1" s="139"/>
      <c r="O1" s="139" t="s">
        <v>902</v>
      </c>
      <c r="P1" s="139"/>
    </row>
    <row r="2" spans="1:22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5">
        <f>EOMONTH(L2,-12)</f>
        <v>42643</v>
      </c>
      <c r="L2" s="265">
        <f>EOMONTH(M2,-12)</f>
        <v>43008</v>
      </c>
      <c r="M2" s="265">
        <f>EOMONTH(N2,-12)</f>
        <v>43373</v>
      </c>
      <c r="N2" s="265">
        <f>EOMONTH($I$3,12)</f>
        <v>43738</v>
      </c>
      <c r="O2" s="265">
        <f t="shared" ref="O2:P2" si="0">EOMONTH(N2,12)</f>
        <v>44104</v>
      </c>
      <c r="P2" s="265">
        <f t="shared" si="0"/>
        <v>44469</v>
      </c>
    </row>
    <row r="3" spans="1:22">
      <c r="A3" s="266"/>
      <c r="B3" s="266"/>
      <c r="C3" s="266"/>
      <c r="D3" s="266"/>
      <c r="E3" s="266"/>
      <c r="F3" s="266"/>
      <c r="G3" s="266"/>
      <c r="H3" s="309" t="s">
        <v>90</v>
      </c>
      <c r="I3" s="285">
        <f>'A&amp;R'!H5</f>
        <v>43373</v>
      </c>
      <c r="J3" s="266"/>
      <c r="K3" s="267">
        <f t="shared" ref="K3:P3" si="1">YEAR(K2)</f>
        <v>2016</v>
      </c>
      <c r="L3" s="267">
        <f t="shared" si="1"/>
        <v>2017</v>
      </c>
      <c r="M3" s="267">
        <f t="shared" si="1"/>
        <v>2018</v>
      </c>
      <c r="N3" s="267">
        <f t="shared" si="1"/>
        <v>2019</v>
      </c>
      <c r="O3" s="267">
        <f t="shared" si="1"/>
        <v>2020</v>
      </c>
      <c r="P3" s="267">
        <f t="shared" si="1"/>
        <v>2021</v>
      </c>
    </row>
    <row r="4" spans="1:22">
      <c r="A4" s="266"/>
      <c r="B4" s="266"/>
      <c r="C4" s="266"/>
      <c r="D4" s="266"/>
      <c r="E4" s="266"/>
      <c r="F4" s="266"/>
      <c r="G4" s="266"/>
      <c r="H4" s="266"/>
      <c r="I4" s="268">
        <f>EOMONTH(I3,0)</f>
        <v>43373</v>
      </c>
      <c r="J4" s="266"/>
      <c r="K4" s="269">
        <f t="shared" ref="K4:P4" si="2">MONTH(K2)</f>
        <v>9</v>
      </c>
      <c r="L4" s="269">
        <f t="shared" si="2"/>
        <v>9</v>
      </c>
      <c r="M4" s="269">
        <f t="shared" si="2"/>
        <v>9</v>
      </c>
      <c r="N4" s="269">
        <f t="shared" si="2"/>
        <v>9</v>
      </c>
      <c r="O4" s="269">
        <f t="shared" si="2"/>
        <v>9</v>
      </c>
      <c r="P4" s="269">
        <f t="shared" si="2"/>
        <v>9</v>
      </c>
    </row>
    <row r="5" spans="1:22">
      <c r="A5" s="266"/>
      <c r="B5" s="266"/>
      <c r="C5" s="266"/>
      <c r="D5" s="266"/>
      <c r="E5" s="266"/>
      <c r="F5" s="266"/>
      <c r="G5" s="266"/>
      <c r="H5" s="266"/>
      <c r="I5" s="266"/>
      <c r="J5" s="266"/>
      <c r="K5" s="270">
        <f t="shared" ref="K5:P5" si="3">INT((K$8-1)/12)+1</f>
        <v>-2</v>
      </c>
      <c r="L5" s="270">
        <f t="shared" si="3"/>
        <v>-1</v>
      </c>
      <c r="M5" s="270">
        <f t="shared" si="3"/>
        <v>0</v>
      </c>
      <c r="N5" s="270">
        <f t="shared" si="3"/>
        <v>1</v>
      </c>
      <c r="O5" s="270">
        <f t="shared" si="3"/>
        <v>2</v>
      </c>
      <c r="P5" s="270">
        <f t="shared" si="3"/>
        <v>3</v>
      </c>
    </row>
    <row r="6" spans="1:22">
      <c r="A6" s="266"/>
      <c r="B6" s="266"/>
      <c r="C6" s="309"/>
      <c r="D6" s="310"/>
      <c r="E6" s="310"/>
      <c r="F6" s="310"/>
      <c r="G6" s="310"/>
      <c r="H6" s="266"/>
      <c r="I6" s="266"/>
      <c r="J6" s="266"/>
      <c r="K6" s="271">
        <f t="shared" ref="K6:P6" si="4">INT((K$8-1)/6)+1</f>
        <v>-4</v>
      </c>
      <c r="L6" s="271">
        <f t="shared" si="4"/>
        <v>-2</v>
      </c>
      <c r="M6" s="271">
        <f t="shared" si="4"/>
        <v>0</v>
      </c>
      <c r="N6" s="271">
        <f t="shared" si="4"/>
        <v>2</v>
      </c>
      <c r="O6" s="271">
        <f t="shared" si="4"/>
        <v>4</v>
      </c>
      <c r="P6" s="271">
        <f t="shared" si="4"/>
        <v>6</v>
      </c>
    </row>
    <row r="7" spans="1:22">
      <c r="A7" s="266"/>
      <c r="B7" s="266"/>
      <c r="C7" s="266"/>
      <c r="D7" s="266"/>
      <c r="E7" s="266"/>
      <c r="F7" s="266"/>
      <c r="G7" s="266"/>
      <c r="H7" s="266"/>
      <c r="I7" s="266"/>
      <c r="J7" s="266"/>
      <c r="K7" s="272">
        <f t="shared" ref="K7:P7" si="5">INT((K$8-1)/3)+1</f>
        <v>-8</v>
      </c>
      <c r="L7" s="272">
        <f t="shared" si="5"/>
        <v>-4</v>
      </c>
      <c r="M7" s="272">
        <f t="shared" si="5"/>
        <v>0</v>
      </c>
      <c r="N7" s="272">
        <f t="shared" si="5"/>
        <v>4</v>
      </c>
      <c r="O7" s="272">
        <f t="shared" si="5"/>
        <v>8</v>
      </c>
      <c r="P7" s="272">
        <f t="shared" si="5"/>
        <v>12</v>
      </c>
    </row>
    <row r="8" spans="1:22">
      <c r="A8" s="273"/>
      <c r="B8" s="273"/>
      <c r="C8" s="273"/>
      <c r="D8" s="273"/>
      <c r="E8" s="273"/>
      <c r="F8" s="273"/>
      <c r="G8" s="273"/>
      <c r="H8" s="273"/>
      <c r="I8" s="273"/>
      <c r="J8" s="273" t="s">
        <v>14</v>
      </c>
      <c r="K8" s="277">
        <f>YEAR(K2)*12+MONTH(K2)-YEAR($I$4)*12-MONTH($I$4)</f>
        <v>-24</v>
      </c>
      <c r="L8" s="277">
        <f>YEAR(L2)*12+MONTH(L2)-YEAR($I$4)*12-MONTH($I$4)</f>
        <v>-12</v>
      </c>
      <c r="M8" s="277">
        <f>YEAR(M2)*12+MONTH(M2)-YEAR($I$4)*12-MONTH($I$4)</f>
        <v>0</v>
      </c>
      <c r="N8" s="277">
        <f t="shared" ref="N8:P8" si="6">YEAR(N2)*12+MONTH(N2)-YEAR($I$4)*12-MONTH($I$4)</f>
        <v>12</v>
      </c>
      <c r="O8" s="277">
        <f t="shared" si="6"/>
        <v>24</v>
      </c>
      <c r="P8" s="277">
        <f t="shared" si="6"/>
        <v>36</v>
      </c>
    </row>
    <row r="9" spans="1:22">
      <c r="D9" s="192" t="s">
        <v>642</v>
      </c>
    </row>
    <row r="10" spans="1:22">
      <c r="C10" s="323"/>
      <c r="D10" s="219">
        <v>5</v>
      </c>
      <c r="E10" s="219" t="str">
        <f t="shared" ref="E10:E28" si="7">$D$9&amp;D10&amp;":"&amp;D10</f>
        <v>'Property(M)'!5:5</v>
      </c>
      <c r="F10" s="219"/>
      <c r="G10" s="219"/>
      <c r="H10" s="219"/>
      <c r="I10" s="219"/>
      <c r="K10" s="144"/>
    </row>
    <row r="11" spans="1:22">
      <c r="A11" s="119">
        <f>ROW()</f>
        <v>11</v>
      </c>
      <c r="C11" s="229" t="s">
        <v>155</v>
      </c>
      <c r="D11" s="221">
        <f>'Property(M)'!A11</f>
        <v>11</v>
      </c>
      <c r="E11" s="221" t="str">
        <f t="shared" si="7"/>
        <v>'Property(M)'!11:11</v>
      </c>
      <c r="F11" s="221"/>
      <c r="G11" s="221"/>
      <c r="H11" s="221"/>
      <c r="I11" s="221"/>
      <c r="J11" s="222">
        <f t="shared" ref="J11:J18" ca="1" si="8">SUM(K11:P11)</f>
        <v>869405.36023403297</v>
      </c>
      <c r="K11" s="222">
        <f ca="1">SUMIF(INDIRECT($E$10),K$5,INDIRECT($E11))</f>
        <v>133260.81000000003</v>
      </c>
      <c r="L11" s="222">
        <f t="shared" ref="L11:P17" ca="1" si="9">SUMIF(INDIRECT($E$10),L$5,INDIRECT($E11))</f>
        <v>137713.07999999999</v>
      </c>
      <c r="M11" s="222">
        <f t="shared" ca="1" si="9"/>
        <v>142314.21637800001</v>
      </c>
      <c r="N11" s="222">
        <f ca="1">SUMIF(INDIRECT($E$10),N$5,INDIRECT($E11))</f>
        <v>147070.05046262496</v>
      </c>
      <c r="O11" s="222">
        <f t="shared" ca="1" si="9"/>
        <v>151984.27854756685</v>
      </c>
      <c r="P11" s="222">
        <f t="shared" ca="1" si="9"/>
        <v>157062.9248458411</v>
      </c>
      <c r="R11" s="144">
        <f ca="1">L11/K11-1</f>
        <v>3.3410197641752015E-2</v>
      </c>
      <c r="S11" s="144">
        <f ca="1">M11/L11-1</f>
        <v>3.3411033853865124E-2</v>
      </c>
      <c r="T11" s="144">
        <f ca="1">N11/M11-1</f>
        <v>3.3417842613790549E-2</v>
      </c>
      <c r="U11" s="144">
        <f ca="1">O11/N11-1</f>
        <v>3.3414200032458208E-2</v>
      </c>
      <c r="V11" s="144">
        <f ca="1">P11/O11-1</f>
        <v>3.3415602895300545E-2</v>
      </c>
    </row>
    <row r="12" spans="1:22">
      <c r="C12" s="229" t="s">
        <v>156</v>
      </c>
      <c r="D12" s="221">
        <f>'Property(M)'!A12</f>
        <v>12</v>
      </c>
      <c r="E12" s="221" t="str">
        <f t="shared" si="7"/>
        <v>'Property(M)'!12:12</v>
      </c>
      <c r="F12" s="221"/>
      <c r="G12" s="221"/>
      <c r="H12" s="221"/>
      <c r="I12" s="221"/>
      <c r="J12" s="222">
        <f t="shared" ca="1" si="8"/>
        <v>31087290.780920908</v>
      </c>
      <c r="K12" s="222">
        <f t="shared" ref="K12:K17" ca="1" si="10">SUMIF(INDIRECT($E$10),K$5,INDIRECT($E12))</f>
        <v>4746040.9349999996</v>
      </c>
      <c r="L12" s="222">
        <f t="shared" ca="1" si="9"/>
        <v>4912152.4799999995</v>
      </c>
      <c r="M12" s="222">
        <f t="shared" ca="1" si="9"/>
        <v>5084077.5748340003</v>
      </c>
      <c r="N12" s="222">
        <f t="shared" ca="1" si="9"/>
        <v>5262020.5526280003</v>
      </c>
      <c r="O12" s="222">
        <f t="shared" ca="1" si="9"/>
        <v>5446191.2719699806</v>
      </c>
      <c r="P12" s="222">
        <f t="shared" ca="1" si="9"/>
        <v>5636807.9664889285</v>
      </c>
      <c r="R12" s="144">
        <f t="shared" ref="R12:R14" ca="1" si="11">L12/K12-1</f>
        <v>3.500002365655952E-2</v>
      </c>
      <c r="S12" s="144">
        <f t="shared" ref="S12:S14" ca="1" si="12">M12/L12-1</f>
        <v>3.4999950741350094E-2</v>
      </c>
      <c r="T12" s="144">
        <f t="shared" ref="T12:T14" ca="1" si="13">N12/M12-1</f>
        <v>3.5000051666168819E-2</v>
      </c>
      <c r="U12" s="144">
        <f t="shared" ref="U12:U14" ca="1" si="14">O12/N12-1</f>
        <v>3.5000000000000142E-2</v>
      </c>
      <c r="V12" s="144">
        <f t="shared" ref="V12:V14" ca="1" si="15">P12/O12-1</f>
        <v>3.4999999999999698E-2</v>
      </c>
    </row>
    <row r="13" spans="1:22">
      <c r="C13" s="229" t="s">
        <v>157</v>
      </c>
      <c r="D13" s="221">
        <f>'Property(M)'!A13</f>
        <v>13</v>
      </c>
      <c r="E13" s="221" t="str">
        <f t="shared" si="7"/>
        <v>'Property(M)'!13:13</v>
      </c>
      <c r="F13" s="221"/>
      <c r="G13" s="221"/>
      <c r="H13" s="221"/>
      <c r="I13" s="221"/>
      <c r="J13" s="222">
        <f t="shared" ca="1" si="8"/>
        <v>1376016.7844349996</v>
      </c>
      <c r="K13" s="222">
        <f t="shared" ca="1" si="10"/>
        <v>227336.33999999997</v>
      </c>
      <c r="L13" s="222">
        <f t="shared" ca="1" si="9"/>
        <v>234086.06999999998</v>
      </c>
      <c r="M13" s="222">
        <f t="shared" ca="1" si="9"/>
        <v>241291.36500000002</v>
      </c>
      <c r="N13" s="222">
        <f t="shared" ca="1" si="9"/>
        <v>221014.19649824995</v>
      </c>
      <c r="O13" s="222">
        <f t="shared" ca="1" si="9"/>
        <v>243919.81167274996</v>
      </c>
      <c r="P13" s="222">
        <f t="shared" ca="1" si="9"/>
        <v>208369.00126399993</v>
      </c>
      <c r="R13" s="144">
        <f t="shared" ca="1" si="11"/>
        <v>2.9690501747323017E-2</v>
      </c>
      <c r="S13" s="144">
        <f t="shared" ca="1" si="12"/>
        <v>3.0780537261358765E-2</v>
      </c>
      <c r="T13" s="144">
        <f t="shared" ca="1" si="13"/>
        <v>-8.4036030471915435E-2</v>
      </c>
      <c r="U13" s="144">
        <f t="shared" ca="1" si="14"/>
        <v>0.10363866003820887</v>
      </c>
      <c r="V13" s="144">
        <f t="shared" ca="1" si="15"/>
        <v>-0.14574794136216396</v>
      </c>
    </row>
    <row r="14" spans="1:22">
      <c r="C14" s="229" t="s">
        <v>158</v>
      </c>
      <c r="D14" s="221">
        <f>'Property(M)'!A14</f>
        <v>14</v>
      </c>
      <c r="E14" s="221" t="str">
        <f t="shared" si="7"/>
        <v>'Property(M)'!14:14</v>
      </c>
      <c r="F14" s="221"/>
      <c r="G14" s="221"/>
      <c r="H14" s="221"/>
      <c r="I14" s="221"/>
      <c r="J14" s="222">
        <f t="shared" ca="1" si="8"/>
        <v>313200</v>
      </c>
      <c r="K14" s="222">
        <f t="shared" ca="1" si="10"/>
        <v>52200</v>
      </c>
      <c r="L14" s="222">
        <f t="shared" ca="1" si="9"/>
        <v>52200</v>
      </c>
      <c r="M14" s="222">
        <f t="shared" ca="1" si="9"/>
        <v>52200</v>
      </c>
      <c r="N14" s="222">
        <f t="shared" ca="1" si="9"/>
        <v>52200</v>
      </c>
      <c r="O14" s="222">
        <f t="shared" ca="1" si="9"/>
        <v>52200</v>
      </c>
      <c r="P14" s="222">
        <f t="shared" ca="1" si="9"/>
        <v>52200</v>
      </c>
      <c r="R14" s="144">
        <f t="shared" ca="1" si="11"/>
        <v>0</v>
      </c>
      <c r="S14" s="144">
        <f t="shared" ca="1" si="12"/>
        <v>0</v>
      </c>
      <c r="T14" s="144">
        <f t="shared" ca="1" si="13"/>
        <v>0</v>
      </c>
      <c r="U14" s="144">
        <f t="shared" ca="1" si="14"/>
        <v>0</v>
      </c>
      <c r="V14" s="144">
        <f t="shared" ca="1" si="15"/>
        <v>0</v>
      </c>
    </row>
    <row r="15" spans="1:22">
      <c r="C15" s="778" t="s">
        <v>159</v>
      </c>
      <c r="D15" s="320">
        <f>'Property(M)'!A15</f>
        <v>15</v>
      </c>
      <c r="E15" s="320" t="str">
        <f t="shared" si="7"/>
        <v>'Property(M)'!15:15</v>
      </c>
      <c r="F15" s="320"/>
      <c r="G15" s="320"/>
      <c r="H15" s="320"/>
      <c r="I15" s="320"/>
      <c r="J15" s="321">
        <f t="shared" ca="1" si="8"/>
        <v>-128531.35406325001</v>
      </c>
      <c r="K15" s="222">
        <f t="shared" ca="1" si="10"/>
        <v>0</v>
      </c>
      <c r="L15" s="222">
        <f t="shared" ca="1" si="9"/>
        <v>0</v>
      </c>
      <c r="M15" s="222">
        <f t="shared" ca="1" si="9"/>
        <v>0</v>
      </c>
      <c r="N15" s="222">
        <f t="shared" ca="1" si="9"/>
        <v>-10282.634009250003</v>
      </c>
      <c r="O15" s="222">
        <f t="shared" ca="1" si="9"/>
        <v>-38849.527149000001</v>
      </c>
      <c r="P15" s="222">
        <f t="shared" ca="1" si="9"/>
        <v>-79399.192905000004</v>
      </c>
      <c r="R15" s="144"/>
      <c r="S15" s="144"/>
      <c r="T15" s="144"/>
      <c r="U15" s="144"/>
      <c r="V15" s="144"/>
    </row>
    <row r="16" spans="1:22">
      <c r="A16" s="119">
        <f>ROW()</f>
        <v>16</v>
      </c>
      <c r="C16" s="318" t="s">
        <v>154</v>
      </c>
      <c r="D16" s="316"/>
      <c r="E16" s="316"/>
      <c r="F16" s="316"/>
      <c r="G16" s="316"/>
      <c r="H16" s="316"/>
      <c r="I16" s="316"/>
      <c r="J16" s="317">
        <f t="shared" ca="1" si="8"/>
        <v>33517381.571526691</v>
      </c>
      <c r="K16" s="317">
        <f t="shared" ref="K16:O16" ca="1" si="16">SUM(K11:K15)</f>
        <v>5158838.084999999</v>
      </c>
      <c r="L16" s="317">
        <f t="shared" ca="1" si="16"/>
        <v>5336151.63</v>
      </c>
      <c r="M16" s="317">
        <f t="shared" ca="1" si="16"/>
        <v>5519883.1562120002</v>
      </c>
      <c r="N16" s="317">
        <f t="shared" ca="1" si="16"/>
        <v>5672022.1655796245</v>
      </c>
      <c r="O16" s="317">
        <f t="shared" ca="1" si="16"/>
        <v>5855445.8350412976</v>
      </c>
      <c r="P16" s="317">
        <f ca="1">SUM(P11:P15)</f>
        <v>5975040.6996937692</v>
      </c>
    </row>
    <row r="17" spans="1:22">
      <c r="A17" s="119">
        <f>ROW()</f>
        <v>17</v>
      </c>
      <c r="C17" s="779" t="s">
        <v>129</v>
      </c>
      <c r="D17" s="224">
        <f>'Property(M)'!A17</f>
        <v>17</v>
      </c>
      <c r="E17" s="224" t="str">
        <f t="shared" si="7"/>
        <v>'Property(M)'!17:17</v>
      </c>
      <c r="F17" s="224"/>
      <c r="G17" s="224"/>
      <c r="H17" s="224"/>
      <c r="I17" s="224"/>
      <c r="J17" s="225">
        <f t="shared" ca="1" si="8"/>
        <v>443395.29512377863</v>
      </c>
      <c r="K17" s="222">
        <f t="shared" ca="1" si="10"/>
        <v>77536.487083333326</v>
      </c>
      <c r="L17" s="222">
        <f t="shared" ca="1" si="9"/>
        <v>72714.31</v>
      </c>
      <c r="M17" s="222">
        <f t="shared" ca="1" si="9"/>
        <v>63225.018070000006</v>
      </c>
      <c r="N17" s="222">
        <f t="shared" ca="1" si="9"/>
        <v>71101.288534749998</v>
      </c>
      <c r="O17" s="222">
        <f t="shared" ca="1" si="9"/>
        <v>77359.255811249997</v>
      </c>
      <c r="P17" s="222">
        <f t="shared" ca="1" si="9"/>
        <v>81458.935624445337</v>
      </c>
      <c r="R17" s="144">
        <f t="shared" ref="R17" ca="1" si="17">L17/K17-1</f>
        <v>-6.2192359555194088E-2</v>
      </c>
      <c r="S17" s="144">
        <f t="shared" ref="S17" ca="1" si="18">M17/L17-1</f>
        <v>-0.13050102421380316</v>
      </c>
      <c r="T17" s="144">
        <f t="shared" ref="T17" ca="1" si="19">N17/M17-1</f>
        <v>0.12457521887980683</v>
      </c>
      <c r="U17" s="144">
        <f t="shared" ref="U17" ca="1" si="20">O17/N17-1</f>
        <v>8.8014822311433649E-2</v>
      </c>
      <c r="V17" s="144">
        <f t="shared" ref="V17" ca="1" si="21">P17/O17-1</f>
        <v>5.2995336759678935E-2</v>
      </c>
    </row>
    <row r="18" spans="1:22">
      <c r="C18" s="318" t="s">
        <v>153</v>
      </c>
      <c r="D18" s="316"/>
      <c r="E18" s="316"/>
      <c r="F18" s="316"/>
      <c r="G18" s="316"/>
      <c r="H18" s="316"/>
      <c r="I18" s="316"/>
      <c r="J18" s="317">
        <f t="shared" ca="1" si="8"/>
        <v>33960776.86665047</v>
      </c>
      <c r="K18" s="317">
        <f t="shared" ref="K18:O18" ca="1" si="22">SUM(K16:K17)</f>
        <v>5236374.5720833326</v>
      </c>
      <c r="L18" s="317">
        <f t="shared" ca="1" si="22"/>
        <v>5408865.9399999995</v>
      </c>
      <c r="M18" s="317">
        <f t="shared" ca="1" si="22"/>
        <v>5583108.1742820004</v>
      </c>
      <c r="N18" s="317">
        <f t="shared" ca="1" si="22"/>
        <v>5743123.4541143747</v>
      </c>
      <c r="O18" s="317">
        <f t="shared" ca="1" si="22"/>
        <v>5932805.0908525474</v>
      </c>
      <c r="P18" s="317">
        <f ca="1">SUM(P16:P17)</f>
        <v>6056499.635318215</v>
      </c>
    </row>
    <row r="19" spans="1:22">
      <c r="C19" s="226"/>
      <c r="D19" s="227"/>
      <c r="E19" s="227"/>
      <c r="F19" s="219"/>
      <c r="G19" s="219"/>
      <c r="H19" s="219"/>
      <c r="I19" s="219"/>
      <c r="J19" s="202"/>
      <c r="K19" s="228"/>
      <c r="L19" s="228"/>
      <c r="M19" s="228"/>
      <c r="N19" s="228"/>
      <c r="O19" s="228"/>
      <c r="P19" s="228"/>
    </row>
    <row r="20" spans="1:22">
      <c r="C20" s="230" t="str">
        <f>'Property(M)'!C20</f>
        <v xml:space="preserve">  Statutory Expenses</v>
      </c>
      <c r="D20" s="221">
        <f>'Property(M)'!A20</f>
        <v>20</v>
      </c>
      <c r="E20" s="221" t="str">
        <f t="shared" si="7"/>
        <v>'Property(M)'!20:20</v>
      </c>
      <c r="F20" s="221"/>
      <c r="G20" s="221"/>
      <c r="H20" s="221"/>
      <c r="I20" s="221"/>
      <c r="J20" s="222">
        <f ca="1">SUM(K20:P20)</f>
        <v>857151.11663544644</v>
      </c>
      <c r="K20" s="222">
        <f t="shared" ref="K20:P30" ca="1" si="23">SUMIF(INDIRECT($E$10),K$5,INDIRECT($E20))</f>
        <v>133538.51333333331</v>
      </c>
      <c r="L20" s="222">
        <f t="shared" ca="1" si="23"/>
        <v>139303.78</v>
      </c>
      <c r="M20" s="222">
        <f t="shared" ca="1" si="23"/>
        <v>132982.23000000001</v>
      </c>
      <c r="N20" s="222">
        <f t="shared" ca="1" si="23"/>
        <v>143164.66331475004</v>
      </c>
      <c r="O20" s="222">
        <f t="shared" ca="1" si="23"/>
        <v>150322.89184550001</v>
      </c>
      <c r="P20" s="222">
        <f t="shared" ca="1" si="23"/>
        <v>157839.03814186313</v>
      </c>
      <c r="R20" s="144">
        <f t="shared" ref="R20:R32" ca="1" si="24">IFERROR(L20/K20-1,)</f>
        <v>4.3173063131799916E-2</v>
      </c>
      <c r="S20" s="144">
        <f t="shared" ref="S20:S32" ca="1" si="25">IFERROR(M20/L20-1,)</f>
        <v>-4.5379601328836783E-2</v>
      </c>
      <c r="T20" s="144">
        <f t="shared" ref="T20:T32" ca="1" si="26">IFERROR(N20/M20-1,)</f>
        <v>7.6569879409828179E-2</v>
      </c>
      <c r="U20" s="144">
        <f t="shared" ref="U20:U32" ca="1" si="27">IFERROR(O20/N20-1,)</f>
        <v>4.999996762477954E-2</v>
      </c>
      <c r="V20" s="144">
        <f t="shared" ref="V20:V32" ca="1" si="28">IFERROR(P20/O20-1,)</f>
        <v>5.0000011336185146E-2</v>
      </c>
    </row>
    <row r="21" spans="1:22">
      <c r="C21" s="230" t="str">
        <f>'Property(M)'!C21</f>
        <v xml:space="preserve">   - Municipal / Council Rates</v>
      </c>
      <c r="D21" s="221">
        <f>'Property(M)'!A21</f>
        <v>21</v>
      </c>
      <c r="E21" s="221" t="str">
        <f t="shared" ref="E21:E25" si="29">$D$9&amp;D21&amp;":"&amp;D21</f>
        <v>'Property(M)'!21:21</v>
      </c>
      <c r="F21" s="221"/>
      <c r="G21" s="221"/>
      <c r="H21" s="221"/>
      <c r="I21" s="221"/>
      <c r="J21" s="222">
        <f t="shared" ref="J21:J24" ca="1" si="30">SUM(K21:P21)</f>
        <v>384946.90339862939</v>
      </c>
      <c r="K21" s="222">
        <f t="shared" ca="1" si="23"/>
        <v>58744.420000000006</v>
      </c>
      <c r="L21" s="222">
        <f t="shared" ca="1" si="23"/>
        <v>60317.440000000002</v>
      </c>
      <c r="M21" s="222">
        <f t="shared" ca="1" si="23"/>
        <v>61909.600000000006</v>
      </c>
      <c r="N21" s="222">
        <f t="shared" ca="1" si="23"/>
        <v>64702.758738250006</v>
      </c>
      <c r="O21" s="222">
        <f t="shared" ca="1" si="23"/>
        <v>67937.894580249995</v>
      </c>
      <c r="P21" s="222">
        <f t="shared" ca="1" si="23"/>
        <v>71334.790080129373</v>
      </c>
      <c r="R21" s="144">
        <f t="shared" ca="1" si="24"/>
        <v>2.6777351789327275E-2</v>
      </c>
      <c r="S21" s="144">
        <f t="shared" ca="1" si="25"/>
        <v>2.639634573350591E-2</v>
      </c>
      <c r="T21" s="144">
        <f t="shared" ca="1" si="26"/>
        <v>4.5116730494947577E-2</v>
      </c>
      <c r="U21" s="144">
        <f t="shared" ca="1" si="27"/>
        <v>4.9999967622516461E-2</v>
      </c>
      <c r="V21" s="144">
        <f t="shared" ca="1" si="28"/>
        <v>5.0000011346640783E-2</v>
      </c>
    </row>
    <row r="22" spans="1:22">
      <c r="C22" s="230" t="str">
        <f>'Property(M)'!C22</f>
        <v xml:space="preserve">   - Water Rates</v>
      </c>
      <c r="D22" s="221">
        <f>'Property(M)'!A22</f>
        <v>22</v>
      </c>
      <c r="E22" s="221" t="str">
        <f t="shared" si="29"/>
        <v>'Property(M)'!22:22</v>
      </c>
      <c r="F22" s="221"/>
      <c r="G22" s="221"/>
      <c r="H22" s="221"/>
      <c r="I22" s="221"/>
      <c r="J22" s="222">
        <f t="shared" ca="1" si="30"/>
        <v>24051.382223847082</v>
      </c>
      <c r="K22" s="222">
        <f t="shared" ca="1" si="23"/>
        <v>4550.4308333333329</v>
      </c>
      <c r="L22" s="222">
        <f t="shared" ca="1" si="23"/>
        <v>3901.3899999999994</v>
      </c>
      <c r="M22" s="222">
        <f t="shared" ca="1" si="23"/>
        <v>3399.33</v>
      </c>
      <c r="N22" s="222">
        <f t="shared" ca="1" si="23"/>
        <v>3870.0179545000001</v>
      </c>
      <c r="O22" s="222">
        <f t="shared" ca="1" si="23"/>
        <v>4063.5187269999997</v>
      </c>
      <c r="P22" s="222">
        <f t="shared" ca="1" si="23"/>
        <v>4266.6947090137501</v>
      </c>
      <c r="R22" s="144">
        <f t="shared" ca="1" si="24"/>
        <v>-0.14263283128685433</v>
      </c>
      <c r="S22" s="144">
        <f t="shared" ca="1" si="25"/>
        <v>-0.12868746779993789</v>
      </c>
      <c r="T22" s="144">
        <f t="shared" ca="1" si="26"/>
        <v>0.1384649194105898</v>
      </c>
      <c r="U22" s="144">
        <f t="shared" ca="1" si="27"/>
        <v>4.9999967642268883E-2</v>
      </c>
      <c r="V22" s="144">
        <f t="shared" ca="1" si="28"/>
        <v>5.0000011237489872E-2</v>
      </c>
    </row>
    <row r="23" spans="1:22">
      <c r="C23" s="230" t="str">
        <f>'Property(M)'!C23</f>
        <v xml:space="preserve">   - Land Tax</v>
      </c>
      <c r="D23" s="221">
        <f>'Property(M)'!A23</f>
        <v>23</v>
      </c>
      <c r="E23" s="221" t="str">
        <f t="shared" si="29"/>
        <v>'Property(M)'!23:23</v>
      </c>
      <c r="F23" s="221"/>
      <c r="G23" s="221"/>
      <c r="H23" s="221"/>
      <c r="I23" s="221"/>
      <c r="J23" s="222">
        <f t="shared" ca="1" si="30"/>
        <v>351346.37026119523</v>
      </c>
      <c r="K23" s="222">
        <f t="shared" ca="1" si="23"/>
        <v>53741.484583333338</v>
      </c>
      <c r="L23" s="222">
        <f t="shared" ca="1" si="23"/>
        <v>55202.54</v>
      </c>
      <c r="M23" s="222">
        <f t="shared" ca="1" si="23"/>
        <v>56349.200000000004</v>
      </c>
      <c r="N23" s="222">
        <f t="shared" ca="1" si="23"/>
        <v>59017.652305249983</v>
      </c>
      <c r="O23" s="222">
        <f t="shared" ca="1" si="23"/>
        <v>61968.533009749997</v>
      </c>
      <c r="P23" s="222">
        <f t="shared" ca="1" si="23"/>
        <v>65066.960362861879</v>
      </c>
      <c r="R23" s="144">
        <f t="shared" ca="1" si="24"/>
        <v>2.7186733451717293E-2</v>
      </c>
      <c r="S23" s="144">
        <f t="shared" ca="1" si="25"/>
        <v>2.0771870279882032E-2</v>
      </c>
      <c r="T23" s="144">
        <f t="shared" ca="1" si="26"/>
        <v>4.7355637795212235E-2</v>
      </c>
      <c r="U23" s="144">
        <f t="shared" ca="1" si="27"/>
        <v>4.9999967623881814E-2</v>
      </c>
      <c r="V23" s="144">
        <f t="shared" ca="1" si="28"/>
        <v>5.0000011338405814E-2</v>
      </c>
    </row>
    <row r="24" spans="1:22">
      <c r="C24" s="230" t="str">
        <f>'Property(M)'!C24</f>
        <v xml:space="preserve">   - Water Usage</v>
      </c>
      <c r="D24" s="221">
        <f>'Property(M)'!A24</f>
        <v>24</v>
      </c>
      <c r="E24" s="221" t="str">
        <f t="shared" si="29"/>
        <v>'Property(M)'!24:24</v>
      </c>
      <c r="F24" s="221"/>
      <c r="G24" s="221"/>
      <c r="H24" s="221"/>
      <c r="I24" s="221"/>
      <c r="J24" s="222">
        <f t="shared" ca="1" si="30"/>
        <v>96806.460751774794</v>
      </c>
      <c r="K24" s="222">
        <f t="shared" ca="1" si="23"/>
        <v>16502.177916666667</v>
      </c>
      <c r="L24" s="222">
        <f t="shared" ca="1" si="23"/>
        <v>19882.41</v>
      </c>
      <c r="M24" s="222">
        <f t="shared" ca="1" si="23"/>
        <v>11324.1</v>
      </c>
      <c r="N24" s="222">
        <f t="shared" ca="1" si="23"/>
        <v>15574.234316749998</v>
      </c>
      <c r="O24" s="222">
        <f t="shared" ca="1" si="23"/>
        <v>16352.9455285</v>
      </c>
      <c r="P24" s="222">
        <f t="shared" ca="1" si="23"/>
        <v>17170.592989858127</v>
      </c>
      <c r="R24" s="144">
        <f t="shared" ca="1" si="24"/>
        <v>0.20483551325182403</v>
      </c>
      <c r="S24" s="144">
        <f t="shared" ca="1" si="25"/>
        <v>-0.43044630907420178</v>
      </c>
      <c r="T24" s="144">
        <f t="shared" ca="1" si="26"/>
        <v>0.3753176249547423</v>
      </c>
      <c r="U24" s="144">
        <f t="shared" ca="1" si="27"/>
        <v>4.9999967633240328E-2</v>
      </c>
      <c r="V24" s="144">
        <f t="shared" ca="1" si="28"/>
        <v>5.0000011308857228E-2</v>
      </c>
    </row>
    <row r="25" spans="1:22">
      <c r="C25" s="230" t="s">
        <v>138</v>
      </c>
      <c r="D25" s="221">
        <f>'Property(M)'!A25</f>
        <v>25</v>
      </c>
      <c r="E25" s="221" t="str">
        <f t="shared" si="29"/>
        <v>'Property(M)'!25:25</v>
      </c>
      <c r="F25" s="221"/>
      <c r="G25" s="221"/>
      <c r="H25" s="221"/>
      <c r="I25" s="221"/>
      <c r="J25" s="222">
        <f ca="1">SUM(K25:P25)</f>
        <v>176117.67966618505</v>
      </c>
      <c r="K25" s="222">
        <f t="shared" ca="1" si="23"/>
        <v>40122.720000000001</v>
      </c>
      <c r="L25" s="222">
        <f t="shared" ca="1" si="23"/>
        <v>25646.39</v>
      </c>
      <c r="M25" s="222">
        <f t="shared" ca="1" si="23"/>
        <v>23624.664138500004</v>
      </c>
      <c r="N25" s="222">
        <f t="shared" ca="1" si="23"/>
        <v>26200.575037000002</v>
      </c>
      <c r="O25" s="222">
        <f t="shared" ca="1" si="23"/>
        <v>28820.633025500007</v>
      </c>
      <c r="P25" s="222">
        <f t="shared" ca="1" si="23"/>
        <v>31702.697465185014</v>
      </c>
      <c r="R25" s="144">
        <f t="shared" ca="1" si="24"/>
        <v>-0.36080131157608464</v>
      </c>
      <c r="S25" s="144">
        <f t="shared" ca="1" si="25"/>
        <v>-7.8830816403400061E-2</v>
      </c>
      <c r="T25" s="144">
        <f t="shared" ca="1" si="26"/>
        <v>0.10903481562314177</v>
      </c>
      <c r="U25" s="144">
        <f t="shared" ca="1" si="27"/>
        <v>0.10000001850341089</v>
      </c>
      <c r="V25" s="144">
        <f t="shared" ca="1" si="28"/>
        <v>0.10000003945558755</v>
      </c>
    </row>
    <row r="26" spans="1:22">
      <c r="C26" s="230" t="s">
        <v>142</v>
      </c>
      <c r="D26" s="221">
        <f>'Property(M)'!A26</f>
        <v>26</v>
      </c>
      <c r="E26" s="221" t="str">
        <f t="shared" si="7"/>
        <v>'Property(M)'!26:26</v>
      </c>
      <c r="F26" s="221"/>
      <c r="G26" s="221"/>
      <c r="H26" s="221"/>
      <c r="I26" s="221"/>
      <c r="J26" s="222">
        <f ca="1">SUM(K26:P26)</f>
        <v>3868721.0834093718</v>
      </c>
      <c r="K26" s="222">
        <f t="shared" ca="1" si="23"/>
        <v>628282.82624999993</v>
      </c>
      <c r="L26" s="222">
        <f t="shared" ca="1" si="23"/>
        <v>606359.4</v>
      </c>
      <c r="M26" s="222">
        <f t="shared" ca="1" si="23"/>
        <v>632076.23249999993</v>
      </c>
      <c r="N26" s="222">
        <f t="shared" ca="1" si="23"/>
        <v>647577.3524999998</v>
      </c>
      <c r="O26" s="222">
        <f t="shared" ca="1" si="23"/>
        <v>667085.32352075004</v>
      </c>
      <c r="P26" s="222">
        <f t="shared" ca="1" si="23"/>
        <v>687339.94863862265</v>
      </c>
      <c r="R26" s="144">
        <f t="shared" ca="1" si="24"/>
        <v>-3.4894199449717833E-2</v>
      </c>
      <c r="S26" s="144">
        <f t="shared" ca="1" si="25"/>
        <v>4.2411864151854273E-2</v>
      </c>
      <c r="T26" s="144">
        <f t="shared" ca="1" si="26"/>
        <v>2.452413048136548E-2</v>
      </c>
      <c r="U26" s="144">
        <f t="shared" ca="1" si="27"/>
        <v>3.0124541794797066E-2</v>
      </c>
      <c r="V26" s="144">
        <f t="shared" ca="1" si="28"/>
        <v>3.0362870241204654E-2</v>
      </c>
    </row>
    <row r="27" spans="1:22">
      <c r="C27" s="230" t="s">
        <v>143</v>
      </c>
      <c r="D27" s="221">
        <f>'Property(M)'!A27</f>
        <v>27</v>
      </c>
      <c r="E27" s="221" t="str">
        <f t="shared" si="7"/>
        <v>'Property(M)'!27:27</v>
      </c>
      <c r="F27" s="221"/>
      <c r="G27" s="221"/>
      <c r="H27" s="221"/>
      <c r="I27" s="221"/>
      <c r="J27" s="222">
        <f ca="1">SUM(K27:P27)</f>
        <v>270033.74603709241</v>
      </c>
      <c r="K27" s="222">
        <f t="shared" ca="1" si="23"/>
        <v>39703.913750000007</v>
      </c>
      <c r="L27" s="222">
        <f t="shared" ca="1" si="23"/>
        <v>42133.780000000006</v>
      </c>
      <c r="M27" s="222">
        <f t="shared" ca="1" si="23"/>
        <v>47519.037499999999</v>
      </c>
      <c r="N27" s="222">
        <f t="shared" ca="1" si="23"/>
        <v>45074.422112249995</v>
      </c>
      <c r="O27" s="222">
        <f t="shared" ca="1" si="23"/>
        <v>46950.948639000002</v>
      </c>
      <c r="P27" s="222">
        <f t="shared" ca="1" si="23"/>
        <v>48651.644035842393</v>
      </c>
      <c r="R27" s="144">
        <f t="shared" ca="1" si="24"/>
        <v>6.1199665738242315E-2</v>
      </c>
      <c r="S27" s="144">
        <f t="shared" ca="1" si="25"/>
        <v>0.12781330087165199</v>
      </c>
      <c r="T27" s="144">
        <f t="shared" ca="1" si="26"/>
        <v>-5.1444968508674083E-2</v>
      </c>
      <c r="U27" s="144">
        <f t="shared" ca="1" si="27"/>
        <v>4.1631737886219433E-2</v>
      </c>
      <c r="V27" s="144">
        <f t="shared" ca="1" si="28"/>
        <v>3.6222812235783053E-2</v>
      </c>
    </row>
    <row r="28" spans="1:22">
      <c r="C28" s="230" t="s">
        <v>147</v>
      </c>
      <c r="D28" s="221">
        <f>'Property(M)'!A28</f>
        <v>28</v>
      </c>
      <c r="E28" s="221" t="str">
        <f t="shared" si="7"/>
        <v>'Property(M)'!28:28</v>
      </c>
      <c r="F28" s="221"/>
      <c r="G28" s="221"/>
      <c r="H28" s="221"/>
      <c r="I28" s="221"/>
      <c r="J28" s="222">
        <f>'3yr forecast'!C46</f>
        <v>852.5000015833333</v>
      </c>
      <c r="K28" s="222">
        <f t="shared" ca="1" si="23"/>
        <v>2527.2900000000004</v>
      </c>
      <c r="L28" s="222">
        <f t="shared" ca="1" si="23"/>
        <v>5208.34</v>
      </c>
      <c r="M28" s="222">
        <f t="shared" ca="1" si="23"/>
        <v>22309.300004749999</v>
      </c>
      <c r="N28" s="222">
        <f t="shared" ca="1" si="23"/>
        <v>10288.822650749997</v>
      </c>
      <c r="O28" s="222">
        <f t="shared" ca="1" si="23"/>
        <v>10530.698596999999</v>
      </c>
      <c r="P28" s="222">
        <f t="shared" ca="1" si="23"/>
        <v>10793.966001902187</v>
      </c>
      <c r="R28" s="144">
        <f t="shared" ca="1" si="24"/>
        <v>1.0608398719577092</v>
      </c>
      <c r="S28" s="144">
        <f t="shared" ca="1" si="25"/>
        <v>3.2833801181854483</v>
      </c>
      <c r="T28" s="144">
        <f t="shared" ca="1" si="26"/>
        <v>-0.53881015322940007</v>
      </c>
      <c r="U28" s="144">
        <f t="shared" ca="1" si="27"/>
        <v>2.3508612643096782E-2</v>
      </c>
      <c r="V28" s="144">
        <f t="shared" ca="1" si="28"/>
        <v>2.4999994300206163E-2</v>
      </c>
    </row>
    <row r="29" spans="1:22">
      <c r="C29" s="230" t="s">
        <v>148</v>
      </c>
      <c r="D29" s="221">
        <f>'Property(M)'!A29</f>
        <v>29</v>
      </c>
      <c r="E29" s="221" t="str">
        <f t="shared" ref="E29:E37" si="31">$D$9&amp;D29&amp;":"&amp;D29</f>
        <v>'Property(M)'!29:29</v>
      </c>
      <c r="F29" s="221"/>
      <c r="G29" s="221"/>
      <c r="H29" s="221"/>
      <c r="I29" s="221"/>
      <c r="J29" s="222">
        <f>'3yr forecast'!C47</f>
        <v>80.08</v>
      </c>
      <c r="K29" s="222">
        <f t="shared" ca="1" si="23"/>
        <v>0</v>
      </c>
      <c r="L29" s="222">
        <f t="shared" ca="1" si="23"/>
        <v>0</v>
      </c>
      <c r="M29" s="222">
        <f t="shared" ca="1" si="23"/>
        <v>0</v>
      </c>
      <c r="N29" s="222">
        <f t="shared" ca="1" si="23"/>
        <v>972.97198850000007</v>
      </c>
      <c r="O29" s="222">
        <f t="shared" ca="1" si="23"/>
        <v>1021.6205562500002</v>
      </c>
      <c r="P29" s="222">
        <f t="shared" ca="1" si="23"/>
        <v>1072.70159550375</v>
      </c>
      <c r="R29" s="144">
        <f t="shared" ca="1" si="24"/>
        <v>0</v>
      </c>
      <c r="S29" s="144">
        <f t="shared" ca="1" si="25"/>
        <v>0</v>
      </c>
      <c r="T29" s="144">
        <f t="shared" ca="1" si="26"/>
        <v>0</v>
      </c>
      <c r="U29" s="144">
        <f t="shared" ca="1" si="27"/>
        <v>4.9999967445106153E-2</v>
      </c>
      <c r="V29" s="144">
        <f t="shared" ca="1" si="28"/>
        <v>5.0000011199118566E-2</v>
      </c>
    </row>
    <row r="30" spans="1:22">
      <c r="C30" s="230" t="s">
        <v>149</v>
      </c>
      <c r="D30" s="221">
        <f>'Property(M)'!A30</f>
        <v>30</v>
      </c>
      <c r="E30" s="221" t="str">
        <f t="shared" si="31"/>
        <v>'Property(M)'!30:30</v>
      </c>
      <c r="F30" s="221"/>
      <c r="G30" s="221"/>
      <c r="H30" s="221"/>
      <c r="I30" s="221"/>
      <c r="J30" s="222">
        <f>'3yr forecast'!C48</f>
        <v>506.65943791666672</v>
      </c>
      <c r="K30" s="222">
        <f t="shared" ca="1" si="23"/>
        <v>0</v>
      </c>
      <c r="L30" s="222">
        <f t="shared" ca="1" si="23"/>
        <v>0</v>
      </c>
      <c r="M30" s="222">
        <f t="shared" ca="1" si="23"/>
        <v>0</v>
      </c>
      <c r="N30" s="222">
        <f t="shared" ca="1" si="23"/>
        <v>4559.9349412500005</v>
      </c>
      <c r="O30" s="222">
        <f t="shared" ca="1" si="23"/>
        <v>4763.9515742499998</v>
      </c>
      <c r="P30" s="222">
        <f t="shared" ca="1" si="23"/>
        <v>19055.806296999999</v>
      </c>
      <c r="R30" s="144">
        <f t="shared" ca="1" si="24"/>
        <v>0</v>
      </c>
      <c r="S30" s="144">
        <f t="shared" ca="1" si="25"/>
        <v>0</v>
      </c>
      <c r="T30" s="144">
        <f t="shared" ca="1" si="26"/>
        <v>0</v>
      </c>
      <c r="U30" s="144">
        <f t="shared" ca="1" si="27"/>
        <v>4.4741128026724253E-2</v>
      </c>
      <c r="V30" s="144">
        <f t="shared" ca="1" si="28"/>
        <v>3</v>
      </c>
    </row>
    <row r="31" spans="1:22">
      <c r="C31" s="318" t="s">
        <v>1</v>
      </c>
      <c r="D31" s="316">
        <f>'Property(M)'!A31</f>
        <v>31</v>
      </c>
      <c r="E31" s="316" t="str">
        <f t="shared" si="31"/>
        <v>'Property(M)'!31:31</v>
      </c>
      <c r="F31" s="316"/>
      <c r="G31" s="316"/>
      <c r="H31" s="316"/>
      <c r="I31" s="316"/>
      <c r="J31" s="317">
        <f ca="1">SUM(J20:J30)</f>
        <v>6030613.9818230411</v>
      </c>
      <c r="K31" s="317">
        <f ca="1">SUM(K20,K25:K30)</f>
        <v>844175.26333333319</v>
      </c>
      <c r="L31" s="317">
        <f ca="1">SUM(L20,L25:L30)</f>
        <v>818651.69000000006</v>
      </c>
      <c r="M31" s="317">
        <f ca="1">SUM(M20,M25:M30)</f>
        <v>858511.4641432499</v>
      </c>
      <c r="N31" s="317">
        <f t="shared" ref="N31:P31" ca="1" si="32">SUM(N20,N25:N30)</f>
        <v>877838.74254449992</v>
      </c>
      <c r="O31" s="317">
        <f t="shared" ca="1" si="32"/>
        <v>909496.06775825005</v>
      </c>
      <c r="P31" s="317">
        <f t="shared" ca="1" si="32"/>
        <v>956455.80217591918</v>
      </c>
      <c r="R31" s="144">
        <f t="shared" ca="1" si="24"/>
        <v>-3.0234922109124707E-2</v>
      </c>
      <c r="S31" s="144">
        <f t="shared" ca="1" si="25"/>
        <v>4.8689539922955216E-2</v>
      </c>
      <c r="T31" s="144">
        <f t="shared" ca="1" si="26"/>
        <v>2.2512545502857861E-2</v>
      </c>
      <c r="U31" s="144">
        <f t="shared" ca="1" si="27"/>
        <v>3.6062802516539927E-2</v>
      </c>
      <c r="V31" s="144">
        <f t="shared" ca="1" si="28"/>
        <v>5.1632696481488605E-2</v>
      </c>
    </row>
    <row r="32" spans="1:22">
      <c r="C32" s="313" t="s">
        <v>2</v>
      </c>
      <c r="D32" s="313">
        <f>'Property(M)'!A32</f>
        <v>32</v>
      </c>
      <c r="E32" s="313" t="str">
        <f t="shared" si="31"/>
        <v>'Property(M)'!32:32</v>
      </c>
      <c r="F32" s="313"/>
      <c r="G32" s="313"/>
      <c r="H32" s="313"/>
      <c r="I32" s="313"/>
      <c r="J32" s="314">
        <f ca="1">SUM(K32:P32)</f>
        <v>28695647.836695217</v>
      </c>
      <c r="K32" s="314">
        <f t="shared" ref="K32:P32" ca="1" si="33">K18-K31</f>
        <v>4392199.3087499999</v>
      </c>
      <c r="L32" s="314">
        <f t="shared" ca="1" si="33"/>
        <v>4590214.2499999991</v>
      </c>
      <c r="M32" s="314">
        <f t="shared" ca="1" si="33"/>
        <v>4724596.7101387503</v>
      </c>
      <c r="N32" s="314">
        <f t="shared" ca="1" si="33"/>
        <v>4865284.7115698745</v>
      </c>
      <c r="O32" s="314">
        <f t="shared" ca="1" si="33"/>
        <v>5023309.0230942974</v>
      </c>
      <c r="P32" s="314">
        <f t="shared" ca="1" si="33"/>
        <v>5100043.8331422955</v>
      </c>
      <c r="R32" s="144">
        <f t="shared" ca="1" si="24"/>
        <v>4.5083323258013452E-2</v>
      </c>
      <c r="S32" s="144">
        <f t="shared" ca="1" si="25"/>
        <v>2.9275857905489033E-2</v>
      </c>
      <c r="T32" s="144">
        <f t="shared" ca="1" si="26"/>
        <v>2.977778000166964E-2</v>
      </c>
      <c r="U32" s="144">
        <f t="shared" ca="1" si="27"/>
        <v>3.247997206589659E-2</v>
      </c>
      <c r="V32" s="144">
        <f t="shared" ca="1" si="28"/>
        <v>1.5275749450255782E-2</v>
      </c>
    </row>
    <row r="33" spans="2:25">
      <c r="C33" s="230" t="s">
        <v>948</v>
      </c>
      <c r="D33" s="221">
        <f>'Property(M)'!A33</f>
        <v>33</v>
      </c>
      <c r="E33" s="221" t="str">
        <f t="shared" ref="E33" si="34">$D$9&amp;D33&amp;":"&amp;D33</f>
        <v>'Property(M)'!33:33</v>
      </c>
      <c r="F33" s="221"/>
      <c r="G33" s="221"/>
      <c r="H33" s="221"/>
      <c r="I33" s="221"/>
      <c r="J33" s="222">
        <f>'3yr forecast'!C51</f>
        <v>392857.34716</v>
      </c>
      <c r="K33" s="222">
        <f t="shared" ref="K33:P33" ca="1" si="35">SUMIF(INDIRECT($E$10),K$5,INDIRECT($E33))</f>
        <v>298816.07874999999</v>
      </c>
      <c r="L33" s="222">
        <f t="shared" ca="1" si="35"/>
        <v>330126.23</v>
      </c>
      <c r="M33" s="222">
        <f t="shared" ca="1" si="35"/>
        <v>294509.58999999997</v>
      </c>
      <c r="N33" s="222">
        <f t="shared" ca="1" si="35"/>
        <v>311902</v>
      </c>
      <c r="O33" s="222">
        <f t="shared" ca="1" si="35"/>
        <v>327497.09999999992</v>
      </c>
      <c r="P33" s="222">
        <f t="shared" ca="1" si="35"/>
        <v>343871.95500000007</v>
      </c>
      <c r="R33" s="144"/>
      <c r="S33" s="144"/>
      <c r="T33" s="144"/>
      <c r="U33" s="144"/>
      <c r="V33" s="144"/>
    </row>
    <row r="34" spans="2:25">
      <c r="C34" s="318" t="s">
        <v>3</v>
      </c>
      <c r="D34" s="316">
        <f>'Property(M)'!A34</f>
        <v>34</v>
      </c>
      <c r="E34" s="316" t="str">
        <f t="shared" si="31"/>
        <v>'Property(M)'!34:34</v>
      </c>
      <c r="F34" s="316"/>
      <c r="G34" s="316"/>
      <c r="H34" s="322" t="b">
        <f ca="1">I34=J34</f>
        <v>1</v>
      </c>
      <c r="I34" s="317">
        <f>'Property(M)'!J34</f>
        <v>26788924.882945217</v>
      </c>
      <c r="J34" s="317">
        <f ca="1">SUM(K34:P34)</f>
        <v>26788924.882945217</v>
      </c>
      <c r="K34" s="317">
        <f t="shared" ref="K34:P34" ca="1" si="36">K32-K33</f>
        <v>4093383.23</v>
      </c>
      <c r="L34" s="317">
        <f t="shared" ca="1" si="36"/>
        <v>4260088.0199999996</v>
      </c>
      <c r="M34" s="317">
        <f t="shared" ca="1" si="36"/>
        <v>4430087.1201387504</v>
      </c>
      <c r="N34" s="317">
        <f t="shared" ca="1" si="36"/>
        <v>4553382.7115698745</v>
      </c>
      <c r="O34" s="317">
        <f t="shared" ca="1" si="36"/>
        <v>4695811.9230942978</v>
      </c>
      <c r="P34" s="317">
        <f t="shared" ca="1" si="36"/>
        <v>4756171.8781422954</v>
      </c>
    </row>
    <row r="35" spans="2:25">
      <c r="B35" s="142"/>
      <c r="C35" s="323"/>
      <c r="D35" s="776"/>
      <c r="E35" s="776"/>
      <c r="F35" s="776"/>
      <c r="G35" s="776"/>
      <c r="H35" s="777"/>
      <c r="I35" s="777"/>
      <c r="J35" s="777"/>
      <c r="K35" s="777"/>
      <c r="L35" s="777"/>
      <c r="M35" s="777"/>
      <c r="N35" s="777"/>
      <c r="O35" s="777"/>
      <c r="P35" s="777"/>
    </row>
    <row r="36" spans="2:25">
      <c r="C36" s="780" t="str">
        <f>'3yr forecast'!B54</f>
        <v xml:space="preserve">  CAPEX - Lease Incentives</v>
      </c>
      <c r="D36" s="781">
        <f>'Property(M)'!A37</f>
        <v>37</v>
      </c>
      <c r="E36" s="781" t="str">
        <f t="shared" si="31"/>
        <v>'Property(M)'!37:37</v>
      </c>
      <c r="F36" s="781"/>
      <c r="G36" s="781"/>
      <c r="H36" s="781"/>
      <c r="I36" s="781"/>
      <c r="J36" s="782">
        <f ca="1">SUM(K36:P36)</f>
        <v>63263.563037000014</v>
      </c>
      <c r="K36" s="782">
        <f t="shared" ref="K36:P37" ca="1" si="37">SUMIF(INDIRECT($E$10),K$5,INDIRECT($E36))</f>
        <v>0</v>
      </c>
      <c r="L36" s="782">
        <f t="shared" ca="1" si="37"/>
        <v>0</v>
      </c>
      <c r="M36" s="782">
        <f t="shared" ca="1" si="37"/>
        <v>0</v>
      </c>
      <c r="N36" s="782">
        <f t="shared" ca="1" si="37"/>
        <v>15226.169765000004</v>
      </c>
      <c r="O36" s="782">
        <f t="shared" ca="1" si="37"/>
        <v>0</v>
      </c>
      <c r="P36" s="782">
        <f t="shared" ca="1" si="37"/>
        <v>48037.393272000008</v>
      </c>
    </row>
    <row r="37" spans="2:25">
      <c r="C37" s="780" t="str">
        <f>'3yr forecast'!B60</f>
        <v xml:space="preserve">  Explicit Capex</v>
      </c>
      <c r="D37" s="781">
        <f>'Property(M)'!A38</f>
        <v>38</v>
      </c>
      <c r="E37" s="781" t="str">
        <f t="shared" si="31"/>
        <v>'Property(M)'!38:38</v>
      </c>
      <c r="F37" s="781"/>
      <c r="G37" s="781"/>
      <c r="H37" s="781"/>
      <c r="I37" s="781"/>
      <c r="J37" s="782">
        <f t="shared" ref="J37:J38" ca="1" si="38">SUM(K37:P37)</f>
        <v>1563610</v>
      </c>
      <c r="K37" s="782">
        <f t="shared" ca="1" si="37"/>
        <v>0</v>
      </c>
      <c r="L37" s="782">
        <f t="shared" ca="1" si="37"/>
        <v>0</v>
      </c>
      <c r="M37" s="782">
        <f t="shared" ca="1" si="37"/>
        <v>0</v>
      </c>
      <c r="N37" s="782">
        <f t="shared" ca="1" si="37"/>
        <v>1394054</v>
      </c>
      <c r="O37" s="782">
        <f t="shared" ca="1" si="37"/>
        <v>49999.999999999993</v>
      </c>
      <c r="P37" s="782">
        <f t="shared" ca="1" si="37"/>
        <v>119556</v>
      </c>
    </row>
    <row r="38" spans="2:25">
      <c r="C38" s="284" t="s">
        <v>661</v>
      </c>
      <c r="D38" s="794"/>
      <c r="E38" s="794"/>
      <c r="F38" s="794"/>
      <c r="G38" s="794"/>
      <c r="H38" s="794"/>
      <c r="I38" s="794"/>
      <c r="J38" s="795">
        <f t="shared" ca="1" si="38"/>
        <v>1626873.5630370001</v>
      </c>
      <c r="K38" s="795">
        <f t="shared" ref="K38" ca="1" si="39">SUM(K36:K37)</f>
        <v>0</v>
      </c>
      <c r="L38" s="795">
        <f t="shared" ref="L38" ca="1" si="40">SUM(L36:L37)</f>
        <v>0</v>
      </c>
      <c r="M38" s="795">
        <f t="shared" ref="M38" ca="1" si="41">SUM(M36:M37)</f>
        <v>0</v>
      </c>
      <c r="N38" s="795">
        <f t="shared" ref="N38:P38" ca="1" si="42">SUM(N36:N37)</f>
        <v>1409280.169765</v>
      </c>
      <c r="O38" s="795">
        <f t="shared" ca="1" si="42"/>
        <v>49999.999999999993</v>
      </c>
      <c r="P38" s="795">
        <f t="shared" ca="1" si="42"/>
        <v>167593.39327200002</v>
      </c>
      <c r="S38" s="923"/>
      <c r="T38" s="923"/>
      <c r="U38" s="923"/>
      <c r="V38" s="923"/>
      <c r="W38" s="923"/>
      <c r="X38" s="923"/>
      <c r="Y38" s="923"/>
    </row>
    <row r="39" spans="2:25">
      <c r="H39" s="775">
        <f ca="1">J39-I39</f>
        <v>10650622.744106911</v>
      </c>
      <c r="I39" s="774">
        <f>'3yr forecast'!AP63</f>
        <v>14511428.575801305</v>
      </c>
      <c r="J39" s="126">
        <f ca="1">J34-J36-J37</f>
        <v>25162051.319908217</v>
      </c>
      <c r="S39" s="126"/>
      <c r="T39" s="126"/>
      <c r="U39" s="126"/>
      <c r="V39" s="126"/>
      <c r="W39" s="126"/>
      <c r="X39" s="126"/>
      <c r="Y39" s="126"/>
    </row>
    <row r="41" spans="2:25">
      <c r="C41" s="910" t="s">
        <v>901</v>
      </c>
      <c r="D41" s="910"/>
      <c r="E41" s="910"/>
      <c r="F41" s="910"/>
      <c r="G41" s="910"/>
      <c r="H41" s="910"/>
      <c r="I41" s="910"/>
      <c r="J41" s="910"/>
      <c r="K41" s="911">
        <f>L54*M54</f>
        <v>1193400</v>
      </c>
      <c r="L41" s="911">
        <f>K41</f>
        <v>1193400</v>
      </c>
      <c r="M41" s="911">
        <f>L41</f>
        <v>1193400</v>
      </c>
      <c r="N41" s="911">
        <f ca="1">'A&amp;R'!W24</f>
        <v>1500555.5555555555</v>
      </c>
      <c r="O41" s="911">
        <f ca="1">'A&amp;R'!X24</f>
        <v>1504666.6666666665</v>
      </c>
      <c r="P41" s="911">
        <f ca="1">'A&amp;R'!Y24</f>
        <v>1500555.5555555555</v>
      </c>
    </row>
    <row r="42" spans="2:25">
      <c r="C42" s="119" t="s">
        <v>900</v>
      </c>
      <c r="K42" s="908">
        <f ca="1">K32/$L$54</f>
        <v>0.12513388344017093</v>
      </c>
      <c r="L42" s="908">
        <f ca="1">L32/$L$54</f>
        <v>0.13077533475783473</v>
      </c>
      <c r="M42" s="908">
        <f ca="1">M32/$L$54</f>
        <v>0.13460389487574786</v>
      </c>
      <c r="N42" s="908">
        <f ca="1">'A&amp;R'!W25</f>
        <v>0.13149418139378041</v>
      </c>
      <c r="O42" s="908">
        <f ca="1">'A&amp;R'!X25</f>
        <v>0.13576510873227826</v>
      </c>
      <c r="P42" s="908">
        <f ca="1">'A&amp;R'!Y25</f>
        <v>0.13783902251735933</v>
      </c>
    </row>
    <row r="43" spans="2:25">
      <c r="C43" s="119" t="s">
        <v>899</v>
      </c>
      <c r="K43" s="909">
        <f ca="1">K32/K41</f>
        <v>3.6804083364756157</v>
      </c>
      <c r="L43" s="909">
        <f ca="1">L32/L41</f>
        <v>3.8463333752304334</v>
      </c>
      <c r="M43" s="909">
        <f ca="1">M32/M41</f>
        <v>3.9589380845808195</v>
      </c>
      <c r="N43" s="909">
        <f ca="1">'A&amp;R'!W26</f>
        <v>3.2423222809425312</v>
      </c>
      <c r="O43" s="909">
        <f ca="1">'A&amp;R'!X26</f>
        <v>3.3384862803019248</v>
      </c>
      <c r="P43" s="909">
        <f ca="1">'A&amp;R'!Y26</f>
        <v>3.3987704182362579</v>
      </c>
    </row>
    <row r="45" spans="2:25">
      <c r="C45" s="919" t="s">
        <v>910</v>
      </c>
      <c r="D45" s="919"/>
      <c r="E45" s="919"/>
      <c r="F45" s="919"/>
      <c r="G45" s="919"/>
      <c r="H45" s="919"/>
      <c r="I45" s="919"/>
      <c r="J45" s="920">
        <f ca="1">SUM(K45:P45)</f>
        <v>17076073.542130437</v>
      </c>
      <c r="K45" s="920">
        <f ca="1">K34-K38-K41</f>
        <v>2899983.23</v>
      </c>
      <c r="L45" s="920">
        <f t="shared" ref="L45:P45" ca="1" si="43">L34-L38-L41</f>
        <v>3066688.0199999996</v>
      </c>
      <c r="M45" s="920">
        <f t="shared" ca="1" si="43"/>
        <v>3236687.1201387504</v>
      </c>
      <c r="N45" s="920">
        <f t="shared" ca="1" si="43"/>
        <v>1643546.9862493188</v>
      </c>
      <c r="O45" s="920">
        <f t="shared" ca="1" si="43"/>
        <v>3141145.2564276312</v>
      </c>
      <c r="P45" s="920">
        <f t="shared" ca="1" si="43"/>
        <v>3088022.9293147395</v>
      </c>
    </row>
    <row r="46" spans="2:25">
      <c r="N46" s="126">
        <f ca="1">'A&amp;R'!W19</f>
        <v>1643546.98624932</v>
      </c>
      <c r="O46" s="126">
        <f ca="1">'A&amp;R'!X19</f>
        <v>3141145.2564276294</v>
      </c>
      <c r="P46" s="126">
        <f ca="1">'A&amp;R'!Y19</f>
        <v>3088022.92931474</v>
      </c>
    </row>
    <row r="47" spans="2:25">
      <c r="N47" s="126">
        <f ca="1">N45-N46</f>
        <v>0</v>
      </c>
      <c r="O47" s="126">
        <f ca="1">O45-O46</f>
        <v>0</v>
      </c>
      <c r="P47" s="126">
        <f ca="1">P45-P46</f>
        <v>0</v>
      </c>
    </row>
    <row r="50" spans="11:14">
      <c r="L50" s="126">
        <f>SUM('RP- Profit &amp; Loss 2017'!O63:O64)</f>
        <v>1193383.3799999999</v>
      </c>
      <c r="M50" s="126">
        <f>'RP- Profit &amp; Loss 2018'!Q71</f>
        <v>1193295.1200000001</v>
      </c>
    </row>
    <row r="51" spans="11:14">
      <c r="L51" s="481">
        <f>L50/$L$54</f>
        <v>3.399952649572649E-2</v>
      </c>
      <c r="M51" s="481">
        <f>M50/$L$54</f>
        <v>3.3997011965811966E-2</v>
      </c>
    </row>
    <row r="53" spans="11:14">
      <c r="K53" s="449"/>
      <c r="L53" s="915" t="s">
        <v>906</v>
      </c>
      <c r="M53" s="915" t="s">
        <v>907</v>
      </c>
      <c r="N53" s="915" t="s">
        <v>908</v>
      </c>
    </row>
    <row r="54" spans="11:14">
      <c r="K54" s="123" t="s">
        <v>904</v>
      </c>
      <c r="L54" s="118">
        <v>35100000</v>
      </c>
      <c r="M54" s="916">
        <v>3.4000000000000002E-2</v>
      </c>
      <c r="N54" s="210" t="s">
        <v>915</v>
      </c>
    </row>
    <row r="55" spans="11:14">
      <c r="K55" s="125" t="s">
        <v>905</v>
      </c>
      <c r="L55" s="129">
        <f>'A&amp;R'!C39</f>
        <v>37000000</v>
      </c>
      <c r="M55" s="917">
        <f>'A&amp;R'!D39</f>
        <v>0.04</v>
      </c>
      <c r="N55" s="918" t="s">
        <v>909</v>
      </c>
    </row>
  </sheetData>
  <autoFilter ref="A8:P9"/>
  <phoneticPr fontId="3" type="noConversion"/>
  <pageMargins left="0.7" right="0.7" top="0.75" bottom="0.75" header="0.3" footer="0.3"/>
  <pageSetup paperSize="9" orientation="landscape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FFC000"/>
  </sheetPr>
  <dimension ref="A1:HR45"/>
  <sheetViews>
    <sheetView showGridLines="0" zoomScale="115" zoomScaleNormal="115" workbookViewId="0">
      <pane xSplit="9" ySplit="8" topLeftCell="AG9" activePane="bottomRight" state="frozen"/>
      <selection pane="topRight"/>
      <selection pane="bottomLeft"/>
      <selection pane="bottomRight" activeCell="AU33" sqref="AU33"/>
    </sheetView>
  </sheetViews>
  <sheetFormatPr defaultColWidth="0" defaultRowHeight="11.25" outlineLevelCol="1"/>
  <cols>
    <col min="1" max="1" width="2.42578125" style="119" customWidth="1" outlineLevel="1"/>
    <col min="2" max="2" width="2.42578125" style="119" customWidth="1"/>
    <col min="3" max="3" width="29.42578125" style="119" customWidth="1"/>
    <col min="4" max="4" width="9.42578125" style="119" hidden="1" customWidth="1" outlineLevel="1"/>
    <col min="5" max="5" width="9.28515625" style="119" hidden="1" customWidth="1" outlineLevel="1"/>
    <col min="6" max="6" width="9.7109375" style="119" hidden="1" customWidth="1" outlineLevel="1"/>
    <col min="7" max="7" width="11.85546875" style="119" hidden="1" customWidth="1" outlineLevel="1"/>
    <col min="8" max="8" width="10.5703125" style="119" hidden="1" customWidth="1" outlineLevel="1"/>
    <col min="9" max="9" width="9.7109375" style="119" hidden="1" customWidth="1" outlineLevel="1"/>
    <col min="10" max="10" width="11.42578125" style="119" customWidth="1" collapsed="1"/>
    <col min="11" max="43" width="11.42578125" style="119" customWidth="1"/>
    <col min="44" max="82" width="10.5703125" style="119" customWidth="1"/>
    <col min="83" max="84" width="8" style="119" customWidth="1"/>
    <col min="85" max="226" width="0" style="119" hidden="1" customWidth="1"/>
    <col min="227" max="16384" width="9.140625" style="119" hidden="1"/>
  </cols>
  <sheetData>
    <row r="1" spans="1:82">
      <c r="C1" s="232" t="s">
        <v>644</v>
      </c>
    </row>
    <row r="2" spans="1:82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5">
        <f t="shared" ref="K2:AJ2" si="0">EOMONTH(L2,-1)</f>
        <v>42308</v>
      </c>
      <c r="L2" s="265">
        <f t="shared" si="0"/>
        <v>42338</v>
      </c>
      <c r="M2" s="265">
        <f t="shared" si="0"/>
        <v>42369</v>
      </c>
      <c r="N2" s="265">
        <f t="shared" si="0"/>
        <v>42400</v>
      </c>
      <c r="O2" s="265">
        <f t="shared" si="0"/>
        <v>42429</v>
      </c>
      <c r="P2" s="265">
        <f t="shared" si="0"/>
        <v>42460</v>
      </c>
      <c r="Q2" s="265">
        <f t="shared" si="0"/>
        <v>42490</v>
      </c>
      <c r="R2" s="265">
        <f t="shared" si="0"/>
        <v>42521</v>
      </c>
      <c r="S2" s="265">
        <f t="shared" si="0"/>
        <v>42551</v>
      </c>
      <c r="T2" s="265">
        <f t="shared" si="0"/>
        <v>42582</v>
      </c>
      <c r="U2" s="265">
        <f t="shared" si="0"/>
        <v>42613</v>
      </c>
      <c r="V2" s="265">
        <f t="shared" si="0"/>
        <v>42643</v>
      </c>
      <c r="W2" s="265">
        <f t="shared" si="0"/>
        <v>42674</v>
      </c>
      <c r="X2" s="265">
        <f t="shared" si="0"/>
        <v>42704</v>
      </c>
      <c r="Y2" s="265">
        <f t="shared" si="0"/>
        <v>42735</v>
      </c>
      <c r="Z2" s="265">
        <f t="shared" si="0"/>
        <v>42766</v>
      </c>
      <c r="AA2" s="265">
        <f t="shared" si="0"/>
        <v>42794</v>
      </c>
      <c r="AB2" s="265">
        <f t="shared" si="0"/>
        <v>42825</v>
      </c>
      <c r="AC2" s="265">
        <f t="shared" si="0"/>
        <v>42855</v>
      </c>
      <c r="AD2" s="265">
        <f t="shared" si="0"/>
        <v>42886</v>
      </c>
      <c r="AE2" s="265">
        <f t="shared" si="0"/>
        <v>42916</v>
      </c>
      <c r="AF2" s="265">
        <f t="shared" si="0"/>
        <v>42947</v>
      </c>
      <c r="AG2" s="265">
        <f t="shared" si="0"/>
        <v>42978</v>
      </c>
      <c r="AH2" s="265">
        <f t="shared" si="0"/>
        <v>43008</v>
      </c>
      <c r="AI2" s="265">
        <f t="shared" si="0"/>
        <v>43039</v>
      </c>
      <c r="AJ2" s="265">
        <f t="shared" si="0"/>
        <v>43069</v>
      </c>
      <c r="AK2" s="265">
        <f t="shared" ref="AK2:AP2" si="1">EOMONTH(AL2,-1)</f>
        <v>43100</v>
      </c>
      <c r="AL2" s="265">
        <f t="shared" si="1"/>
        <v>43131</v>
      </c>
      <c r="AM2" s="265">
        <f t="shared" si="1"/>
        <v>43159</v>
      </c>
      <c r="AN2" s="265">
        <f t="shared" si="1"/>
        <v>43190</v>
      </c>
      <c r="AO2" s="265">
        <f t="shared" si="1"/>
        <v>43220</v>
      </c>
      <c r="AP2" s="265">
        <f t="shared" si="1"/>
        <v>43251</v>
      </c>
      <c r="AQ2" s="265">
        <f>EOMONTH(AR2,-1)</f>
        <v>43281</v>
      </c>
      <c r="AR2" s="265">
        <v>43312</v>
      </c>
      <c r="AS2" s="265">
        <f>EOMONTH(AR2,1)</f>
        <v>43343</v>
      </c>
      <c r="AT2" s="265">
        <f>EOMONTH(AS2,1)</f>
        <v>43373</v>
      </c>
      <c r="AU2" s="265">
        <f t="shared" ref="AU2:CD2" si="2">EOMONTH(AT2,1)</f>
        <v>43404</v>
      </c>
      <c r="AV2" s="265">
        <f t="shared" si="2"/>
        <v>43434</v>
      </c>
      <c r="AW2" s="265">
        <f t="shared" si="2"/>
        <v>43465</v>
      </c>
      <c r="AX2" s="265">
        <f t="shared" si="2"/>
        <v>43496</v>
      </c>
      <c r="AY2" s="265">
        <f t="shared" si="2"/>
        <v>43524</v>
      </c>
      <c r="AZ2" s="265">
        <f t="shared" si="2"/>
        <v>43555</v>
      </c>
      <c r="BA2" s="265">
        <f t="shared" si="2"/>
        <v>43585</v>
      </c>
      <c r="BB2" s="265">
        <f t="shared" si="2"/>
        <v>43616</v>
      </c>
      <c r="BC2" s="265">
        <f t="shared" si="2"/>
        <v>43646</v>
      </c>
      <c r="BD2" s="265">
        <f t="shared" si="2"/>
        <v>43677</v>
      </c>
      <c r="BE2" s="265">
        <f t="shared" si="2"/>
        <v>43708</v>
      </c>
      <c r="BF2" s="265">
        <f t="shared" si="2"/>
        <v>43738</v>
      </c>
      <c r="BG2" s="265">
        <f t="shared" si="2"/>
        <v>43769</v>
      </c>
      <c r="BH2" s="265">
        <f t="shared" si="2"/>
        <v>43799</v>
      </c>
      <c r="BI2" s="265">
        <f t="shared" si="2"/>
        <v>43830</v>
      </c>
      <c r="BJ2" s="265">
        <f t="shared" si="2"/>
        <v>43861</v>
      </c>
      <c r="BK2" s="265">
        <f t="shared" si="2"/>
        <v>43890</v>
      </c>
      <c r="BL2" s="265">
        <f t="shared" si="2"/>
        <v>43921</v>
      </c>
      <c r="BM2" s="265">
        <f t="shared" si="2"/>
        <v>43951</v>
      </c>
      <c r="BN2" s="265">
        <f t="shared" si="2"/>
        <v>43982</v>
      </c>
      <c r="BO2" s="265">
        <f t="shared" si="2"/>
        <v>44012</v>
      </c>
      <c r="BP2" s="265">
        <f t="shared" si="2"/>
        <v>44043</v>
      </c>
      <c r="BQ2" s="265">
        <f t="shared" si="2"/>
        <v>44074</v>
      </c>
      <c r="BR2" s="265">
        <f t="shared" si="2"/>
        <v>44104</v>
      </c>
      <c r="BS2" s="265">
        <f t="shared" si="2"/>
        <v>44135</v>
      </c>
      <c r="BT2" s="265">
        <f t="shared" si="2"/>
        <v>44165</v>
      </c>
      <c r="BU2" s="265">
        <f t="shared" si="2"/>
        <v>44196</v>
      </c>
      <c r="BV2" s="265">
        <f t="shared" si="2"/>
        <v>44227</v>
      </c>
      <c r="BW2" s="265">
        <f t="shared" si="2"/>
        <v>44255</v>
      </c>
      <c r="BX2" s="265">
        <f t="shared" si="2"/>
        <v>44286</v>
      </c>
      <c r="BY2" s="265">
        <f t="shared" si="2"/>
        <v>44316</v>
      </c>
      <c r="BZ2" s="265">
        <f t="shared" si="2"/>
        <v>44347</v>
      </c>
      <c r="CA2" s="265">
        <f t="shared" si="2"/>
        <v>44377</v>
      </c>
      <c r="CB2" s="265">
        <f t="shared" si="2"/>
        <v>44408</v>
      </c>
      <c r="CC2" s="265">
        <f t="shared" si="2"/>
        <v>44439</v>
      </c>
      <c r="CD2" s="265">
        <f t="shared" si="2"/>
        <v>44469</v>
      </c>
    </row>
    <row r="3" spans="1:82">
      <c r="A3" s="266"/>
      <c r="B3" s="266"/>
      <c r="C3" s="266"/>
      <c r="D3" s="266"/>
      <c r="E3" s="266"/>
      <c r="F3" s="266"/>
      <c r="G3" s="266"/>
      <c r="H3" s="309" t="s">
        <v>90</v>
      </c>
      <c r="I3" s="285">
        <f>'A&amp;R'!H5+1</f>
        <v>43374</v>
      </c>
      <c r="J3" s="266"/>
      <c r="K3" s="267">
        <f t="shared" ref="K3:AJ3" si="3">YEAR(K2)</f>
        <v>2015</v>
      </c>
      <c r="L3" s="267">
        <f t="shared" si="3"/>
        <v>2015</v>
      </c>
      <c r="M3" s="267">
        <f t="shared" si="3"/>
        <v>2015</v>
      </c>
      <c r="N3" s="267">
        <f t="shared" si="3"/>
        <v>2016</v>
      </c>
      <c r="O3" s="267">
        <f t="shared" si="3"/>
        <v>2016</v>
      </c>
      <c r="P3" s="267">
        <f t="shared" si="3"/>
        <v>2016</v>
      </c>
      <c r="Q3" s="267">
        <f t="shared" si="3"/>
        <v>2016</v>
      </c>
      <c r="R3" s="267">
        <f t="shared" si="3"/>
        <v>2016</v>
      </c>
      <c r="S3" s="267">
        <f t="shared" si="3"/>
        <v>2016</v>
      </c>
      <c r="T3" s="267">
        <f t="shared" si="3"/>
        <v>2016</v>
      </c>
      <c r="U3" s="267">
        <f t="shared" si="3"/>
        <v>2016</v>
      </c>
      <c r="V3" s="267">
        <f t="shared" si="3"/>
        <v>2016</v>
      </c>
      <c r="W3" s="267">
        <f t="shared" si="3"/>
        <v>2016</v>
      </c>
      <c r="X3" s="267">
        <f t="shared" si="3"/>
        <v>2016</v>
      </c>
      <c r="Y3" s="267">
        <f t="shared" si="3"/>
        <v>2016</v>
      </c>
      <c r="Z3" s="267">
        <f t="shared" si="3"/>
        <v>2017</v>
      </c>
      <c r="AA3" s="267">
        <f t="shared" si="3"/>
        <v>2017</v>
      </c>
      <c r="AB3" s="267">
        <f t="shared" si="3"/>
        <v>2017</v>
      </c>
      <c r="AC3" s="267">
        <f t="shared" si="3"/>
        <v>2017</v>
      </c>
      <c r="AD3" s="267">
        <f t="shared" si="3"/>
        <v>2017</v>
      </c>
      <c r="AE3" s="267">
        <f t="shared" si="3"/>
        <v>2017</v>
      </c>
      <c r="AF3" s="267">
        <f t="shared" si="3"/>
        <v>2017</v>
      </c>
      <c r="AG3" s="267">
        <f t="shared" si="3"/>
        <v>2017</v>
      </c>
      <c r="AH3" s="267">
        <f t="shared" si="3"/>
        <v>2017</v>
      </c>
      <c r="AI3" s="267">
        <f t="shared" si="3"/>
        <v>2017</v>
      </c>
      <c r="AJ3" s="267">
        <f t="shared" si="3"/>
        <v>2017</v>
      </c>
      <c r="AK3" s="267">
        <f t="shared" ref="AK3:AP3" si="4">YEAR(AK2)</f>
        <v>2017</v>
      </c>
      <c r="AL3" s="267">
        <f t="shared" si="4"/>
        <v>2018</v>
      </c>
      <c r="AM3" s="267">
        <f t="shared" si="4"/>
        <v>2018</v>
      </c>
      <c r="AN3" s="267">
        <f t="shared" si="4"/>
        <v>2018</v>
      </c>
      <c r="AO3" s="267">
        <f t="shared" si="4"/>
        <v>2018</v>
      </c>
      <c r="AP3" s="267">
        <f t="shared" si="4"/>
        <v>2018</v>
      </c>
      <c r="AQ3" s="267">
        <f t="shared" ref="AQ3" si="5">YEAR(AQ2)</f>
        <v>2018</v>
      </c>
      <c r="AR3" s="267">
        <f t="shared" ref="AR3:CD3" si="6">YEAR(AR2)</f>
        <v>2018</v>
      </c>
      <c r="AS3" s="267">
        <f t="shared" si="6"/>
        <v>2018</v>
      </c>
      <c r="AT3" s="267">
        <f t="shared" si="6"/>
        <v>2018</v>
      </c>
      <c r="AU3" s="267">
        <f t="shared" si="6"/>
        <v>2018</v>
      </c>
      <c r="AV3" s="267">
        <f t="shared" si="6"/>
        <v>2018</v>
      </c>
      <c r="AW3" s="267">
        <f t="shared" si="6"/>
        <v>2018</v>
      </c>
      <c r="AX3" s="267">
        <f t="shared" si="6"/>
        <v>2019</v>
      </c>
      <c r="AY3" s="267">
        <f t="shared" si="6"/>
        <v>2019</v>
      </c>
      <c r="AZ3" s="267">
        <f t="shared" si="6"/>
        <v>2019</v>
      </c>
      <c r="BA3" s="267">
        <f t="shared" si="6"/>
        <v>2019</v>
      </c>
      <c r="BB3" s="267">
        <f t="shared" si="6"/>
        <v>2019</v>
      </c>
      <c r="BC3" s="267">
        <f t="shared" si="6"/>
        <v>2019</v>
      </c>
      <c r="BD3" s="267">
        <f t="shared" si="6"/>
        <v>2019</v>
      </c>
      <c r="BE3" s="267">
        <f t="shared" si="6"/>
        <v>2019</v>
      </c>
      <c r="BF3" s="267">
        <f t="shared" si="6"/>
        <v>2019</v>
      </c>
      <c r="BG3" s="267">
        <f t="shared" si="6"/>
        <v>2019</v>
      </c>
      <c r="BH3" s="267">
        <f t="shared" si="6"/>
        <v>2019</v>
      </c>
      <c r="BI3" s="267">
        <f t="shared" si="6"/>
        <v>2019</v>
      </c>
      <c r="BJ3" s="267">
        <f t="shared" si="6"/>
        <v>2020</v>
      </c>
      <c r="BK3" s="267">
        <f t="shared" si="6"/>
        <v>2020</v>
      </c>
      <c r="BL3" s="267">
        <f t="shared" si="6"/>
        <v>2020</v>
      </c>
      <c r="BM3" s="267">
        <f t="shared" si="6"/>
        <v>2020</v>
      </c>
      <c r="BN3" s="267">
        <f t="shared" si="6"/>
        <v>2020</v>
      </c>
      <c r="BO3" s="267">
        <f t="shared" si="6"/>
        <v>2020</v>
      </c>
      <c r="BP3" s="267">
        <f t="shared" si="6"/>
        <v>2020</v>
      </c>
      <c r="BQ3" s="267">
        <f t="shared" si="6"/>
        <v>2020</v>
      </c>
      <c r="BR3" s="267">
        <f t="shared" si="6"/>
        <v>2020</v>
      </c>
      <c r="BS3" s="267">
        <f t="shared" si="6"/>
        <v>2020</v>
      </c>
      <c r="BT3" s="267">
        <f t="shared" si="6"/>
        <v>2020</v>
      </c>
      <c r="BU3" s="267">
        <f t="shared" si="6"/>
        <v>2020</v>
      </c>
      <c r="BV3" s="267">
        <f t="shared" si="6"/>
        <v>2021</v>
      </c>
      <c r="BW3" s="267">
        <f t="shared" si="6"/>
        <v>2021</v>
      </c>
      <c r="BX3" s="267">
        <f t="shared" si="6"/>
        <v>2021</v>
      </c>
      <c r="BY3" s="267">
        <f t="shared" si="6"/>
        <v>2021</v>
      </c>
      <c r="BZ3" s="267">
        <f t="shared" si="6"/>
        <v>2021</v>
      </c>
      <c r="CA3" s="267">
        <f t="shared" si="6"/>
        <v>2021</v>
      </c>
      <c r="CB3" s="267">
        <f t="shared" si="6"/>
        <v>2021</v>
      </c>
      <c r="CC3" s="267">
        <f t="shared" si="6"/>
        <v>2021</v>
      </c>
      <c r="CD3" s="267">
        <f t="shared" si="6"/>
        <v>2021</v>
      </c>
    </row>
    <row r="4" spans="1:82">
      <c r="A4" s="266"/>
      <c r="B4" s="266"/>
      <c r="C4" s="266"/>
      <c r="D4" s="266"/>
      <c r="E4" s="266"/>
      <c r="F4" s="266"/>
      <c r="G4" s="266"/>
      <c r="H4" s="266"/>
      <c r="I4" s="268">
        <f>EOMONTH(I3,0)</f>
        <v>43404</v>
      </c>
      <c r="J4" s="266"/>
      <c r="K4" s="269">
        <f t="shared" ref="K4:AJ4" si="7">MONTH(K2)</f>
        <v>10</v>
      </c>
      <c r="L4" s="269">
        <f t="shared" si="7"/>
        <v>11</v>
      </c>
      <c r="M4" s="269">
        <f t="shared" si="7"/>
        <v>12</v>
      </c>
      <c r="N4" s="269">
        <f t="shared" si="7"/>
        <v>1</v>
      </c>
      <c r="O4" s="269">
        <f t="shared" si="7"/>
        <v>2</v>
      </c>
      <c r="P4" s="269">
        <f t="shared" si="7"/>
        <v>3</v>
      </c>
      <c r="Q4" s="269">
        <f t="shared" si="7"/>
        <v>4</v>
      </c>
      <c r="R4" s="269">
        <f t="shared" si="7"/>
        <v>5</v>
      </c>
      <c r="S4" s="269">
        <f t="shared" si="7"/>
        <v>6</v>
      </c>
      <c r="T4" s="269">
        <f t="shared" si="7"/>
        <v>7</v>
      </c>
      <c r="U4" s="269">
        <f t="shared" si="7"/>
        <v>8</v>
      </c>
      <c r="V4" s="269">
        <f t="shared" si="7"/>
        <v>9</v>
      </c>
      <c r="W4" s="269">
        <f t="shared" si="7"/>
        <v>10</v>
      </c>
      <c r="X4" s="269">
        <f t="shared" si="7"/>
        <v>11</v>
      </c>
      <c r="Y4" s="269">
        <f t="shared" si="7"/>
        <v>12</v>
      </c>
      <c r="Z4" s="269">
        <f t="shared" si="7"/>
        <v>1</v>
      </c>
      <c r="AA4" s="269">
        <f t="shared" si="7"/>
        <v>2</v>
      </c>
      <c r="AB4" s="269">
        <f t="shared" si="7"/>
        <v>3</v>
      </c>
      <c r="AC4" s="269">
        <f t="shared" si="7"/>
        <v>4</v>
      </c>
      <c r="AD4" s="269">
        <f t="shared" si="7"/>
        <v>5</v>
      </c>
      <c r="AE4" s="269">
        <f t="shared" si="7"/>
        <v>6</v>
      </c>
      <c r="AF4" s="269">
        <f t="shared" si="7"/>
        <v>7</v>
      </c>
      <c r="AG4" s="269">
        <f t="shared" si="7"/>
        <v>8</v>
      </c>
      <c r="AH4" s="269">
        <f t="shared" si="7"/>
        <v>9</v>
      </c>
      <c r="AI4" s="269">
        <f t="shared" si="7"/>
        <v>10</v>
      </c>
      <c r="AJ4" s="269">
        <f t="shared" si="7"/>
        <v>11</v>
      </c>
      <c r="AK4" s="269">
        <f t="shared" ref="AK4:AP4" si="8">MONTH(AK2)</f>
        <v>12</v>
      </c>
      <c r="AL4" s="269">
        <f t="shared" si="8"/>
        <v>1</v>
      </c>
      <c r="AM4" s="269">
        <f t="shared" si="8"/>
        <v>2</v>
      </c>
      <c r="AN4" s="269">
        <f t="shared" si="8"/>
        <v>3</v>
      </c>
      <c r="AO4" s="269">
        <f t="shared" si="8"/>
        <v>4</v>
      </c>
      <c r="AP4" s="269">
        <f t="shared" si="8"/>
        <v>5</v>
      </c>
      <c r="AQ4" s="269">
        <f t="shared" ref="AQ4" si="9">MONTH(AQ2)</f>
        <v>6</v>
      </c>
      <c r="AR4" s="269">
        <f t="shared" ref="AR4:CD4" si="10">MONTH(AR2)</f>
        <v>7</v>
      </c>
      <c r="AS4" s="269">
        <f t="shared" si="10"/>
        <v>8</v>
      </c>
      <c r="AT4" s="269">
        <f t="shared" si="10"/>
        <v>9</v>
      </c>
      <c r="AU4" s="269">
        <f t="shared" si="10"/>
        <v>10</v>
      </c>
      <c r="AV4" s="269">
        <f t="shared" si="10"/>
        <v>11</v>
      </c>
      <c r="AW4" s="269">
        <f t="shared" si="10"/>
        <v>12</v>
      </c>
      <c r="AX4" s="269">
        <f t="shared" si="10"/>
        <v>1</v>
      </c>
      <c r="AY4" s="269">
        <f t="shared" si="10"/>
        <v>2</v>
      </c>
      <c r="AZ4" s="269">
        <f t="shared" si="10"/>
        <v>3</v>
      </c>
      <c r="BA4" s="269">
        <f t="shared" si="10"/>
        <v>4</v>
      </c>
      <c r="BB4" s="269">
        <f t="shared" si="10"/>
        <v>5</v>
      </c>
      <c r="BC4" s="269">
        <f t="shared" si="10"/>
        <v>6</v>
      </c>
      <c r="BD4" s="269">
        <f t="shared" si="10"/>
        <v>7</v>
      </c>
      <c r="BE4" s="269">
        <f t="shared" si="10"/>
        <v>8</v>
      </c>
      <c r="BF4" s="269">
        <f t="shared" si="10"/>
        <v>9</v>
      </c>
      <c r="BG4" s="269">
        <f t="shared" si="10"/>
        <v>10</v>
      </c>
      <c r="BH4" s="269">
        <f t="shared" si="10"/>
        <v>11</v>
      </c>
      <c r="BI4" s="269">
        <f t="shared" si="10"/>
        <v>12</v>
      </c>
      <c r="BJ4" s="269">
        <f t="shared" si="10"/>
        <v>1</v>
      </c>
      <c r="BK4" s="269">
        <f t="shared" si="10"/>
        <v>2</v>
      </c>
      <c r="BL4" s="269">
        <f t="shared" si="10"/>
        <v>3</v>
      </c>
      <c r="BM4" s="269">
        <f t="shared" si="10"/>
        <v>4</v>
      </c>
      <c r="BN4" s="269">
        <f t="shared" si="10"/>
        <v>5</v>
      </c>
      <c r="BO4" s="269">
        <f t="shared" si="10"/>
        <v>6</v>
      </c>
      <c r="BP4" s="269">
        <f t="shared" si="10"/>
        <v>7</v>
      </c>
      <c r="BQ4" s="269">
        <f t="shared" si="10"/>
        <v>8</v>
      </c>
      <c r="BR4" s="269">
        <f t="shared" si="10"/>
        <v>9</v>
      </c>
      <c r="BS4" s="269">
        <f t="shared" si="10"/>
        <v>10</v>
      </c>
      <c r="BT4" s="269">
        <f t="shared" si="10"/>
        <v>11</v>
      </c>
      <c r="BU4" s="269">
        <f t="shared" si="10"/>
        <v>12</v>
      </c>
      <c r="BV4" s="269">
        <f t="shared" si="10"/>
        <v>1</v>
      </c>
      <c r="BW4" s="269">
        <f t="shared" si="10"/>
        <v>2</v>
      </c>
      <c r="BX4" s="269">
        <f t="shared" si="10"/>
        <v>3</v>
      </c>
      <c r="BY4" s="269">
        <f t="shared" si="10"/>
        <v>4</v>
      </c>
      <c r="BZ4" s="269">
        <f t="shared" si="10"/>
        <v>5</v>
      </c>
      <c r="CA4" s="269">
        <f t="shared" si="10"/>
        <v>6</v>
      </c>
      <c r="CB4" s="269">
        <f t="shared" si="10"/>
        <v>7</v>
      </c>
      <c r="CC4" s="269">
        <f t="shared" si="10"/>
        <v>8</v>
      </c>
      <c r="CD4" s="269">
        <f t="shared" si="10"/>
        <v>9</v>
      </c>
    </row>
    <row r="5" spans="1:82">
      <c r="A5" s="266"/>
      <c r="B5" s="266"/>
      <c r="C5" s="266"/>
      <c r="D5" s="266"/>
      <c r="E5" s="266"/>
      <c r="F5" s="266"/>
      <c r="G5" s="266"/>
      <c r="H5" s="266"/>
      <c r="I5" s="266"/>
      <c r="J5" s="266"/>
      <c r="K5" s="270">
        <f t="shared" ref="K5:AJ5" si="11">INT((K$8-1)/12)+1</f>
        <v>-2</v>
      </c>
      <c r="L5" s="270">
        <f t="shared" si="11"/>
        <v>-2</v>
      </c>
      <c r="M5" s="270">
        <f t="shared" si="11"/>
        <v>-2</v>
      </c>
      <c r="N5" s="270">
        <f t="shared" si="11"/>
        <v>-2</v>
      </c>
      <c r="O5" s="270">
        <f t="shared" si="11"/>
        <v>-2</v>
      </c>
      <c r="P5" s="270">
        <f t="shared" si="11"/>
        <v>-2</v>
      </c>
      <c r="Q5" s="270">
        <f t="shared" si="11"/>
        <v>-2</v>
      </c>
      <c r="R5" s="270">
        <f t="shared" si="11"/>
        <v>-2</v>
      </c>
      <c r="S5" s="270">
        <f t="shared" si="11"/>
        <v>-2</v>
      </c>
      <c r="T5" s="270">
        <f t="shared" si="11"/>
        <v>-2</v>
      </c>
      <c r="U5" s="270">
        <f t="shared" si="11"/>
        <v>-2</v>
      </c>
      <c r="V5" s="270">
        <f t="shared" si="11"/>
        <v>-2</v>
      </c>
      <c r="W5" s="270">
        <f t="shared" si="11"/>
        <v>-1</v>
      </c>
      <c r="X5" s="270">
        <f t="shared" si="11"/>
        <v>-1</v>
      </c>
      <c r="Y5" s="270">
        <f t="shared" si="11"/>
        <v>-1</v>
      </c>
      <c r="Z5" s="270">
        <f t="shared" si="11"/>
        <v>-1</v>
      </c>
      <c r="AA5" s="270">
        <f t="shared" si="11"/>
        <v>-1</v>
      </c>
      <c r="AB5" s="270">
        <f t="shared" si="11"/>
        <v>-1</v>
      </c>
      <c r="AC5" s="270">
        <f t="shared" si="11"/>
        <v>-1</v>
      </c>
      <c r="AD5" s="270">
        <f t="shared" si="11"/>
        <v>-1</v>
      </c>
      <c r="AE5" s="270">
        <f t="shared" si="11"/>
        <v>-1</v>
      </c>
      <c r="AF5" s="270">
        <f t="shared" si="11"/>
        <v>-1</v>
      </c>
      <c r="AG5" s="270">
        <f t="shared" si="11"/>
        <v>-1</v>
      </c>
      <c r="AH5" s="270">
        <f t="shared" si="11"/>
        <v>-1</v>
      </c>
      <c r="AI5" s="270">
        <f t="shared" si="11"/>
        <v>0</v>
      </c>
      <c r="AJ5" s="270">
        <f t="shared" si="11"/>
        <v>0</v>
      </c>
      <c r="AK5" s="270">
        <f t="shared" ref="AK5:AP5" si="12">INT((AK$8-1)/12)+1</f>
        <v>0</v>
      </c>
      <c r="AL5" s="270">
        <f t="shared" si="12"/>
        <v>0</v>
      </c>
      <c r="AM5" s="270">
        <f t="shared" si="12"/>
        <v>0</v>
      </c>
      <c r="AN5" s="270">
        <f t="shared" si="12"/>
        <v>0</v>
      </c>
      <c r="AO5" s="270">
        <f t="shared" si="12"/>
        <v>0</v>
      </c>
      <c r="AP5" s="270">
        <f t="shared" si="12"/>
        <v>0</v>
      </c>
      <c r="AQ5" s="270">
        <f t="shared" ref="AQ5:CD5" si="13">INT((AQ$8-1)/12)+1</f>
        <v>0</v>
      </c>
      <c r="AR5" s="270">
        <f t="shared" si="13"/>
        <v>0</v>
      </c>
      <c r="AS5" s="270">
        <f t="shared" si="13"/>
        <v>0</v>
      </c>
      <c r="AT5" s="270">
        <f t="shared" si="13"/>
        <v>0</v>
      </c>
      <c r="AU5" s="270">
        <f t="shared" si="13"/>
        <v>1</v>
      </c>
      <c r="AV5" s="270">
        <f t="shared" si="13"/>
        <v>1</v>
      </c>
      <c r="AW5" s="270">
        <f t="shared" si="13"/>
        <v>1</v>
      </c>
      <c r="AX5" s="270">
        <f t="shared" si="13"/>
        <v>1</v>
      </c>
      <c r="AY5" s="270">
        <f t="shared" si="13"/>
        <v>1</v>
      </c>
      <c r="AZ5" s="270">
        <f t="shared" si="13"/>
        <v>1</v>
      </c>
      <c r="BA5" s="270">
        <f t="shared" si="13"/>
        <v>1</v>
      </c>
      <c r="BB5" s="270">
        <f t="shared" si="13"/>
        <v>1</v>
      </c>
      <c r="BC5" s="270">
        <f t="shared" si="13"/>
        <v>1</v>
      </c>
      <c r="BD5" s="270">
        <f t="shared" si="13"/>
        <v>1</v>
      </c>
      <c r="BE5" s="270">
        <f t="shared" si="13"/>
        <v>1</v>
      </c>
      <c r="BF5" s="270">
        <f t="shared" si="13"/>
        <v>1</v>
      </c>
      <c r="BG5" s="270">
        <f t="shared" si="13"/>
        <v>2</v>
      </c>
      <c r="BH5" s="270">
        <f t="shared" si="13"/>
        <v>2</v>
      </c>
      <c r="BI5" s="270">
        <f t="shared" si="13"/>
        <v>2</v>
      </c>
      <c r="BJ5" s="270">
        <f t="shared" si="13"/>
        <v>2</v>
      </c>
      <c r="BK5" s="270">
        <f t="shared" si="13"/>
        <v>2</v>
      </c>
      <c r="BL5" s="270">
        <f t="shared" si="13"/>
        <v>2</v>
      </c>
      <c r="BM5" s="270">
        <f t="shared" si="13"/>
        <v>2</v>
      </c>
      <c r="BN5" s="270">
        <f t="shared" si="13"/>
        <v>2</v>
      </c>
      <c r="BO5" s="270">
        <f t="shared" si="13"/>
        <v>2</v>
      </c>
      <c r="BP5" s="270">
        <f t="shared" si="13"/>
        <v>2</v>
      </c>
      <c r="BQ5" s="270">
        <f t="shared" si="13"/>
        <v>2</v>
      </c>
      <c r="BR5" s="270">
        <f t="shared" si="13"/>
        <v>2</v>
      </c>
      <c r="BS5" s="270">
        <f t="shared" si="13"/>
        <v>3</v>
      </c>
      <c r="BT5" s="270">
        <f t="shared" si="13"/>
        <v>3</v>
      </c>
      <c r="BU5" s="270">
        <f t="shared" si="13"/>
        <v>3</v>
      </c>
      <c r="BV5" s="270">
        <f t="shared" si="13"/>
        <v>3</v>
      </c>
      <c r="BW5" s="270">
        <f t="shared" si="13"/>
        <v>3</v>
      </c>
      <c r="BX5" s="270">
        <f t="shared" si="13"/>
        <v>3</v>
      </c>
      <c r="BY5" s="270">
        <f t="shared" si="13"/>
        <v>3</v>
      </c>
      <c r="BZ5" s="270">
        <f t="shared" si="13"/>
        <v>3</v>
      </c>
      <c r="CA5" s="270">
        <f t="shared" si="13"/>
        <v>3</v>
      </c>
      <c r="CB5" s="270">
        <f t="shared" si="13"/>
        <v>3</v>
      </c>
      <c r="CC5" s="270">
        <f t="shared" si="13"/>
        <v>3</v>
      </c>
      <c r="CD5" s="270">
        <f t="shared" si="13"/>
        <v>3</v>
      </c>
    </row>
    <row r="6" spans="1:82">
      <c r="A6" s="266"/>
      <c r="B6" s="266"/>
      <c r="C6" s="309"/>
      <c r="D6" s="310"/>
      <c r="E6" s="310"/>
      <c r="F6" s="310"/>
      <c r="G6" s="310"/>
      <c r="H6" s="266"/>
      <c r="I6" s="266"/>
      <c r="J6" s="266"/>
      <c r="K6" s="271">
        <f t="shared" ref="K6:AJ6" si="14">INT((K$8-1)/6)+1</f>
        <v>-5</v>
      </c>
      <c r="L6" s="271">
        <f t="shared" si="14"/>
        <v>-5</v>
      </c>
      <c r="M6" s="271">
        <f t="shared" si="14"/>
        <v>-5</v>
      </c>
      <c r="N6" s="271">
        <f t="shared" si="14"/>
        <v>-5</v>
      </c>
      <c r="O6" s="271">
        <f t="shared" si="14"/>
        <v>-5</v>
      </c>
      <c r="P6" s="271">
        <f t="shared" si="14"/>
        <v>-5</v>
      </c>
      <c r="Q6" s="271">
        <f t="shared" si="14"/>
        <v>-4</v>
      </c>
      <c r="R6" s="271">
        <f t="shared" si="14"/>
        <v>-4</v>
      </c>
      <c r="S6" s="271">
        <f t="shared" si="14"/>
        <v>-4</v>
      </c>
      <c r="T6" s="271">
        <f t="shared" si="14"/>
        <v>-4</v>
      </c>
      <c r="U6" s="271">
        <f t="shared" si="14"/>
        <v>-4</v>
      </c>
      <c r="V6" s="271">
        <f t="shared" si="14"/>
        <v>-4</v>
      </c>
      <c r="W6" s="271">
        <f t="shared" si="14"/>
        <v>-3</v>
      </c>
      <c r="X6" s="271">
        <f t="shared" si="14"/>
        <v>-3</v>
      </c>
      <c r="Y6" s="271">
        <f t="shared" si="14"/>
        <v>-3</v>
      </c>
      <c r="Z6" s="271">
        <f t="shared" si="14"/>
        <v>-3</v>
      </c>
      <c r="AA6" s="271">
        <f t="shared" si="14"/>
        <v>-3</v>
      </c>
      <c r="AB6" s="271">
        <f t="shared" si="14"/>
        <v>-3</v>
      </c>
      <c r="AC6" s="271">
        <f t="shared" si="14"/>
        <v>-2</v>
      </c>
      <c r="AD6" s="271">
        <f t="shared" si="14"/>
        <v>-2</v>
      </c>
      <c r="AE6" s="271">
        <f t="shared" si="14"/>
        <v>-2</v>
      </c>
      <c r="AF6" s="271">
        <f t="shared" si="14"/>
        <v>-2</v>
      </c>
      <c r="AG6" s="271">
        <f t="shared" si="14"/>
        <v>-2</v>
      </c>
      <c r="AH6" s="271">
        <f t="shared" si="14"/>
        <v>-2</v>
      </c>
      <c r="AI6" s="271">
        <f t="shared" si="14"/>
        <v>-1</v>
      </c>
      <c r="AJ6" s="271">
        <f t="shared" si="14"/>
        <v>-1</v>
      </c>
      <c r="AK6" s="271">
        <f t="shared" ref="AK6:AP6" si="15">INT((AK$8-1)/6)+1</f>
        <v>-1</v>
      </c>
      <c r="AL6" s="271">
        <f t="shared" si="15"/>
        <v>-1</v>
      </c>
      <c r="AM6" s="271">
        <f t="shared" si="15"/>
        <v>-1</v>
      </c>
      <c r="AN6" s="271">
        <f t="shared" si="15"/>
        <v>-1</v>
      </c>
      <c r="AO6" s="271">
        <f t="shared" si="15"/>
        <v>0</v>
      </c>
      <c r="AP6" s="271">
        <f t="shared" si="15"/>
        <v>0</v>
      </c>
      <c r="AQ6" s="271">
        <f t="shared" ref="AQ6:CD6" si="16">INT((AQ$8-1)/6)+1</f>
        <v>0</v>
      </c>
      <c r="AR6" s="271">
        <f t="shared" si="16"/>
        <v>0</v>
      </c>
      <c r="AS6" s="271">
        <f t="shared" si="16"/>
        <v>0</v>
      </c>
      <c r="AT6" s="271">
        <f t="shared" si="16"/>
        <v>0</v>
      </c>
      <c r="AU6" s="271">
        <f t="shared" si="16"/>
        <v>1</v>
      </c>
      <c r="AV6" s="271">
        <f t="shared" si="16"/>
        <v>1</v>
      </c>
      <c r="AW6" s="271">
        <f t="shared" si="16"/>
        <v>1</v>
      </c>
      <c r="AX6" s="271">
        <f t="shared" si="16"/>
        <v>1</v>
      </c>
      <c r="AY6" s="271">
        <f t="shared" si="16"/>
        <v>1</v>
      </c>
      <c r="AZ6" s="271">
        <f t="shared" si="16"/>
        <v>1</v>
      </c>
      <c r="BA6" s="271">
        <f t="shared" si="16"/>
        <v>2</v>
      </c>
      <c r="BB6" s="271">
        <f t="shared" si="16"/>
        <v>2</v>
      </c>
      <c r="BC6" s="271">
        <f t="shared" si="16"/>
        <v>2</v>
      </c>
      <c r="BD6" s="271">
        <f t="shared" si="16"/>
        <v>2</v>
      </c>
      <c r="BE6" s="271">
        <f t="shared" si="16"/>
        <v>2</v>
      </c>
      <c r="BF6" s="271">
        <f t="shared" si="16"/>
        <v>2</v>
      </c>
      <c r="BG6" s="271">
        <f t="shared" si="16"/>
        <v>3</v>
      </c>
      <c r="BH6" s="271">
        <f t="shared" si="16"/>
        <v>3</v>
      </c>
      <c r="BI6" s="271">
        <f t="shared" si="16"/>
        <v>3</v>
      </c>
      <c r="BJ6" s="271">
        <f t="shared" si="16"/>
        <v>3</v>
      </c>
      <c r="BK6" s="271">
        <f t="shared" si="16"/>
        <v>3</v>
      </c>
      <c r="BL6" s="271">
        <f t="shared" si="16"/>
        <v>3</v>
      </c>
      <c r="BM6" s="271">
        <f t="shared" si="16"/>
        <v>4</v>
      </c>
      <c r="BN6" s="271">
        <f t="shared" si="16"/>
        <v>4</v>
      </c>
      <c r="BO6" s="271">
        <f t="shared" si="16"/>
        <v>4</v>
      </c>
      <c r="BP6" s="271">
        <f t="shared" si="16"/>
        <v>4</v>
      </c>
      <c r="BQ6" s="271">
        <f t="shared" si="16"/>
        <v>4</v>
      </c>
      <c r="BR6" s="271">
        <f t="shared" si="16"/>
        <v>4</v>
      </c>
      <c r="BS6" s="271">
        <f t="shared" si="16"/>
        <v>5</v>
      </c>
      <c r="BT6" s="271">
        <f t="shared" si="16"/>
        <v>5</v>
      </c>
      <c r="BU6" s="271">
        <f t="shared" si="16"/>
        <v>5</v>
      </c>
      <c r="BV6" s="271">
        <f t="shared" si="16"/>
        <v>5</v>
      </c>
      <c r="BW6" s="271">
        <f t="shared" si="16"/>
        <v>5</v>
      </c>
      <c r="BX6" s="271">
        <f t="shared" si="16"/>
        <v>5</v>
      </c>
      <c r="BY6" s="271">
        <f t="shared" si="16"/>
        <v>6</v>
      </c>
      <c r="BZ6" s="271">
        <f t="shared" si="16"/>
        <v>6</v>
      </c>
      <c r="CA6" s="271">
        <f t="shared" si="16"/>
        <v>6</v>
      </c>
      <c r="CB6" s="271">
        <f t="shared" si="16"/>
        <v>6</v>
      </c>
      <c r="CC6" s="271">
        <f t="shared" si="16"/>
        <v>6</v>
      </c>
      <c r="CD6" s="271">
        <f t="shared" si="16"/>
        <v>6</v>
      </c>
    </row>
    <row r="7" spans="1:82">
      <c r="A7" s="266"/>
      <c r="B7" s="266"/>
      <c r="C7" s="266"/>
      <c r="D7" s="266"/>
      <c r="E7" s="266"/>
      <c r="F7" s="266"/>
      <c r="G7" s="266"/>
      <c r="H7" s="266"/>
      <c r="I7" s="266"/>
      <c r="J7" s="266"/>
      <c r="K7" s="272">
        <f t="shared" ref="K7:AJ7" si="17">INT((K$8-1)/3)+1</f>
        <v>-11</v>
      </c>
      <c r="L7" s="272">
        <f t="shared" si="17"/>
        <v>-11</v>
      </c>
      <c r="M7" s="272">
        <f t="shared" si="17"/>
        <v>-11</v>
      </c>
      <c r="N7" s="272">
        <f t="shared" si="17"/>
        <v>-10</v>
      </c>
      <c r="O7" s="272">
        <f t="shared" si="17"/>
        <v>-10</v>
      </c>
      <c r="P7" s="272">
        <f t="shared" si="17"/>
        <v>-10</v>
      </c>
      <c r="Q7" s="272">
        <f t="shared" si="17"/>
        <v>-9</v>
      </c>
      <c r="R7" s="272">
        <f t="shared" si="17"/>
        <v>-9</v>
      </c>
      <c r="S7" s="272">
        <f t="shared" si="17"/>
        <v>-9</v>
      </c>
      <c r="T7" s="272">
        <f t="shared" si="17"/>
        <v>-8</v>
      </c>
      <c r="U7" s="272">
        <f t="shared" si="17"/>
        <v>-8</v>
      </c>
      <c r="V7" s="272">
        <f t="shared" si="17"/>
        <v>-8</v>
      </c>
      <c r="W7" s="272">
        <f t="shared" si="17"/>
        <v>-7</v>
      </c>
      <c r="X7" s="272">
        <f t="shared" si="17"/>
        <v>-7</v>
      </c>
      <c r="Y7" s="272">
        <f t="shared" si="17"/>
        <v>-7</v>
      </c>
      <c r="Z7" s="272">
        <f t="shared" si="17"/>
        <v>-6</v>
      </c>
      <c r="AA7" s="272">
        <f t="shared" si="17"/>
        <v>-6</v>
      </c>
      <c r="AB7" s="272">
        <f t="shared" si="17"/>
        <v>-6</v>
      </c>
      <c r="AC7" s="272">
        <f t="shared" si="17"/>
        <v>-5</v>
      </c>
      <c r="AD7" s="272">
        <f t="shared" si="17"/>
        <v>-5</v>
      </c>
      <c r="AE7" s="272">
        <f t="shared" si="17"/>
        <v>-5</v>
      </c>
      <c r="AF7" s="272">
        <f t="shared" si="17"/>
        <v>-4</v>
      </c>
      <c r="AG7" s="272">
        <f t="shared" si="17"/>
        <v>-4</v>
      </c>
      <c r="AH7" s="272">
        <f t="shared" si="17"/>
        <v>-4</v>
      </c>
      <c r="AI7" s="272">
        <f t="shared" si="17"/>
        <v>-3</v>
      </c>
      <c r="AJ7" s="272">
        <f t="shared" si="17"/>
        <v>-3</v>
      </c>
      <c r="AK7" s="272">
        <f t="shared" ref="AK7:AP7" si="18">INT((AK$8-1)/3)+1</f>
        <v>-3</v>
      </c>
      <c r="AL7" s="272">
        <f t="shared" si="18"/>
        <v>-2</v>
      </c>
      <c r="AM7" s="272">
        <f t="shared" si="18"/>
        <v>-2</v>
      </c>
      <c r="AN7" s="272">
        <f t="shared" si="18"/>
        <v>-2</v>
      </c>
      <c r="AO7" s="272">
        <f t="shared" si="18"/>
        <v>-1</v>
      </c>
      <c r="AP7" s="272">
        <f t="shared" si="18"/>
        <v>-1</v>
      </c>
      <c r="AQ7" s="272">
        <f t="shared" ref="AQ7:CD7" si="19">INT((AQ$8-1)/3)+1</f>
        <v>-1</v>
      </c>
      <c r="AR7" s="272">
        <f t="shared" si="19"/>
        <v>0</v>
      </c>
      <c r="AS7" s="272">
        <f t="shared" si="19"/>
        <v>0</v>
      </c>
      <c r="AT7" s="272">
        <f t="shared" si="19"/>
        <v>0</v>
      </c>
      <c r="AU7" s="272">
        <f t="shared" si="19"/>
        <v>1</v>
      </c>
      <c r="AV7" s="272">
        <f t="shared" si="19"/>
        <v>1</v>
      </c>
      <c r="AW7" s="272">
        <f t="shared" si="19"/>
        <v>1</v>
      </c>
      <c r="AX7" s="272">
        <f t="shared" si="19"/>
        <v>2</v>
      </c>
      <c r="AY7" s="272">
        <f t="shared" si="19"/>
        <v>2</v>
      </c>
      <c r="AZ7" s="272">
        <f t="shared" si="19"/>
        <v>2</v>
      </c>
      <c r="BA7" s="272">
        <f t="shared" si="19"/>
        <v>3</v>
      </c>
      <c r="BB7" s="272">
        <f t="shared" si="19"/>
        <v>3</v>
      </c>
      <c r="BC7" s="272">
        <f t="shared" si="19"/>
        <v>3</v>
      </c>
      <c r="BD7" s="272">
        <f t="shared" si="19"/>
        <v>4</v>
      </c>
      <c r="BE7" s="272">
        <f t="shared" si="19"/>
        <v>4</v>
      </c>
      <c r="BF7" s="272">
        <f t="shared" si="19"/>
        <v>4</v>
      </c>
      <c r="BG7" s="272">
        <f t="shared" si="19"/>
        <v>5</v>
      </c>
      <c r="BH7" s="272">
        <f t="shared" si="19"/>
        <v>5</v>
      </c>
      <c r="BI7" s="272">
        <f t="shared" si="19"/>
        <v>5</v>
      </c>
      <c r="BJ7" s="272">
        <f t="shared" si="19"/>
        <v>6</v>
      </c>
      <c r="BK7" s="272">
        <f t="shared" si="19"/>
        <v>6</v>
      </c>
      <c r="BL7" s="272">
        <f t="shared" si="19"/>
        <v>6</v>
      </c>
      <c r="BM7" s="272">
        <f t="shared" si="19"/>
        <v>7</v>
      </c>
      <c r="BN7" s="272">
        <f t="shared" si="19"/>
        <v>7</v>
      </c>
      <c r="BO7" s="272">
        <f t="shared" si="19"/>
        <v>7</v>
      </c>
      <c r="BP7" s="272">
        <f t="shared" si="19"/>
        <v>8</v>
      </c>
      <c r="BQ7" s="272">
        <f t="shared" si="19"/>
        <v>8</v>
      </c>
      <c r="BR7" s="272">
        <f t="shared" si="19"/>
        <v>8</v>
      </c>
      <c r="BS7" s="272">
        <f t="shared" si="19"/>
        <v>9</v>
      </c>
      <c r="BT7" s="272">
        <f t="shared" si="19"/>
        <v>9</v>
      </c>
      <c r="BU7" s="272">
        <f t="shared" si="19"/>
        <v>9</v>
      </c>
      <c r="BV7" s="272">
        <f t="shared" si="19"/>
        <v>10</v>
      </c>
      <c r="BW7" s="272">
        <f t="shared" si="19"/>
        <v>10</v>
      </c>
      <c r="BX7" s="272">
        <f t="shared" si="19"/>
        <v>10</v>
      </c>
      <c r="BY7" s="272">
        <f t="shared" si="19"/>
        <v>11</v>
      </c>
      <c r="BZ7" s="272">
        <f t="shared" si="19"/>
        <v>11</v>
      </c>
      <c r="CA7" s="272">
        <f t="shared" si="19"/>
        <v>11</v>
      </c>
      <c r="CB7" s="272">
        <f t="shared" si="19"/>
        <v>12</v>
      </c>
      <c r="CC7" s="272">
        <f t="shared" si="19"/>
        <v>12</v>
      </c>
      <c r="CD7" s="272">
        <f t="shared" si="19"/>
        <v>12</v>
      </c>
    </row>
    <row r="8" spans="1:82">
      <c r="A8" s="273"/>
      <c r="B8" s="273"/>
      <c r="C8" s="273"/>
      <c r="D8" s="273"/>
      <c r="E8" s="273"/>
      <c r="F8" s="273"/>
      <c r="G8" s="273"/>
      <c r="H8" s="273"/>
      <c r="I8" s="273"/>
      <c r="J8" s="273" t="s">
        <v>14</v>
      </c>
      <c r="K8" s="277">
        <f t="shared" ref="K8:AJ8" si="20">YEAR(K2)*12+MONTH(K2)-YEAR($I$4)*12-MONTH($I$4)+1</f>
        <v>-35</v>
      </c>
      <c r="L8" s="277">
        <f t="shared" si="20"/>
        <v>-34</v>
      </c>
      <c r="M8" s="277">
        <f t="shared" si="20"/>
        <v>-33</v>
      </c>
      <c r="N8" s="277">
        <f t="shared" si="20"/>
        <v>-32</v>
      </c>
      <c r="O8" s="277">
        <f t="shared" si="20"/>
        <v>-31</v>
      </c>
      <c r="P8" s="277">
        <f t="shared" si="20"/>
        <v>-30</v>
      </c>
      <c r="Q8" s="277">
        <f t="shared" si="20"/>
        <v>-29</v>
      </c>
      <c r="R8" s="277">
        <f t="shared" si="20"/>
        <v>-28</v>
      </c>
      <c r="S8" s="277">
        <f t="shared" si="20"/>
        <v>-27</v>
      </c>
      <c r="T8" s="277">
        <f t="shared" si="20"/>
        <v>-26</v>
      </c>
      <c r="U8" s="277">
        <f t="shared" si="20"/>
        <v>-25</v>
      </c>
      <c r="V8" s="277">
        <f t="shared" si="20"/>
        <v>-24</v>
      </c>
      <c r="W8" s="277">
        <f t="shared" si="20"/>
        <v>-23</v>
      </c>
      <c r="X8" s="277">
        <f t="shared" si="20"/>
        <v>-22</v>
      </c>
      <c r="Y8" s="277">
        <f t="shared" si="20"/>
        <v>-21</v>
      </c>
      <c r="Z8" s="277">
        <f t="shared" si="20"/>
        <v>-20</v>
      </c>
      <c r="AA8" s="277">
        <f t="shared" si="20"/>
        <v>-19</v>
      </c>
      <c r="AB8" s="277">
        <f t="shared" si="20"/>
        <v>-18</v>
      </c>
      <c r="AC8" s="277">
        <f t="shared" si="20"/>
        <v>-17</v>
      </c>
      <c r="AD8" s="277">
        <f t="shared" si="20"/>
        <v>-16</v>
      </c>
      <c r="AE8" s="277">
        <f t="shared" si="20"/>
        <v>-15</v>
      </c>
      <c r="AF8" s="277">
        <f t="shared" si="20"/>
        <v>-14</v>
      </c>
      <c r="AG8" s="277">
        <f t="shared" si="20"/>
        <v>-13</v>
      </c>
      <c r="AH8" s="277">
        <f t="shared" si="20"/>
        <v>-12</v>
      </c>
      <c r="AI8" s="277">
        <f t="shared" si="20"/>
        <v>-11</v>
      </c>
      <c r="AJ8" s="277">
        <f t="shared" si="20"/>
        <v>-10</v>
      </c>
      <c r="AK8" s="277">
        <f t="shared" ref="AK8:AP8" si="21">YEAR(AK2)*12+MONTH(AK2)-YEAR($I$4)*12-MONTH($I$4)+1</f>
        <v>-9</v>
      </c>
      <c r="AL8" s="277">
        <f t="shared" si="21"/>
        <v>-8</v>
      </c>
      <c r="AM8" s="277">
        <f t="shared" si="21"/>
        <v>-7</v>
      </c>
      <c r="AN8" s="277">
        <f t="shared" si="21"/>
        <v>-6</v>
      </c>
      <c r="AO8" s="277">
        <f t="shared" si="21"/>
        <v>-5</v>
      </c>
      <c r="AP8" s="277">
        <f t="shared" si="21"/>
        <v>-4</v>
      </c>
      <c r="AQ8" s="277">
        <f t="shared" ref="AQ8" si="22">YEAR(AQ2)*12+MONTH(AQ2)-YEAR($I$4)*12-MONTH($I$4)+1</f>
        <v>-3</v>
      </c>
      <c r="AR8" s="277">
        <f t="shared" ref="AR8:CD8" si="23">YEAR(AR2)*12+MONTH(AR2)-YEAR($I$4)*12-MONTH($I$4)+1</f>
        <v>-2</v>
      </c>
      <c r="AS8" s="277">
        <f t="shared" si="23"/>
        <v>-1</v>
      </c>
      <c r="AT8" s="277">
        <f t="shared" si="23"/>
        <v>0</v>
      </c>
      <c r="AU8" s="277">
        <f t="shared" si="23"/>
        <v>1</v>
      </c>
      <c r="AV8" s="277">
        <f t="shared" si="23"/>
        <v>2</v>
      </c>
      <c r="AW8" s="277">
        <f t="shared" si="23"/>
        <v>3</v>
      </c>
      <c r="AX8" s="277">
        <f t="shared" si="23"/>
        <v>4</v>
      </c>
      <c r="AY8" s="277">
        <f t="shared" si="23"/>
        <v>5</v>
      </c>
      <c r="AZ8" s="277">
        <f t="shared" si="23"/>
        <v>6</v>
      </c>
      <c r="BA8" s="277">
        <f t="shared" si="23"/>
        <v>7</v>
      </c>
      <c r="BB8" s="277">
        <f t="shared" si="23"/>
        <v>8</v>
      </c>
      <c r="BC8" s="277">
        <f t="shared" si="23"/>
        <v>9</v>
      </c>
      <c r="BD8" s="277">
        <f t="shared" si="23"/>
        <v>10</v>
      </c>
      <c r="BE8" s="277">
        <f t="shared" si="23"/>
        <v>11</v>
      </c>
      <c r="BF8" s="277">
        <f t="shared" si="23"/>
        <v>12</v>
      </c>
      <c r="BG8" s="277">
        <f t="shared" si="23"/>
        <v>13</v>
      </c>
      <c r="BH8" s="277">
        <f t="shared" si="23"/>
        <v>14</v>
      </c>
      <c r="BI8" s="277">
        <f t="shared" si="23"/>
        <v>15</v>
      </c>
      <c r="BJ8" s="277">
        <f t="shared" si="23"/>
        <v>16</v>
      </c>
      <c r="BK8" s="277">
        <f t="shared" si="23"/>
        <v>17</v>
      </c>
      <c r="BL8" s="277">
        <f t="shared" si="23"/>
        <v>18</v>
      </c>
      <c r="BM8" s="277">
        <f t="shared" si="23"/>
        <v>19</v>
      </c>
      <c r="BN8" s="277">
        <f t="shared" si="23"/>
        <v>20</v>
      </c>
      <c r="BO8" s="277">
        <f t="shared" si="23"/>
        <v>21</v>
      </c>
      <c r="BP8" s="277">
        <f t="shared" si="23"/>
        <v>22</v>
      </c>
      <c r="BQ8" s="277">
        <f t="shared" si="23"/>
        <v>23</v>
      </c>
      <c r="BR8" s="277">
        <f t="shared" si="23"/>
        <v>24</v>
      </c>
      <c r="BS8" s="277">
        <f t="shared" si="23"/>
        <v>25</v>
      </c>
      <c r="BT8" s="277">
        <f t="shared" si="23"/>
        <v>26</v>
      </c>
      <c r="BU8" s="277">
        <f t="shared" si="23"/>
        <v>27</v>
      </c>
      <c r="BV8" s="277">
        <f t="shared" si="23"/>
        <v>28</v>
      </c>
      <c r="BW8" s="277">
        <f t="shared" si="23"/>
        <v>29</v>
      </c>
      <c r="BX8" s="277">
        <f t="shared" si="23"/>
        <v>30</v>
      </c>
      <c r="BY8" s="277">
        <f t="shared" si="23"/>
        <v>31</v>
      </c>
      <c r="BZ8" s="277">
        <f t="shared" si="23"/>
        <v>32</v>
      </c>
      <c r="CA8" s="277">
        <f t="shared" si="23"/>
        <v>33</v>
      </c>
      <c r="CB8" s="277">
        <f t="shared" si="23"/>
        <v>34</v>
      </c>
      <c r="CC8" s="277">
        <f t="shared" si="23"/>
        <v>35</v>
      </c>
      <c r="CD8" s="277">
        <f t="shared" si="23"/>
        <v>36</v>
      </c>
    </row>
    <row r="9" spans="1:82">
      <c r="D9" s="192"/>
      <c r="AR9" s="232" t="s">
        <v>663</v>
      </c>
      <c r="AU9" s="232"/>
    </row>
    <row r="10" spans="1:82">
      <c r="C10" s="323"/>
      <c r="D10" s="219"/>
      <c r="E10" s="219"/>
      <c r="F10" s="219"/>
      <c r="G10" s="219"/>
      <c r="H10" s="219"/>
      <c r="I10" s="219"/>
      <c r="W10" s="144">
        <f>W11/V11-1</f>
        <v>3.3409964997969333E-2</v>
      </c>
      <c r="AI10" s="144">
        <f>AI11/AH11-1</f>
        <v>3.3411205384412224E-2</v>
      </c>
      <c r="AR10" s="232" t="s">
        <v>662</v>
      </c>
      <c r="AU10" s="232"/>
      <c r="BG10" s="144">
        <f>BG11/BF11-1</f>
        <v>3.3414200032458208E-2</v>
      </c>
      <c r="CB10" s="801" t="s">
        <v>665</v>
      </c>
    </row>
    <row r="11" spans="1:82">
      <c r="A11" s="119">
        <f>ROW()</f>
        <v>11</v>
      </c>
      <c r="C11" s="220" t="s">
        <v>155</v>
      </c>
      <c r="D11" s="221"/>
      <c r="E11" s="221"/>
      <c r="F11" s="221"/>
      <c r="G11" s="221"/>
      <c r="H11" s="221"/>
      <c r="I11" s="221"/>
      <c r="J11" s="222">
        <f t="shared" ref="J11:J34" si="24">SUM(K11:CD11)</f>
        <v>869405.3602340332</v>
      </c>
      <c r="K11" s="222">
        <f>actual3yr!E70</f>
        <v>11105.07</v>
      </c>
      <c r="L11" s="222">
        <f>actual3yr!F70</f>
        <v>11105.07</v>
      </c>
      <c r="M11" s="222">
        <f>actual3yr!G70</f>
        <v>11105.07</v>
      </c>
      <c r="N11" s="222">
        <f>actual3yr!H70</f>
        <v>11105.07</v>
      </c>
      <c r="O11" s="222">
        <f>actual3yr!I70</f>
        <v>11105.07</v>
      </c>
      <c r="P11" s="222">
        <f>actual3yr!J70</f>
        <v>11105.04</v>
      </c>
      <c r="Q11" s="222">
        <f>actual3yr!K70</f>
        <v>11105.07</v>
      </c>
      <c r="R11" s="222">
        <f>actual3yr!L70</f>
        <v>11105.07</v>
      </c>
      <c r="S11" s="222">
        <f>actual3yr!M70</f>
        <v>11105.07</v>
      </c>
      <c r="T11" s="222">
        <f>actual3yr!O70</f>
        <v>11105.07</v>
      </c>
      <c r="U11" s="222">
        <f>actual3yr!P70</f>
        <v>11105.07</v>
      </c>
      <c r="V11" s="222">
        <f>actual3yr!Q70</f>
        <v>11105.07</v>
      </c>
      <c r="W11" s="222">
        <f>actual3yr!R70</f>
        <v>11476.09</v>
      </c>
      <c r="X11" s="222">
        <f>actual3yr!S70</f>
        <v>11476.09</v>
      </c>
      <c r="Y11" s="222">
        <f>actual3yr!T70</f>
        <v>11476.09</v>
      </c>
      <c r="Z11" s="222">
        <f>actual3yr!U70</f>
        <v>11476.09</v>
      </c>
      <c r="AA11" s="222">
        <f>actual3yr!V70</f>
        <v>11476.09</v>
      </c>
      <c r="AB11" s="222">
        <f>actual3yr!W70</f>
        <v>11476.09</v>
      </c>
      <c r="AC11" s="222">
        <f>actual3yr!X70</f>
        <v>11476.09</v>
      </c>
      <c r="AD11" s="222">
        <f>actual3yr!Y70</f>
        <v>11476.09</v>
      </c>
      <c r="AE11" s="222">
        <f>actual3yr!Z70</f>
        <v>11476.09</v>
      </c>
      <c r="AF11" s="222">
        <f>actual3yr!AB70</f>
        <v>11476.09</v>
      </c>
      <c r="AG11" s="222">
        <f>actual3yr!AC70</f>
        <v>11476.09</v>
      </c>
      <c r="AH11" s="222">
        <f>actual3yr!AD70</f>
        <v>11476.09</v>
      </c>
      <c r="AI11" s="222">
        <f>actual3yr!AE70</f>
        <v>11859.52</v>
      </c>
      <c r="AJ11" s="222">
        <f>actual3yr!AF70</f>
        <v>11859.52</v>
      </c>
      <c r="AK11" s="222">
        <f>actual3yr!AG70</f>
        <v>11859.52</v>
      </c>
      <c r="AL11" s="222">
        <f>actual3yr!AH70</f>
        <v>11859.52</v>
      </c>
      <c r="AM11" s="222">
        <f>actual3yr!AI70</f>
        <v>11859.52</v>
      </c>
      <c r="AN11" s="222">
        <f>actual3yr!AJ70</f>
        <v>11859.52</v>
      </c>
      <c r="AO11" s="222">
        <f>actual3yr!AK70</f>
        <v>11859.52</v>
      </c>
      <c r="AP11" s="222">
        <f>actual3yr!AL70</f>
        <v>11859.52</v>
      </c>
      <c r="AQ11" s="222">
        <f>actual3yr!AM70</f>
        <v>11859.52</v>
      </c>
      <c r="AR11" s="796">
        <f>'3yr forecast'!C13</f>
        <v>11859.512126</v>
      </c>
      <c r="AS11" s="222">
        <f>'3yr forecast'!D13</f>
        <v>11859.512126</v>
      </c>
      <c r="AT11" s="222">
        <f>'3yr forecast'!E13</f>
        <v>11859.512126</v>
      </c>
      <c r="AU11" s="914">
        <f>VLOOKUP(AU2,Rentroll2!$A:$K,8,FALSE)</f>
        <v>12255.837538552081</v>
      </c>
      <c r="AV11" s="913">
        <f>VLOOKUP(AV2,Rentroll2!$A:$K,8,FALSE)</f>
        <v>12255.837538552081</v>
      </c>
      <c r="AW11" s="913">
        <f>VLOOKUP(AW2,Rentroll2!$A:$K,8,FALSE)</f>
        <v>12255.837538552081</v>
      </c>
      <c r="AX11" s="913">
        <f>VLOOKUP(AX2,Rentroll2!$A:$K,8,FALSE)</f>
        <v>12255.837538552081</v>
      </c>
      <c r="AY11" s="913">
        <f>VLOOKUP(AY2,Rentroll2!$A:$K,8,FALSE)</f>
        <v>12255.837538552081</v>
      </c>
      <c r="AZ11" s="913">
        <f>VLOOKUP(AZ2,Rentroll2!$A:$K,8,FALSE)</f>
        <v>12255.837538552081</v>
      </c>
      <c r="BA11" s="913">
        <f>VLOOKUP(BA2,Rentroll2!$A:$K,8,FALSE)</f>
        <v>12255.837538552081</v>
      </c>
      <c r="BB11" s="913">
        <f>VLOOKUP(BB2,Rentroll2!$A:$K,8,FALSE)</f>
        <v>12255.837538552081</v>
      </c>
      <c r="BC11" s="913">
        <f>VLOOKUP(BC2,Rentroll2!$A:$K,8,FALSE)</f>
        <v>12255.837538552081</v>
      </c>
      <c r="BD11" s="913">
        <f>VLOOKUP(BD2,Rentroll2!$A:$K,8,FALSE)</f>
        <v>12255.837538552081</v>
      </c>
      <c r="BE11" s="913">
        <f>VLOOKUP(BE2,Rentroll2!$A:$K,8,FALSE)</f>
        <v>12255.837538552081</v>
      </c>
      <c r="BF11" s="913">
        <f>VLOOKUP(BF2,Rentroll2!$A:$K,8,FALSE)</f>
        <v>12255.837538552081</v>
      </c>
      <c r="BG11" s="913">
        <f>VLOOKUP(BG2,Rentroll2!$A:$K,8,FALSE)</f>
        <v>12665.356545630571</v>
      </c>
      <c r="BH11" s="913">
        <f>VLOOKUP(BH2,Rentroll2!$A:$K,8,FALSE)</f>
        <v>12665.356545630571</v>
      </c>
      <c r="BI11" s="913">
        <f>VLOOKUP(BI2,Rentroll2!$A:$K,8,FALSE)</f>
        <v>12665.356545630571</v>
      </c>
      <c r="BJ11" s="913">
        <f>VLOOKUP(BJ2,Rentroll2!$A:$K,8,FALSE)</f>
        <v>12665.356545630571</v>
      </c>
      <c r="BK11" s="913">
        <f>VLOOKUP(BK2,Rentroll2!$A:$K,8,FALSE)</f>
        <v>12665.356545630571</v>
      </c>
      <c r="BL11" s="913">
        <f>VLOOKUP(BL2,Rentroll2!$A:$K,8,FALSE)</f>
        <v>12665.356545630571</v>
      </c>
      <c r="BM11" s="913">
        <f>VLOOKUP(BM2,Rentroll2!$A:$K,8,FALSE)</f>
        <v>12665.356545630571</v>
      </c>
      <c r="BN11" s="913">
        <f>VLOOKUP(BN2,Rentroll2!$A:$K,8,FALSE)</f>
        <v>12665.356545630571</v>
      </c>
      <c r="BO11" s="913">
        <f>VLOOKUP(BO2,Rentroll2!$A:$K,8,FALSE)</f>
        <v>12665.356545630571</v>
      </c>
      <c r="BP11" s="913">
        <f>VLOOKUP(BP2,Rentroll2!$A:$K,8,FALSE)</f>
        <v>12665.356545630571</v>
      </c>
      <c r="BQ11" s="913">
        <f>VLOOKUP(BQ2,Rentroll2!$A:$K,8,FALSE)</f>
        <v>12665.356545630571</v>
      </c>
      <c r="BR11" s="913">
        <f>VLOOKUP(BR2,Rentroll2!$A:$K,8,FALSE)</f>
        <v>12665.356545630571</v>
      </c>
      <c r="BS11" s="913">
        <f>VLOOKUP(BS2,Rentroll2!$A:$K,8,FALSE)</f>
        <v>13088.577070486757</v>
      </c>
      <c r="BT11" s="913">
        <f>VLOOKUP(BT2,Rentroll2!$A:$K,8,FALSE)</f>
        <v>13088.577070486757</v>
      </c>
      <c r="BU11" s="913">
        <f>VLOOKUP(BU2,Rentroll2!$A:$K,8,FALSE)</f>
        <v>13088.577070486757</v>
      </c>
      <c r="BV11" s="913">
        <f>VLOOKUP(BV2,Rentroll2!$A:$K,8,FALSE)</f>
        <v>13088.577070486757</v>
      </c>
      <c r="BW11" s="913">
        <f>VLOOKUP(BW2,Rentroll2!$A:$K,8,FALSE)</f>
        <v>13088.577070486757</v>
      </c>
      <c r="BX11" s="913">
        <f>VLOOKUP(BX2,Rentroll2!$A:$K,8,FALSE)</f>
        <v>13088.577070486757</v>
      </c>
      <c r="BY11" s="913">
        <f>VLOOKUP(BY2,Rentroll2!$A:$K,8,FALSE)</f>
        <v>13088.577070486757</v>
      </c>
      <c r="BZ11" s="913">
        <f>VLOOKUP(BZ2,Rentroll2!$A:$K,8,FALSE)</f>
        <v>13088.577070486757</v>
      </c>
      <c r="CA11" s="913">
        <f>VLOOKUP(CA2,Rentroll2!$A:$K,8,FALSE)</f>
        <v>13088.577070486757</v>
      </c>
      <c r="CB11" s="913">
        <f>VLOOKUP(CB2,Rentroll2!$A:$K,8,FALSE)</f>
        <v>13088.577070486757</v>
      </c>
      <c r="CC11" s="913">
        <f>VLOOKUP(CC2,Rentroll2!$A:$K,8,FALSE)</f>
        <v>13088.577070486757</v>
      </c>
      <c r="CD11" s="913">
        <f>VLOOKUP(CD2,Rentroll2!$A:$K,8,FALSE)</f>
        <v>13088.577070486757</v>
      </c>
    </row>
    <row r="12" spans="1:82">
      <c r="A12" s="119">
        <f>ROW()</f>
        <v>12</v>
      </c>
      <c r="C12" s="220" t="s">
        <v>156</v>
      </c>
      <c r="D12" s="221"/>
      <c r="E12" s="221"/>
      <c r="F12" s="221"/>
      <c r="G12" s="221"/>
      <c r="H12" s="221"/>
      <c r="I12" s="221"/>
      <c r="J12" s="222">
        <f t="shared" si="24"/>
        <v>31087290.780920893</v>
      </c>
      <c r="K12" s="222">
        <f>actual3yr!E71</f>
        <v>395503.42500000005</v>
      </c>
      <c r="L12" s="222">
        <f>actual3yr!F71</f>
        <v>395503.42</v>
      </c>
      <c r="M12" s="222">
        <f>actual3yr!G71</f>
        <v>395503.42</v>
      </c>
      <c r="N12" s="222">
        <f>actual3yr!H71</f>
        <v>395503.42</v>
      </c>
      <c r="O12" s="222">
        <f>actual3yr!I71</f>
        <v>395503.42</v>
      </c>
      <c r="P12" s="222">
        <f>actual3yr!J71</f>
        <v>395503.42</v>
      </c>
      <c r="Q12" s="222">
        <f>actual3yr!K71</f>
        <v>395503.31</v>
      </c>
      <c r="R12" s="222">
        <f>actual3yr!L71</f>
        <v>395503.42</v>
      </c>
      <c r="S12" s="222">
        <f>actual3yr!M71</f>
        <v>395503.42</v>
      </c>
      <c r="T12" s="222">
        <f>actual3yr!O71</f>
        <v>395503.42</v>
      </c>
      <c r="U12" s="222">
        <f>actual3yr!P71</f>
        <v>395503.42</v>
      </c>
      <c r="V12" s="222">
        <f>actual3yr!Q71</f>
        <v>395503.42</v>
      </c>
      <c r="W12" s="222">
        <f>actual3yr!R71</f>
        <v>409346.04</v>
      </c>
      <c r="X12" s="222">
        <f>actual3yr!S71</f>
        <v>409346.04</v>
      </c>
      <c r="Y12" s="222">
        <f>actual3yr!T71</f>
        <v>409346.04</v>
      </c>
      <c r="Z12" s="222">
        <f>actual3yr!U71</f>
        <v>409346.04</v>
      </c>
      <c r="AA12" s="222">
        <f>actual3yr!V71</f>
        <v>409346.04</v>
      </c>
      <c r="AB12" s="222">
        <f>actual3yr!W71</f>
        <v>409346.04</v>
      </c>
      <c r="AC12" s="222">
        <f>actual3yr!X71</f>
        <v>409346.04</v>
      </c>
      <c r="AD12" s="222">
        <f>actual3yr!Y71</f>
        <v>409346.04</v>
      </c>
      <c r="AE12" s="222">
        <f>actual3yr!Z71</f>
        <v>409346.04</v>
      </c>
      <c r="AF12" s="222">
        <f>actual3yr!AB71</f>
        <v>409346.04</v>
      </c>
      <c r="AG12" s="222">
        <f>actual3yr!AC71</f>
        <v>409346.04</v>
      </c>
      <c r="AH12" s="222">
        <f>actual3yr!AD71</f>
        <v>409346.04</v>
      </c>
      <c r="AI12" s="222">
        <f>actual3yr!AE71</f>
        <v>423673.15</v>
      </c>
      <c r="AJ12" s="222">
        <f>actual3yr!AF71</f>
        <v>423673.01</v>
      </c>
      <c r="AK12" s="222">
        <f>actual3yr!AG71</f>
        <v>423673.15</v>
      </c>
      <c r="AL12" s="222">
        <f>actual3yr!AH71</f>
        <v>423673.15</v>
      </c>
      <c r="AM12" s="222">
        <f>actual3yr!AI71</f>
        <v>423673.15</v>
      </c>
      <c r="AN12" s="222">
        <f>actual3yr!AJ71</f>
        <v>423673.15</v>
      </c>
      <c r="AO12" s="222">
        <f>actual3yr!AK71</f>
        <v>423673.15</v>
      </c>
      <c r="AP12" s="222">
        <f>actual3yr!AL71</f>
        <v>423673.01</v>
      </c>
      <c r="AQ12" s="222">
        <f>actual3yr!AM71</f>
        <v>423673.15</v>
      </c>
      <c r="AR12" s="796">
        <f>'3yr forecast'!C14</f>
        <v>423673.16827800003</v>
      </c>
      <c r="AS12" s="222">
        <f>'3yr forecast'!D14</f>
        <v>423673.16827800003</v>
      </c>
      <c r="AT12" s="222">
        <f>'3yr forecast'!E14</f>
        <v>423673.16827800003</v>
      </c>
      <c r="AU12" s="222">
        <f>'3yr forecast'!F14</f>
        <v>438501.712719</v>
      </c>
      <c r="AV12" s="222">
        <f>'3yr forecast'!G14</f>
        <v>438501.712719</v>
      </c>
      <c r="AW12" s="222">
        <f>'3yr forecast'!H14</f>
        <v>438501.712719</v>
      </c>
      <c r="AX12" s="222">
        <f>'3yr forecast'!I14</f>
        <v>438501.712719</v>
      </c>
      <c r="AY12" s="222">
        <f>'3yr forecast'!J14</f>
        <v>438501.712719</v>
      </c>
      <c r="AZ12" s="222">
        <f>'3yr forecast'!K14</f>
        <v>438501.712719</v>
      </c>
      <c r="BA12" s="222">
        <f>'3yr forecast'!L14</f>
        <v>438501.712719</v>
      </c>
      <c r="BB12" s="222">
        <f>'3yr forecast'!M14</f>
        <v>438501.712719</v>
      </c>
      <c r="BC12" s="222">
        <f>'3yr forecast'!N14</f>
        <v>438501.712719</v>
      </c>
      <c r="BD12" s="222">
        <f>'3yr forecast'!O14</f>
        <v>438501.712719</v>
      </c>
      <c r="BE12" s="222">
        <f>'3yr forecast'!P14</f>
        <v>438501.712719</v>
      </c>
      <c r="BF12" s="222">
        <f>'3yr forecast'!Q14</f>
        <v>438501.712719</v>
      </c>
      <c r="BG12" s="222">
        <f>'3yr forecast'!R14</f>
        <v>453849.27266416495</v>
      </c>
      <c r="BH12" s="222">
        <f>'3yr forecast'!S14</f>
        <v>453849.27266416495</v>
      </c>
      <c r="BI12" s="222">
        <f>'3yr forecast'!T14</f>
        <v>453849.27266416495</v>
      </c>
      <c r="BJ12" s="222">
        <f>'3yr forecast'!U14</f>
        <v>453849.27266416495</v>
      </c>
      <c r="BK12" s="222">
        <f>'3yr forecast'!V14</f>
        <v>453849.27266416495</v>
      </c>
      <c r="BL12" s="222">
        <f>'3yr forecast'!W14</f>
        <v>453849.27266416495</v>
      </c>
      <c r="BM12" s="222">
        <f>'3yr forecast'!X14</f>
        <v>453849.27266416495</v>
      </c>
      <c r="BN12" s="222">
        <f>'3yr forecast'!Y14</f>
        <v>453849.27266416495</v>
      </c>
      <c r="BO12" s="222">
        <f>'3yr forecast'!Z14</f>
        <v>453849.27266416495</v>
      </c>
      <c r="BP12" s="222">
        <f>'3yr forecast'!AA14</f>
        <v>453849.27266416495</v>
      </c>
      <c r="BQ12" s="222">
        <f>'3yr forecast'!AB14</f>
        <v>453849.27266416495</v>
      </c>
      <c r="BR12" s="222">
        <f>'3yr forecast'!AC14</f>
        <v>453849.27266416495</v>
      </c>
      <c r="BS12" s="222">
        <f>'3yr forecast'!AD14</f>
        <v>469733.99720741069</v>
      </c>
      <c r="BT12" s="222">
        <f>'3yr forecast'!AE14</f>
        <v>469733.99720741069</v>
      </c>
      <c r="BU12" s="222">
        <f>'3yr forecast'!AF14</f>
        <v>469733.99720741069</v>
      </c>
      <c r="BV12" s="222">
        <f>'3yr forecast'!AG14</f>
        <v>469733.99720741069</v>
      </c>
      <c r="BW12" s="222">
        <f>'3yr forecast'!AH14</f>
        <v>469733.99720741069</v>
      </c>
      <c r="BX12" s="222">
        <f>'3yr forecast'!AI14</f>
        <v>469733.99720741069</v>
      </c>
      <c r="BY12" s="222">
        <f>'3yr forecast'!AJ14</f>
        <v>469733.99720741069</v>
      </c>
      <c r="BZ12" s="222">
        <f>'3yr forecast'!AK14</f>
        <v>469733.99720741069</v>
      </c>
      <c r="CA12" s="222">
        <f>'3yr forecast'!AL14</f>
        <v>469733.99720741069</v>
      </c>
      <c r="CB12" s="222">
        <f>'3yr forecast'!AM14</f>
        <v>469733.99720741069</v>
      </c>
      <c r="CC12" s="222">
        <f>'3yr forecast'!AN14</f>
        <v>469733.99720741069</v>
      </c>
      <c r="CD12" s="222">
        <f>'3yr forecast'!AO14</f>
        <v>469733.99720741069</v>
      </c>
    </row>
    <row r="13" spans="1:82">
      <c r="A13" s="119">
        <f>ROW()</f>
        <v>13</v>
      </c>
      <c r="C13" s="220" t="s">
        <v>157</v>
      </c>
      <c r="D13" s="221"/>
      <c r="E13" s="221"/>
      <c r="F13" s="221"/>
      <c r="G13" s="221"/>
      <c r="H13" s="221"/>
      <c r="I13" s="221"/>
      <c r="J13" s="222">
        <f t="shared" si="24"/>
        <v>1376016.7844350012</v>
      </c>
      <c r="K13" s="222">
        <f>actual3yr!E72</f>
        <v>18467.32</v>
      </c>
      <c r="L13" s="222">
        <f>actual3yr!F72</f>
        <v>18467.330000000002</v>
      </c>
      <c r="M13" s="222">
        <f>actual3yr!G72</f>
        <v>19205.759999999998</v>
      </c>
      <c r="N13" s="222">
        <f>actual3yr!H72</f>
        <v>19021.77</v>
      </c>
      <c r="O13" s="222">
        <f>actual3yr!I72</f>
        <v>19021.77</v>
      </c>
      <c r="P13" s="222">
        <f>actual3yr!J72</f>
        <v>19021.77</v>
      </c>
      <c r="Q13" s="222">
        <f>actual3yr!K72</f>
        <v>19021.77</v>
      </c>
      <c r="R13" s="222">
        <f>actual3yr!L72</f>
        <v>19021.77</v>
      </c>
      <c r="S13" s="222">
        <f>actual3yr!M72</f>
        <v>19021.77</v>
      </c>
      <c r="T13" s="222">
        <f>actual3yr!O72</f>
        <v>19021.77</v>
      </c>
      <c r="U13" s="222">
        <f>actual3yr!P72</f>
        <v>19021.77</v>
      </c>
      <c r="V13" s="222">
        <f>actual3yr!Q72</f>
        <v>19021.77</v>
      </c>
      <c r="W13" s="222">
        <f>actual3yr!R72</f>
        <v>19021.77</v>
      </c>
      <c r="X13" s="222">
        <f>actual3yr!S72</f>
        <v>19256.12</v>
      </c>
      <c r="Y13" s="222">
        <f>actual3yr!T72</f>
        <v>19547.41</v>
      </c>
      <c r="Z13" s="222">
        <f>actual3yr!U72</f>
        <v>19584.53</v>
      </c>
      <c r="AA13" s="222">
        <f>actual3yr!V72</f>
        <v>19584.53</v>
      </c>
      <c r="AB13" s="222">
        <f>actual3yr!W72</f>
        <v>19584.53</v>
      </c>
      <c r="AC13" s="222">
        <f>actual3yr!X72</f>
        <v>19584.53</v>
      </c>
      <c r="AD13" s="222">
        <f>actual3yr!Y72</f>
        <v>19584.53</v>
      </c>
      <c r="AE13" s="222">
        <f>actual3yr!Z72</f>
        <v>19584.53</v>
      </c>
      <c r="AF13" s="222">
        <f>actual3yr!AB72</f>
        <v>19584.53</v>
      </c>
      <c r="AG13" s="222">
        <f>actual3yr!AC72</f>
        <v>19584.53</v>
      </c>
      <c r="AH13" s="222">
        <f>actual3yr!AD72</f>
        <v>19584.53</v>
      </c>
      <c r="AI13" s="222">
        <f>actual3yr!AE72</f>
        <v>19584.53</v>
      </c>
      <c r="AJ13" s="222">
        <f>actual3yr!AF72</f>
        <v>19827.080000000002</v>
      </c>
      <c r="AK13" s="222">
        <f>actual3yr!AG72</f>
        <v>20137.79</v>
      </c>
      <c r="AL13" s="222">
        <f>actual3yr!AH72</f>
        <v>20190.84</v>
      </c>
      <c r="AM13" s="222">
        <f>actual3yr!AI72</f>
        <v>20190.84</v>
      </c>
      <c r="AN13" s="222">
        <f>actual3yr!AJ72</f>
        <v>20190.84</v>
      </c>
      <c r="AO13" s="222">
        <f>actual3yr!AK72</f>
        <v>20190.84</v>
      </c>
      <c r="AP13" s="222">
        <f>actual3yr!AL72</f>
        <v>20190.84</v>
      </c>
      <c r="AQ13" s="222">
        <f>actual3yr!AM72</f>
        <v>20190.84</v>
      </c>
      <c r="AR13" s="796">
        <f>'3yr forecast'!C15</f>
        <v>20198.974999999999</v>
      </c>
      <c r="AS13" s="222">
        <f>'3yr forecast'!D15</f>
        <v>20198.974999999999</v>
      </c>
      <c r="AT13" s="222">
        <f>'3yr forecast'!E15</f>
        <v>20198.974999999999</v>
      </c>
      <c r="AU13" s="222">
        <f>'3yr forecast'!F15</f>
        <v>20198.974999999999</v>
      </c>
      <c r="AV13" s="222">
        <f>'3yr forecast'!G15</f>
        <v>20450.019166999999</v>
      </c>
      <c r="AW13" s="222">
        <f>'3yr forecast'!H15</f>
        <v>15908.012500000001</v>
      </c>
      <c r="AX13" s="222">
        <f>'3yr forecast'!I15</f>
        <v>15908.012500000001</v>
      </c>
      <c r="AY13" s="222">
        <f>'3yr forecast'!J15</f>
        <v>15908.012500000001</v>
      </c>
      <c r="AZ13" s="222">
        <f>'3yr forecast'!K15</f>
        <v>15908.012500000001</v>
      </c>
      <c r="BA13" s="222">
        <f>'3yr forecast'!L15</f>
        <v>15908.012500000001</v>
      </c>
      <c r="BB13" s="222">
        <f>'3yr forecast'!M15</f>
        <v>15908.012500000001</v>
      </c>
      <c r="BC13" s="222">
        <f>'3yr forecast'!N15</f>
        <v>20974.606878999999</v>
      </c>
      <c r="BD13" s="222">
        <f>'3yr forecast'!O15</f>
        <v>21314.173484083334</v>
      </c>
      <c r="BE13" s="222">
        <f>'3yr forecast'!P15</f>
        <v>21314.173484083334</v>
      </c>
      <c r="BF13" s="222">
        <f>'3yr forecast'!Q15</f>
        <v>21314.173484083334</v>
      </c>
      <c r="BG13" s="222">
        <f>'3yr forecast'!R15</f>
        <v>21314.173484083334</v>
      </c>
      <c r="BH13" s="222">
        <f>'3yr forecast'!S15</f>
        <v>21314.173484083334</v>
      </c>
      <c r="BI13" s="222">
        <f>'3yr forecast'!T15</f>
        <v>21314.173484083334</v>
      </c>
      <c r="BJ13" s="222">
        <f>'3yr forecast'!U15</f>
        <v>21314.173484083334</v>
      </c>
      <c r="BK13" s="222">
        <f>'3yr forecast'!V15</f>
        <v>21314.173484083334</v>
      </c>
      <c r="BL13" s="222">
        <f>'3yr forecast'!W15</f>
        <v>21314.173484083334</v>
      </c>
      <c r="BM13" s="222">
        <f>'3yr forecast'!X15</f>
        <v>21314.173484083334</v>
      </c>
      <c r="BN13" s="222">
        <f>'3yr forecast'!Y15</f>
        <v>21314.173484083334</v>
      </c>
      <c r="BO13" s="222">
        <f>'3yr forecast'!Z15</f>
        <v>21314.173484083334</v>
      </c>
      <c r="BP13" s="222">
        <f>'3yr forecast'!AA15</f>
        <v>17364.083438666665</v>
      </c>
      <c r="BQ13" s="222">
        <f>'3yr forecast'!AB15</f>
        <v>17364.083438666665</v>
      </c>
      <c r="BR13" s="222">
        <f>'3yr forecast'!AC15</f>
        <v>17364.083438666665</v>
      </c>
      <c r="BS13" s="222">
        <f>'3yr forecast'!AD15</f>
        <v>17364.083438666665</v>
      </c>
      <c r="BT13" s="222">
        <f>'3yr forecast'!AE15</f>
        <v>17364.083438666665</v>
      </c>
      <c r="BU13" s="222">
        <f>'3yr forecast'!AF15</f>
        <v>17364.083438666665</v>
      </c>
      <c r="BV13" s="222">
        <f>'3yr forecast'!AG15</f>
        <v>17364.083438666665</v>
      </c>
      <c r="BW13" s="222">
        <f>'3yr forecast'!AH15</f>
        <v>17364.083438666665</v>
      </c>
      <c r="BX13" s="222">
        <f>'3yr forecast'!AI15</f>
        <v>17364.083438666665</v>
      </c>
      <c r="BY13" s="222">
        <f>'3yr forecast'!AJ15</f>
        <v>17364.083438666665</v>
      </c>
      <c r="BZ13" s="222">
        <f>'3yr forecast'!AK15</f>
        <v>17364.083438666665</v>
      </c>
      <c r="CA13" s="222">
        <f>'3yr forecast'!AL15</f>
        <v>17364.083438666665</v>
      </c>
      <c r="CB13" s="222">
        <f>'3yr forecast'!AM15</f>
        <v>17364.083438666665</v>
      </c>
      <c r="CC13" s="222">
        <f>'3yr forecast'!AN15</f>
        <v>17364.083438666665</v>
      </c>
      <c r="CD13" s="222">
        <f>'3yr forecast'!AO15</f>
        <v>17364.083438666665</v>
      </c>
    </row>
    <row r="14" spans="1:82">
      <c r="A14" s="119">
        <f>ROW()</f>
        <v>14</v>
      </c>
      <c r="C14" s="220" t="s">
        <v>158</v>
      </c>
      <c r="D14" s="221"/>
      <c r="E14" s="221"/>
      <c r="F14" s="221"/>
      <c r="G14" s="221"/>
      <c r="H14" s="221"/>
      <c r="I14" s="221"/>
      <c r="J14" s="222">
        <f t="shared" si="24"/>
        <v>313200</v>
      </c>
      <c r="K14" s="222">
        <f>actual3yr!E73</f>
        <v>4350</v>
      </c>
      <c r="L14" s="222">
        <f>actual3yr!F73</f>
        <v>4350</v>
      </c>
      <c r="M14" s="222">
        <f>actual3yr!G73</f>
        <v>4350</v>
      </c>
      <c r="N14" s="222">
        <f>actual3yr!H73</f>
        <v>4350</v>
      </c>
      <c r="O14" s="222">
        <f>actual3yr!I73</f>
        <v>4350</v>
      </c>
      <c r="P14" s="222">
        <f>actual3yr!J73</f>
        <v>4350</v>
      </c>
      <c r="Q14" s="222">
        <f>actual3yr!K73</f>
        <v>4350</v>
      </c>
      <c r="R14" s="222">
        <f>actual3yr!L73</f>
        <v>4350</v>
      </c>
      <c r="S14" s="222">
        <f>actual3yr!M73</f>
        <v>4350</v>
      </c>
      <c r="T14" s="222">
        <f>actual3yr!O73</f>
        <v>4350</v>
      </c>
      <c r="U14" s="222">
        <f>actual3yr!P73</f>
        <v>4350</v>
      </c>
      <c r="V14" s="222">
        <f>actual3yr!Q73</f>
        <v>4350</v>
      </c>
      <c r="W14" s="222">
        <f>actual3yr!R73</f>
        <v>4350</v>
      </c>
      <c r="X14" s="222">
        <f>actual3yr!S73</f>
        <v>4350</v>
      </c>
      <c r="Y14" s="222">
        <f>actual3yr!T73</f>
        <v>4350</v>
      </c>
      <c r="Z14" s="222">
        <f>actual3yr!U73</f>
        <v>4350</v>
      </c>
      <c r="AA14" s="222">
        <f>actual3yr!V73</f>
        <v>4350</v>
      </c>
      <c r="AB14" s="222">
        <f>actual3yr!W73</f>
        <v>4350</v>
      </c>
      <c r="AC14" s="222">
        <f>actual3yr!X73</f>
        <v>4350</v>
      </c>
      <c r="AD14" s="222">
        <f>actual3yr!Y73</f>
        <v>4350</v>
      </c>
      <c r="AE14" s="222">
        <f>actual3yr!Z73</f>
        <v>4350</v>
      </c>
      <c r="AF14" s="222">
        <f>actual3yr!AB73</f>
        <v>4350</v>
      </c>
      <c r="AG14" s="222">
        <f>actual3yr!AC73</f>
        <v>4350</v>
      </c>
      <c r="AH14" s="222">
        <f>actual3yr!AD73</f>
        <v>4350</v>
      </c>
      <c r="AI14" s="222">
        <f>actual3yr!AE73</f>
        <v>4350</v>
      </c>
      <c r="AJ14" s="222">
        <f>actual3yr!AF73</f>
        <v>4350</v>
      </c>
      <c r="AK14" s="222">
        <f>actual3yr!AG73</f>
        <v>4350</v>
      </c>
      <c r="AL14" s="222">
        <f>actual3yr!AH73</f>
        <v>4350</v>
      </c>
      <c r="AM14" s="222">
        <f>actual3yr!AI73</f>
        <v>4350</v>
      </c>
      <c r="AN14" s="222">
        <f>actual3yr!AJ73</f>
        <v>4350</v>
      </c>
      <c r="AO14" s="222">
        <f>actual3yr!AK73</f>
        <v>4350</v>
      </c>
      <c r="AP14" s="222">
        <f>actual3yr!AL73</f>
        <v>4350</v>
      </c>
      <c r="AQ14" s="222">
        <f>actual3yr!AM73</f>
        <v>4350</v>
      </c>
      <c r="AR14" s="796">
        <f>'3yr forecast'!C16</f>
        <v>4350</v>
      </c>
      <c r="AS14" s="222">
        <f>'3yr forecast'!D16</f>
        <v>4350</v>
      </c>
      <c r="AT14" s="222">
        <f>'3yr forecast'!E16</f>
        <v>4350</v>
      </c>
      <c r="AU14" s="222">
        <f>'3yr forecast'!F16</f>
        <v>4350</v>
      </c>
      <c r="AV14" s="222">
        <f>'3yr forecast'!G16</f>
        <v>4350</v>
      </c>
      <c r="AW14" s="222">
        <f>'3yr forecast'!H16</f>
        <v>4350</v>
      </c>
      <c r="AX14" s="222">
        <f>'3yr forecast'!I16</f>
        <v>4350</v>
      </c>
      <c r="AY14" s="222">
        <f>'3yr forecast'!J16</f>
        <v>4350</v>
      </c>
      <c r="AZ14" s="222">
        <f>'3yr forecast'!K16</f>
        <v>4350</v>
      </c>
      <c r="BA14" s="222">
        <f>'3yr forecast'!L16</f>
        <v>4350</v>
      </c>
      <c r="BB14" s="222">
        <f>'3yr forecast'!M16</f>
        <v>4350</v>
      </c>
      <c r="BC14" s="222">
        <f>'3yr forecast'!N16</f>
        <v>4350</v>
      </c>
      <c r="BD14" s="222">
        <f>'3yr forecast'!O16</f>
        <v>4350</v>
      </c>
      <c r="BE14" s="222">
        <f>'3yr forecast'!P16</f>
        <v>4350</v>
      </c>
      <c r="BF14" s="222">
        <f>'3yr forecast'!Q16</f>
        <v>4350</v>
      </c>
      <c r="BG14" s="222">
        <f>'3yr forecast'!R16</f>
        <v>4350</v>
      </c>
      <c r="BH14" s="222">
        <f>'3yr forecast'!S16</f>
        <v>4350</v>
      </c>
      <c r="BI14" s="222">
        <f>'3yr forecast'!T16</f>
        <v>4350</v>
      </c>
      <c r="BJ14" s="222">
        <f>'3yr forecast'!U16</f>
        <v>4350</v>
      </c>
      <c r="BK14" s="222">
        <f>'3yr forecast'!V16</f>
        <v>4350</v>
      </c>
      <c r="BL14" s="222">
        <f>'3yr forecast'!W16</f>
        <v>4350</v>
      </c>
      <c r="BM14" s="222">
        <f>'3yr forecast'!X16</f>
        <v>4350</v>
      </c>
      <c r="BN14" s="222">
        <f>'3yr forecast'!Y16</f>
        <v>4350</v>
      </c>
      <c r="BO14" s="222">
        <f>'3yr forecast'!Z16</f>
        <v>4350</v>
      </c>
      <c r="BP14" s="222">
        <f>'3yr forecast'!AA16</f>
        <v>4350</v>
      </c>
      <c r="BQ14" s="222">
        <f>'3yr forecast'!AB16</f>
        <v>4350</v>
      </c>
      <c r="BR14" s="222">
        <f>'3yr forecast'!AC16</f>
        <v>4350</v>
      </c>
      <c r="BS14" s="222">
        <f>'3yr forecast'!AD16</f>
        <v>4350</v>
      </c>
      <c r="BT14" s="222">
        <f>'3yr forecast'!AE16</f>
        <v>4350</v>
      </c>
      <c r="BU14" s="222">
        <f>'3yr forecast'!AF16</f>
        <v>4350</v>
      </c>
      <c r="BV14" s="222">
        <f>'3yr forecast'!AG16</f>
        <v>4350</v>
      </c>
      <c r="BW14" s="222">
        <f>'3yr forecast'!AH16</f>
        <v>4350</v>
      </c>
      <c r="BX14" s="222">
        <f>'3yr forecast'!AI16</f>
        <v>4350</v>
      </c>
      <c r="BY14" s="222">
        <f>'3yr forecast'!AJ16</f>
        <v>4350</v>
      </c>
      <c r="BZ14" s="222">
        <f>'3yr forecast'!AK16</f>
        <v>4350</v>
      </c>
      <c r="CA14" s="222">
        <f>'3yr forecast'!AL16</f>
        <v>4350</v>
      </c>
      <c r="CB14" s="222">
        <f>'3yr forecast'!AM16</f>
        <v>4350</v>
      </c>
      <c r="CC14" s="222">
        <f>'3yr forecast'!AN16</f>
        <v>4350</v>
      </c>
      <c r="CD14" s="222">
        <f>'3yr forecast'!AO16</f>
        <v>4350</v>
      </c>
    </row>
    <row r="15" spans="1:82">
      <c r="A15" s="119">
        <f>ROW()</f>
        <v>15</v>
      </c>
      <c r="C15" s="319" t="s">
        <v>159</v>
      </c>
      <c r="D15" s="320"/>
      <c r="E15" s="320"/>
      <c r="F15" s="320"/>
      <c r="G15" s="320"/>
      <c r="H15" s="320"/>
      <c r="I15" s="320"/>
      <c r="J15" s="321">
        <f t="shared" si="24"/>
        <v>-128531.35406325002</v>
      </c>
      <c r="K15" s="222">
        <f>actual3yr!E74</f>
        <v>0</v>
      </c>
      <c r="L15" s="222">
        <f>actual3yr!F74</f>
        <v>0</v>
      </c>
      <c r="M15" s="222">
        <f>actual3yr!G74</f>
        <v>0</v>
      </c>
      <c r="N15" s="222">
        <f>actual3yr!H74</f>
        <v>0</v>
      </c>
      <c r="O15" s="222">
        <f>actual3yr!I74</f>
        <v>0</v>
      </c>
      <c r="P15" s="222">
        <f>actual3yr!J74</f>
        <v>0</v>
      </c>
      <c r="Q15" s="222">
        <f>actual3yr!K74</f>
        <v>0</v>
      </c>
      <c r="R15" s="222">
        <f>actual3yr!L74</f>
        <v>0</v>
      </c>
      <c r="S15" s="222">
        <f>actual3yr!M74</f>
        <v>0</v>
      </c>
      <c r="T15" s="222">
        <f>actual3yr!O74</f>
        <v>0</v>
      </c>
      <c r="U15" s="222">
        <f>actual3yr!P74</f>
        <v>0</v>
      </c>
      <c r="V15" s="222">
        <f>actual3yr!Q74</f>
        <v>0</v>
      </c>
      <c r="W15" s="222">
        <f>actual3yr!R74</f>
        <v>0</v>
      </c>
      <c r="X15" s="222">
        <f>actual3yr!S74</f>
        <v>0</v>
      </c>
      <c r="Y15" s="222">
        <f>actual3yr!T74</f>
        <v>0</v>
      </c>
      <c r="Z15" s="222">
        <f>actual3yr!U74</f>
        <v>0</v>
      </c>
      <c r="AA15" s="222">
        <f>actual3yr!V74</f>
        <v>0</v>
      </c>
      <c r="AB15" s="222">
        <f>actual3yr!W74</f>
        <v>0</v>
      </c>
      <c r="AC15" s="222">
        <f>actual3yr!X74</f>
        <v>0</v>
      </c>
      <c r="AD15" s="222">
        <f>actual3yr!Y74</f>
        <v>0</v>
      </c>
      <c r="AE15" s="222">
        <f>actual3yr!Z74</f>
        <v>0</v>
      </c>
      <c r="AF15" s="222">
        <f>actual3yr!AB74</f>
        <v>0</v>
      </c>
      <c r="AG15" s="222">
        <f>actual3yr!AC74</f>
        <v>0</v>
      </c>
      <c r="AH15" s="222">
        <f>actual3yr!AD74</f>
        <v>0</v>
      </c>
      <c r="AI15" s="222">
        <f>actual3yr!AE74</f>
        <v>0</v>
      </c>
      <c r="AJ15" s="222">
        <f>actual3yr!AF74</f>
        <v>0</v>
      </c>
      <c r="AK15" s="222">
        <f>actual3yr!AG74</f>
        <v>0</v>
      </c>
      <c r="AL15" s="222">
        <f>actual3yr!AH74</f>
        <v>0</v>
      </c>
      <c r="AM15" s="222">
        <f>actual3yr!AI74</f>
        <v>0</v>
      </c>
      <c r="AN15" s="222">
        <f>actual3yr!AJ74</f>
        <v>0</v>
      </c>
      <c r="AO15" s="222">
        <f>actual3yr!AK74</f>
        <v>0</v>
      </c>
      <c r="AP15" s="222">
        <f>actual3yr!AL74</f>
        <v>0</v>
      </c>
      <c r="AQ15" s="222">
        <f>actual3yr!AM74</f>
        <v>0</v>
      </c>
      <c r="AR15" s="924"/>
      <c r="AS15" s="924"/>
      <c r="AT15" s="924"/>
      <c r="AU15" s="222">
        <f>'3yr forecast'!F17</f>
        <v>-372.37678166666711</v>
      </c>
      <c r="AV15" s="222">
        <f>'3yr forecast'!G17</f>
        <v>-372.37678166666711</v>
      </c>
      <c r="AW15" s="222">
        <f>'3yr forecast'!H17</f>
        <v>-372.37678166666711</v>
      </c>
      <c r="AX15" s="222">
        <f>'3yr forecast'!I17</f>
        <v>-372.37678166666711</v>
      </c>
      <c r="AY15" s="222">
        <f>'3yr forecast'!J17</f>
        <v>-372.37678166666711</v>
      </c>
      <c r="AZ15" s="222">
        <f>'3yr forecast'!K17</f>
        <v>-372.37678166666711</v>
      </c>
      <c r="BA15" s="222">
        <f>'3yr forecast'!L17</f>
        <v>-372.37678166666711</v>
      </c>
      <c r="BB15" s="222">
        <f>'3yr forecast'!M17</f>
        <v>-372.37678166666711</v>
      </c>
      <c r="BC15" s="222">
        <f>'3yr forecast'!N17</f>
        <v>-970.37678166666706</v>
      </c>
      <c r="BD15" s="222">
        <f>'3yr forecast'!O17</f>
        <v>-2111.0809914166666</v>
      </c>
      <c r="BE15" s="222">
        <f>'3yr forecast'!P17</f>
        <v>-2111.0809914166666</v>
      </c>
      <c r="BF15" s="222">
        <f>'3yr forecast'!Q17</f>
        <v>-2111.0809914166666</v>
      </c>
      <c r="BG15" s="222">
        <f>'3yr forecast'!R17</f>
        <v>-2111.0809914166666</v>
      </c>
      <c r="BH15" s="222">
        <f>'3yr forecast'!S17</f>
        <v>-2111.0809914166666</v>
      </c>
      <c r="BI15" s="222">
        <f>'3yr forecast'!T17</f>
        <v>-2111.0809914166666</v>
      </c>
      <c r="BJ15" s="222">
        <f>'3yr forecast'!U17</f>
        <v>-2111.0809914166666</v>
      </c>
      <c r="BK15" s="222">
        <f>'3yr forecast'!V17</f>
        <v>-2111.0809914166666</v>
      </c>
      <c r="BL15" s="222">
        <f>'3yr forecast'!W17</f>
        <v>-2111.0809914166666</v>
      </c>
      <c r="BM15" s="222">
        <f>'3yr forecast'!X17</f>
        <v>-2111.0809914166666</v>
      </c>
      <c r="BN15" s="222">
        <f>'3yr forecast'!Y17</f>
        <v>-2111.0809914166666</v>
      </c>
      <c r="BO15" s="222">
        <f>'3yr forecast'!Z17</f>
        <v>-2111.0809914166666</v>
      </c>
      <c r="BP15" s="222">
        <f>'3yr forecast'!AA17</f>
        <v>-6616.5994087500003</v>
      </c>
      <c r="BQ15" s="222">
        <f>'3yr forecast'!AB17</f>
        <v>-6616.5994087500003</v>
      </c>
      <c r="BR15" s="222">
        <f>'3yr forecast'!AC17</f>
        <v>-6616.5994087500003</v>
      </c>
      <c r="BS15" s="222">
        <f>'3yr forecast'!AD17</f>
        <v>-6616.5994087500003</v>
      </c>
      <c r="BT15" s="222">
        <f>'3yr forecast'!AE17</f>
        <v>-6616.5994087500003</v>
      </c>
      <c r="BU15" s="222">
        <f>'3yr forecast'!AF17</f>
        <v>-6616.5994087500003</v>
      </c>
      <c r="BV15" s="222">
        <f>'3yr forecast'!AG17</f>
        <v>-6616.5994087500003</v>
      </c>
      <c r="BW15" s="222">
        <f>'3yr forecast'!AH17</f>
        <v>-6616.5994087500003</v>
      </c>
      <c r="BX15" s="222">
        <f>'3yr forecast'!AI17</f>
        <v>-6616.5994087500003</v>
      </c>
      <c r="BY15" s="222">
        <f>'3yr forecast'!AJ17</f>
        <v>-6616.5994087500003</v>
      </c>
      <c r="BZ15" s="222">
        <f>'3yr forecast'!AK17</f>
        <v>-6616.5994087500003</v>
      </c>
      <c r="CA15" s="222">
        <f>'3yr forecast'!AL17</f>
        <v>-6616.5994087500003</v>
      </c>
      <c r="CB15" s="222">
        <f>'3yr forecast'!AM17</f>
        <v>-6616.5994087500003</v>
      </c>
      <c r="CC15" s="222">
        <f>'3yr forecast'!AN17</f>
        <v>-6616.5994087500003</v>
      </c>
      <c r="CD15" s="222">
        <f>'3yr forecast'!AO17</f>
        <v>-6616.5994087500003</v>
      </c>
    </row>
    <row r="16" spans="1:82">
      <c r="A16" s="119">
        <f>ROW()</f>
        <v>16</v>
      </c>
      <c r="C16" s="318" t="s">
        <v>154</v>
      </c>
      <c r="D16" s="316"/>
      <c r="E16" s="316"/>
      <c r="F16" s="316"/>
      <c r="G16" s="316"/>
      <c r="H16" s="316"/>
      <c r="I16" s="316"/>
      <c r="J16" s="317">
        <f t="shared" si="24"/>
        <v>33517381.571526729</v>
      </c>
      <c r="K16" s="317">
        <f t="shared" ref="K16:S16" si="25">SUM(K11:K15)</f>
        <v>429425.81500000006</v>
      </c>
      <c r="L16" s="317">
        <f t="shared" si="25"/>
        <v>429425.82</v>
      </c>
      <c r="M16" s="317">
        <f t="shared" si="25"/>
        <v>430164.25</v>
      </c>
      <c r="N16" s="317">
        <f t="shared" si="25"/>
        <v>429980.26</v>
      </c>
      <c r="O16" s="317">
        <f t="shared" si="25"/>
        <v>429980.26</v>
      </c>
      <c r="P16" s="317">
        <f t="shared" si="25"/>
        <v>429980.23</v>
      </c>
      <c r="Q16" s="317">
        <f t="shared" si="25"/>
        <v>429980.15</v>
      </c>
      <c r="R16" s="317">
        <f t="shared" si="25"/>
        <v>429980.26</v>
      </c>
      <c r="S16" s="317">
        <f t="shared" si="25"/>
        <v>429980.26</v>
      </c>
      <c r="T16" s="317">
        <f>SUM(T11:T15)</f>
        <v>429980.26</v>
      </c>
      <c r="U16" s="317">
        <f t="shared" ref="U16:AE16" si="26">SUM(U11:U15)</f>
        <v>429980.26</v>
      </c>
      <c r="V16" s="317">
        <f t="shared" si="26"/>
        <v>429980.26</v>
      </c>
      <c r="W16" s="317">
        <f t="shared" si="26"/>
        <v>444193.9</v>
      </c>
      <c r="X16" s="317">
        <f t="shared" si="26"/>
        <v>444428.25</v>
      </c>
      <c r="Y16" s="317">
        <f t="shared" si="26"/>
        <v>444719.54</v>
      </c>
      <c r="Z16" s="317">
        <f t="shared" si="26"/>
        <v>444756.66000000003</v>
      </c>
      <c r="AA16" s="317">
        <f t="shared" si="26"/>
        <v>444756.66000000003</v>
      </c>
      <c r="AB16" s="317">
        <f t="shared" si="26"/>
        <v>444756.66000000003</v>
      </c>
      <c r="AC16" s="317">
        <f t="shared" si="26"/>
        <v>444756.66000000003</v>
      </c>
      <c r="AD16" s="317">
        <f t="shared" si="26"/>
        <v>444756.66000000003</v>
      </c>
      <c r="AE16" s="317">
        <f t="shared" si="26"/>
        <v>444756.66000000003</v>
      </c>
      <c r="AF16" s="317">
        <f>SUM(AF11:AF15)</f>
        <v>444756.66000000003</v>
      </c>
      <c r="AG16" s="317">
        <f t="shared" ref="AG16:AQ16" si="27">SUM(AG11:AG15)</f>
        <v>444756.66000000003</v>
      </c>
      <c r="AH16" s="317">
        <f t="shared" si="27"/>
        <v>444756.66000000003</v>
      </c>
      <c r="AI16" s="317">
        <f t="shared" si="27"/>
        <v>459467.20000000007</v>
      </c>
      <c r="AJ16" s="317">
        <f t="shared" si="27"/>
        <v>459709.61000000004</v>
      </c>
      <c r="AK16" s="317">
        <f t="shared" si="27"/>
        <v>460020.46</v>
      </c>
      <c r="AL16" s="317">
        <f t="shared" si="27"/>
        <v>460073.51000000007</v>
      </c>
      <c r="AM16" s="317">
        <f t="shared" si="27"/>
        <v>460073.51000000007</v>
      </c>
      <c r="AN16" s="317">
        <f t="shared" si="27"/>
        <v>460073.51000000007</v>
      </c>
      <c r="AO16" s="317">
        <f t="shared" si="27"/>
        <v>460073.51000000007</v>
      </c>
      <c r="AP16" s="317">
        <f t="shared" si="27"/>
        <v>460073.37000000005</v>
      </c>
      <c r="AQ16" s="317">
        <f t="shared" si="27"/>
        <v>460073.51000000007</v>
      </c>
      <c r="AR16" s="797">
        <f t="shared" ref="AR16:BW16" si="28">SUM(AR11:AR15)</f>
        <v>460081.65540400002</v>
      </c>
      <c r="AS16" s="317">
        <f t="shared" si="28"/>
        <v>460081.65540400002</v>
      </c>
      <c r="AT16" s="317">
        <f t="shared" si="28"/>
        <v>460081.65540400002</v>
      </c>
      <c r="AU16" s="317">
        <f t="shared" si="28"/>
        <v>474934.14847588539</v>
      </c>
      <c r="AV16" s="317">
        <f t="shared" si="28"/>
        <v>475185.19264288543</v>
      </c>
      <c r="AW16" s="317">
        <f>SUM(AW11:AW15)</f>
        <v>470643.18597588543</v>
      </c>
      <c r="AX16" s="317">
        <f t="shared" si="28"/>
        <v>470643.18597588543</v>
      </c>
      <c r="AY16" s="317">
        <f t="shared" si="28"/>
        <v>470643.18597588543</v>
      </c>
      <c r="AZ16" s="317">
        <f t="shared" si="28"/>
        <v>470643.18597588543</v>
      </c>
      <c r="BA16" s="317">
        <f t="shared" si="28"/>
        <v>470643.18597588543</v>
      </c>
      <c r="BB16" s="317">
        <f t="shared" si="28"/>
        <v>470643.18597588543</v>
      </c>
      <c r="BC16" s="317">
        <f t="shared" si="28"/>
        <v>475111.78035488538</v>
      </c>
      <c r="BD16" s="317">
        <f t="shared" si="28"/>
        <v>474310.64275021874</v>
      </c>
      <c r="BE16" s="317">
        <f t="shared" si="28"/>
        <v>474310.64275021874</v>
      </c>
      <c r="BF16" s="317">
        <f t="shared" si="28"/>
        <v>474310.64275021874</v>
      </c>
      <c r="BG16" s="317">
        <f t="shared" si="28"/>
        <v>490067.72170246218</v>
      </c>
      <c r="BH16" s="317">
        <f t="shared" si="28"/>
        <v>490067.72170246218</v>
      </c>
      <c r="BI16" s="317">
        <f t="shared" si="28"/>
        <v>490067.72170246218</v>
      </c>
      <c r="BJ16" s="317">
        <f t="shared" si="28"/>
        <v>490067.72170246218</v>
      </c>
      <c r="BK16" s="317">
        <f t="shared" si="28"/>
        <v>490067.72170246218</v>
      </c>
      <c r="BL16" s="317">
        <f t="shared" si="28"/>
        <v>490067.72170246218</v>
      </c>
      <c r="BM16" s="317">
        <f t="shared" si="28"/>
        <v>490067.72170246218</v>
      </c>
      <c r="BN16" s="317">
        <f t="shared" si="28"/>
        <v>490067.72170246218</v>
      </c>
      <c r="BO16" s="317">
        <f t="shared" si="28"/>
        <v>490067.72170246218</v>
      </c>
      <c r="BP16" s="317">
        <f t="shared" si="28"/>
        <v>481612.11323971214</v>
      </c>
      <c r="BQ16" s="317">
        <f t="shared" si="28"/>
        <v>481612.11323971214</v>
      </c>
      <c r="BR16" s="317">
        <f t="shared" si="28"/>
        <v>481612.11323971214</v>
      </c>
      <c r="BS16" s="317">
        <f t="shared" si="28"/>
        <v>497920.05830781406</v>
      </c>
      <c r="BT16" s="317">
        <f t="shared" si="28"/>
        <v>497920.05830781406</v>
      </c>
      <c r="BU16" s="317">
        <f t="shared" si="28"/>
        <v>497920.05830781406</v>
      </c>
      <c r="BV16" s="317">
        <f t="shared" si="28"/>
        <v>497920.05830781406</v>
      </c>
      <c r="BW16" s="317">
        <f t="shared" si="28"/>
        <v>497920.05830781406</v>
      </c>
      <c r="BX16" s="317">
        <f t="shared" ref="BX16:CD16" si="29">SUM(BX11:BX15)</f>
        <v>497920.05830781406</v>
      </c>
      <c r="BY16" s="317">
        <f t="shared" si="29"/>
        <v>497920.05830781406</v>
      </c>
      <c r="BZ16" s="317">
        <f t="shared" si="29"/>
        <v>497920.05830781406</v>
      </c>
      <c r="CA16" s="317">
        <f t="shared" si="29"/>
        <v>497920.05830781406</v>
      </c>
      <c r="CB16" s="317">
        <f t="shared" si="29"/>
        <v>497920.05830781406</v>
      </c>
      <c r="CC16" s="317">
        <f t="shared" si="29"/>
        <v>497920.05830781406</v>
      </c>
      <c r="CD16" s="317">
        <f t="shared" si="29"/>
        <v>497920.05830781406</v>
      </c>
    </row>
    <row r="17" spans="1:82">
      <c r="A17" s="119">
        <f>ROW()</f>
        <v>17</v>
      </c>
      <c r="C17" s="223" t="s">
        <v>129</v>
      </c>
      <c r="D17" s="224"/>
      <c r="E17" s="224"/>
      <c r="F17" s="224"/>
      <c r="G17" s="224"/>
      <c r="H17" s="224"/>
      <c r="I17" s="224"/>
      <c r="J17" s="225">
        <f t="shared" si="24"/>
        <v>443395.29512377863</v>
      </c>
      <c r="K17" s="222">
        <f>actual3yr!E76</f>
        <v>4091.9870833333334</v>
      </c>
      <c r="L17" s="222">
        <f>actual3yr!F76</f>
        <v>9414.99</v>
      </c>
      <c r="M17" s="222">
        <f>actual3yr!G76</f>
        <v>19538.36</v>
      </c>
      <c r="N17" s="222">
        <f>actual3yr!H76</f>
        <v>12091.97</v>
      </c>
      <c r="O17" s="222">
        <f>actual3yr!I76</f>
        <v>-4952.3600000000006</v>
      </c>
      <c r="P17" s="222">
        <f>actual3yr!J76</f>
        <v>4091.99</v>
      </c>
      <c r="Q17" s="222">
        <f>actual3yr!K76</f>
        <v>4091.99</v>
      </c>
      <c r="R17" s="222">
        <f>actual3yr!L76</f>
        <v>4091.99</v>
      </c>
      <c r="S17" s="222">
        <f>actual3yr!M76</f>
        <v>8038.57</v>
      </c>
      <c r="T17" s="222">
        <f>actual3yr!O76</f>
        <v>5761.99</v>
      </c>
      <c r="U17" s="222">
        <f>actual3yr!P76</f>
        <v>5762.01</v>
      </c>
      <c r="V17" s="222">
        <f>actual3yr!Q76</f>
        <v>5513</v>
      </c>
      <c r="W17" s="222">
        <f>actual3yr!R76</f>
        <v>5679</v>
      </c>
      <c r="X17" s="222">
        <f>actual3yr!S76</f>
        <v>5679</v>
      </c>
      <c r="Y17" s="222">
        <f>actual3yr!T76</f>
        <v>5678.73</v>
      </c>
      <c r="Z17" s="222">
        <f>actual3yr!U76</f>
        <v>5679</v>
      </c>
      <c r="AA17" s="222">
        <f>actual3yr!V76</f>
        <v>4755.93</v>
      </c>
      <c r="AB17" s="222">
        <f>actual3yr!W76</f>
        <v>5679</v>
      </c>
      <c r="AC17" s="222">
        <f>actual3yr!X76</f>
        <v>5679</v>
      </c>
      <c r="AD17" s="222">
        <f>actual3yr!Y76</f>
        <v>1341</v>
      </c>
      <c r="AE17" s="222">
        <f>actual3yr!Z76</f>
        <v>11897</v>
      </c>
      <c r="AF17" s="222">
        <f>actual3yr!AB76</f>
        <v>6715.55</v>
      </c>
      <c r="AG17" s="222">
        <f>actual3yr!AC76</f>
        <v>7170.09</v>
      </c>
      <c r="AH17" s="222">
        <f>actual3yr!AD76</f>
        <v>6761.01</v>
      </c>
      <c r="AI17" s="222">
        <f>actual3yr!AE76</f>
        <v>7343.55</v>
      </c>
      <c r="AJ17" s="222">
        <f>actual3yr!AF76</f>
        <v>6715.6900000000005</v>
      </c>
      <c r="AK17" s="222">
        <f>actual3yr!AG76</f>
        <v>-1492.75</v>
      </c>
      <c r="AL17" s="222">
        <f>actual3yr!AH76</f>
        <v>11197.55</v>
      </c>
      <c r="AM17" s="222">
        <f>actual3yr!AI76</f>
        <v>-1358.45</v>
      </c>
      <c r="AN17" s="222">
        <f>actual3yr!AJ76</f>
        <v>5336.55</v>
      </c>
      <c r="AO17" s="222">
        <f>actual3yr!AK76</f>
        <v>5556.81</v>
      </c>
      <c r="AP17" s="222">
        <f>actual3yr!AL76</f>
        <v>5328.55</v>
      </c>
      <c r="AQ17" s="222">
        <f>actual3yr!AM76</f>
        <v>7259.4</v>
      </c>
      <c r="AR17" s="798">
        <f>'3yr forecast'!C21</f>
        <v>5779.3726900000001</v>
      </c>
      <c r="AS17" s="225">
        <f>'3yr forecast'!D21</f>
        <v>5779.3726900000001</v>
      </c>
      <c r="AT17" s="225">
        <f>'3yr forecast'!E21</f>
        <v>5779.3726900000001</v>
      </c>
      <c r="AU17" s="225">
        <f>'3yr forecast'!F21</f>
        <v>5779.3726900000001</v>
      </c>
      <c r="AV17" s="225">
        <f>'3yr forecast'!G21</f>
        <v>5779.3726900000001</v>
      </c>
      <c r="AW17" s="225">
        <f>'3yr forecast'!H21</f>
        <v>5779.3726900000001</v>
      </c>
      <c r="AX17" s="225">
        <f>'3yr forecast'!I21</f>
        <v>5779.3726900000001</v>
      </c>
      <c r="AY17" s="225">
        <f>'3yr forecast'!J21</f>
        <v>5779.3726900000001</v>
      </c>
      <c r="AZ17" s="225">
        <f>'3yr forecast'!K21</f>
        <v>5779.3726900000001</v>
      </c>
      <c r="BA17" s="225">
        <f>'3yr forecast'!L21</f>
        <v>5779.3726900000001</v>
      </c>
      <c r="BB17" s="225">
        <f>'3yr forecast'!M21</f>
        <v>5779.3726900000001</v>
      </c>
      <c r="BC17" s="225">
        <f>'3yr forecast'!N21</f>
        <v>5779.3726900000001</v>
      </c>
      <c r="BD17" s="225">
        <f>'3yr forecast'!O21</f>
        <v>6362.3114415833334</v>
      </c>
      <c r="BE17" s="225">
        <f>'3yr forecast'!P21</f>
        <v>6362.3114415833334</v>
      </c>
      <c r="BF17" s="225">
        <f>'3yr forecast'!Q21</f>
        <v>6362.3114415833334</v>
      </c>
      <c r="BG17" s="225">
        <f>'3yr forecast'!R21</f>
        <v>6362.3114415833334</v>
      </c>
      <c r="BH17" s="225">
        <f>'3yr forecast'!S21</f>
        <v>6362.3114415833334</v>
      </c>
      <c r="BI17" s="225">
        <f>'3yr forecast'!T21</f>
        <v>6362.3114415833334</v>
      </c>
      <c r="BJ17" s="225">
        <f>'3yr forecast'!U21</f>
        <v>6362.3114415833334</v>
      </c>
      <c r="BK17" s="225">
        <f>'3yr forecast'!V21</f>
        <v>6362.3114415833334</v>
      </c>
      <c r="BL17" s="225">
        <f>'3yr forecast'!W21</f>
        <v>6362.3114415833334</v>
      </c>
      <c r="BM17" s="225">
        <f>'3yr forecast'!X21</f>
        <v>6362.3114415833334</v>
      </c>
      <c r="BN17" s="225">
        <f>'3yr forecast'!Y21</f>
        <v>6362.3114415833334</v>
      </c>
      <c r="BO17" s="225">
        <f>'3yr forecast'!Z21</f>
        <v>6362.3114415833334</v>
      </c>
      <c r="BP17" s="225">
        <f>'3yr forecast'!AA21</f>
        <v>6699.4842790000002</v>
      </c>
      <c r="BQ17" s="225">
        <f>'3yr forecast'!AB21</f>
        <v>6699.4842790000002</v>
      </c>
      <c r="BR17" s="225">
        <f>'3yr forecast'!AC21</f>
        <v>6699.4842790000002</v>
      </c>
      <c r="BS17" s="225">
        <f>'3yr forecast'!AD21</f>
        <v>6699.4842790000002</v>
      </c>
      <c r="BT17" s="225">
        <f>'3yr forecast'!AE21</f>
        <v>6699.4842790000002</v>
      </c>
      <c r="BU17" s="225">
        <f>'3yr forecast'!AF21</f>
        <v>6699.4842790000002</v>
      </c>
      <c r="BV17" s="225">
        <f>'3yr forecast'!AG21</f>
        <v>6699.4842790000002</v>
      </c>
      <c r="BW17" s="225">
        <f>'3yr forecast'!AH21</f>
        <v>6699.4842790000002</v>
      </c>
      <c r="BX17" s="225">
        <f>'3yr forecast'!AI21</f>
        <v>6699.4842790000002</v>
      </c>
      <c r="BY17" s="225">
        <f>'3yr forecast'!AJ21</f>
        <v>6699.4842790000002</v>
      </c>
      <c r="BZ17" s="225">
        <f>'3yr forecast'!AK21</f>
        <v>6699.4842790000002</v>
      </c>
      <c r="CA17" s="225">
        <f>'3yr forecast'!AL21</f>
        <v>6699.4842790000002</v>
      </c>
      <c r="CB17" s="225">
        <f>'3yr forecast'!AM21</f>
        <v>7054.5257044817799</v>
      </c>
      <c r="CC17" s="225">
        <f>'3yr forecast'!AN21</f>
        <v>7054.5257044817799</v>
      </c>
      <c r="CD17" s="225">
        <f>'3yr forecast'!AO21</f>
        <v>7054.5257044817799</v>
      </c>
    </row>
    <row r="18" spans="1:82">
      <c r="A18" s="119">
        <f>ROW()</f>
        <v>18</v>
      </c>
      <c r="C18" s="318" t="s">
        <v>153</v>
      </c>
      <c r="D18" s="316"/>
      <c r="E18" s="316"/>
      <c r="F18" s="316"/>
      <c r="G18" s="316"/>
      <c r="H18" s="316"/>
      <c r="I18" s="316"/>
      <c r="J18" s="317">
        <f t="shared" si="24"/>
        <v>33960776.866650485</v>
      </c>
      <c r="K18" s="317">
        <f>SUM(K16:K17)</f>
        <v>433517.80208333337</v>
      </c>
      <c r="L18" s="317">
        <f t="shared" ref="L18:S18" si="30">SUM(L16:L17)</f>
        <v>438840.81</v>
      </c>
      <c r="M18" s="317">
        <f t="shared" si="30"/>
        <v>449702.61</v>
      </c>
      <c r="N18" s="317">
        <f t="shared" si="30"/>
        <v>442072.23</v>
      </c>
      <c r="O18" s="317">
        <f t="shared" si="30"/>
        <v>425027.9</v>
      </c>
      <c r="P18" s="317">
        <f t="shared" si="30"/>
        <v>434072.22</v>
      </c>
      <c r="Q18" s="317">
        <f t="shared" si="30"/>
        <v>434072.14</v>
      </c>
      <c r="R18" s="317">
        <f t="shared" si="30"/>
        <v>434072.25</v>
      </c>
      <c r="S18" s="317">
        <f t="shared" si="30"/>
        <v>438018.83</v>
      </c>
      <c r="T18" s="317">
        <f t="shared" ref="T18" si="31">SUM(T16:T17)</f>
        <v>435742.25</v>
      </c>
      <c r="U18" s="317">
        <f t="shared" ref="U18" si="32">SUM(U16:U17)</f>
        <v>435742.27</v>
      </c>
      <c r="V18" s="317">
        <f t="shared" ref="V18" si="33">SUM(V16:V17)</f>
        <v>435493.26</v>
      </c>
      <c r="W18" s="317">
        <f t="shared" ref="W18" si="34">SUM(W16:W17)</f>
        <v>449872.9</v>
      </c>
      <c r="X18" s="317">
        <f t="shared" ref="X18" si="35">SUM(X16:X17)</f>
        <v>450107.25</v>
      </c>
      <c r="Y18" s="317">
        <f t="shared" ref="Y18" si="36">SUM(Y16:Y17)</f>
        <v>450398.26999999996</v>
      </c>
      <c r="Z18" s="317">
        <f t="shared" ref="Z18" si="37">SUM(Z16:Z17)</f>
        <v>450435.66000000003</v>
      </c>
      <c r="AA18" s="317">
        <f t="shared" ref="AA18" si="38">SUM(AA16:AA17)</f>
        <v>449512.59</v>
      </c>
      <c r="AB18" s="317">
        <f t="shared" ref="AB18" si="39">SUM(AB16:AB17)</f>
        <v>450435.66000000003</v>
      </c>
      <c r="AC18" s="317">
        <f t="shared" ref="AC18" si="40">SUM(AC16:AC17)</f>
        <v>450435.66000000003</v>
      </c>
      <c r="AD18" s="317">
        <f t="shared" ref="AD18" si="41">SUM(AD16:AD17)</f>
        <v>446097.66000000003</v>
      </c>
      <c r="AE18" s="317">
        <f t="shared" ref="AE18" si="42">SUM(AE16:AE17)</f>
        <v>456653.66000000003</v>
      </c>
      <c r="AF18" s="317">
        <f t="shared" ref="AF18" si="43">SUM(AF16:AF17)</f>
        <v>451472.21</v>
      </c>
      <c r="AG18" s="317">
        <f t="shared" ref="AG18" si="44">SUM(AG16:AG17)</f>
        <v>451926.75000000006</v>
      </c>
      <c r="AH18" s="317">
        <f t="shared" ref="AH18" si="45">SUM(AH16:AH17)</f>
        <v>451517.67000000004</v>
      </c>
      <c r="AI18" s="317">
        <f t="shared" ref="AI18" si="46">SUM(AI16:AI17)</f>
        <v>466810.75000000006</v>
      </c>
      <c r="AJ18" s="317">
        <f t="shared" ref="AJ18" si="47">SUM(AJ16:AJ17)</f>
        <v>466425.30000000005</v>
      </c>
      <c r="AK18" s="317">
        <f t="shared" ref="AK18" si="48">SUM(AK16:AK17)</f>
        <v>458527.71</v>
      </c>
      <c r="AL18" s="317">
        <f t="shared" ref="AL18" si="49">SUM(AL16:AL17)</f>
        <v>471271.06000000006</v>
      </c>
      <c r="AM18" s="317">
        <f t="shared" ref="AM18" si="50">SUM(AM16:AM17)</f>
        <v>458715.06000000006</v>
      </c>
      <c r="AN18" s="317">
        <f t="shared" ref="AN18" si="51">SUM(AN16:AN17)</f>
        <v>465410.06000000006</v>
      </c>
      <c r="AO18" s="317">
        <f t="shared" ref="AO18" si="52">SUM(AO16:AO17)</f>
        <v>465630.32000000007</v>
      </c>
      <c r="AP18" s="317">
        <f t="shared" ref="AP18" si="53">SUM(AP16:AP17)</f>
        <v>465401.92000000004</v>
      </c>
      <c r="AQ18" s="317">
        <f t="shared" ref="AQ18" si="54">SUM(AQ16:AQ17)</f>
        <v>467332.91000000009</v>
      </c>
      <c r="AR18" s="797">
        <f t="shared" ref="AR18:BW18" si="55">SUM(AR16:AR17)</f>
        <v>465861.02809400001</v>
      </c>
      <c r="AS18" s="317">
        <f t="shared" si="55"/>
        <v>465861.02809400001</v>
      </c>
      <c r="AT18" s="317">
        <f t="shared" si="55"/>
        <v>465861.02809400001</v>
      </c>
      <c r="AU18" s="317">
        <f t="shared" si="55"/>
        <v>480713.52116588538</v>
      </c>
      <c r="AV18" s="317">
        <f t="shared" si="55"/>
        <v>480964.56533288542</v>
      </c>
      <c r="AW18" s="317">
        <f>SUM(AW16:AW17)</f>
        <v>476422.55866588542</v>
      </c>
      <c r="AX18" s="317">
        <f t="shared" si="55"/>
        <v>476422.55866588542</v>
      </c>
      <c r="AY18" s="317">
        <f t="shared" si="55"/>
        <v>476422.55866588542</v>
      </c>
      <c r="AZ18" s="317">
        <f t="shared" si="55"/>
        <v>476422.55866588542</v>
      </c>
      <c r="BA18" s="317">
        <f t="shared" si="55"/>
        <v>476422.55866588542</v>
      </c>
      <c r="BB18" s="317">
        <f t="shared" si="55"/>
        <v>476422.55866588542</v>
      </c>
      <c r="BC18" s="317">
        <f t="shared" si="55"/>
        <v>480891.15304488537</v>
      </c>
      <c r="BD18" s="317">
        <f t="shared" si="55"/>
        <v>480672.95419180207</v>
      </c>
      <c r="BE18" s="317">
        <f t="shared" si="55"/>
        <v>480672.95419180207</v>
      </c>
      <c r="BF18" s="317">
        <f t="shared" si="55"/>
        <v>480672.95419180207</v>
      </c>
      <c r="BG18" s="317">
        <f t="shared" si="55"/>
        <v>496430.0331440455</v>
      </c>
      <c r="BH18" s="317">
        <f t="shared" si="55"/>
        <v>496430.0331440455</v>
      </c>
      <c r="BI18" s="317">
        <f t="shared" si="55"/>
        <v>496430.0331440455</v>
      </c>
      <c r="BJ18" s="317">
        <f t="shared" si="55"/>
        <v>496430.0331440455</v>
      </c>
      <c r="BK18" s="317">
        <f t="shared" si="55"/>
        <v>496430.0331440455</v>
      </c>
      <c r="BL18" s="317">
        <f t="shared" si="55"/>
        <v>496430.0331440455</v>
      </c>
      <c r="BM18" s="317">
        <f t="shared" si="55"/>
        <v>496430.0331440455</v>
      </c>
      <c r="BN18" s="317">
        <f t="shared" si="55"/>
        <v>496430.0331440455</v>
      </c>
      <c r="BO18" s="317">
        <f t="shared" si="55"/>
        <v>496430.0331440455</v>
      </c>
      <c r="BP18" s="317">
        <f t="shared" si="55"/>
        <v>488311.59751871217</v>
      </c>
      <c r="BQ18" s="317">
        <f t="shared" si="55"/>
        <v>488311.59751871217</v>
      </c>
      <c r="BR18" s="317">
        <f t="shared" si="55"/>
        <v>488311.59751871217</v>
      </c>
      <c r="BS18" s="317">
        <f t="shared" si="55"/>
        <v>504619.54258681409</v>
      </c>
      <c r="BT18" s="317">
        <f t="shared" si="55"/>
        <v>504619.54258681409</v>
      </c>
      <c r="BU18" s="317">
        <f t="shared" si="55"/>
        <v>504619.54258681409</v>
      </c>
      <c r="BV18" s="317">
        <f t="shared" si="55"/>
        <v>504619.54258681409</v>
      </c>
      <c r="BW18" s="317">
        <f t="shared" si="55"/>
        <v>504619.54258681409</v>
      </c>
      <c r="BX18" s="317">
        <f t="shared" ref="BX18:CD18" si="56">SUM(BX16:BX17)</f>
        <v>504619.54258681409</v>
      </c>
      <c r="BY18" s="317">
        <f t="shared" si="56"/>
        <v>504619.54258681409</v>
      </c>
      <c r="BZ18" s="317">
        <f t="shared" si="56"/>
        <v>504619.54258681409</v>
      </c>
      <c r="CA18" s="317">
        <f t="shared" si="56"/>
        <v>504619.54258681409</v>
      </c>
      <c r="CB18" s="317">
        <f t="shared" si="56"/>
        <v>504974.58401229582</v>
      </c>
      <c r="CC18" s="317">
        <f t="shared" si="56"/>
        <v>504974.58401229582</v>
      </c>
      <c r="CD18" s="317">
        <f t="shared" si="56"/>
        <v>504974.58401229582</v>
      </c>
    </row>
    <row r="19" spans="1:82">
      <c r="A19" s="119">
        <f>ROW()</f>
        <v>19</v>
      </c>
      <c r="C19" s="226"/>
      <c r="D19" s="227"/>
      <c r="E19" s="227"/>
      <c r="F19" s="219"/>
      <c r="G19" s="219"/>
      <c r="H19" s="219"/>
      <c r="I19" s="219"/>
      <c r="J19" s="202">
        <f t="shared" si="24"/>
        <v>0</v>
      </c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2"/>
      <c r="AN19" s="202"/>
      <c r="AO19" s="202"/>
      <c r="AP19" s="202"/>
      <c r="AQ19" s="202"/>
      <c r="AR19" s="799"/>
      <c r="AS19" s="228"/>
      <c r="AT19" s="228"/>
      <c r="AU19" s="228"/>
      <c r="AV19" s="228"/>
      <c r="AW19" s="228"/>
      <c r="AX19" s="228"/>
      <c r="AY19" s="228"/>
      <c r="AZ19" s="228"/>
      <c r="BA19" s="228"/>
      <c r="BB19" s="228"/>
      <c r="BC19" s="228"/>
      <c r="BD19" s="228"/>
      <c r="BE19" s="228"/>
      <c r="BF19" s="228"/>
      <c r="BG19" s="228"/>
      <c r="BH19" s="228"/>
      <c r="BI19" s="228"/>
      <c r="BJ19" s="228"/>
      <c r="BK19" s="228"/>
      <c r="BL19" s="228"/>
      <c r="BM19" s="228"/>
      <c r="BN19" s="228"/>
      <c r="BO19" s="228"/>
      <c r="BP19" s="228"/>
      <c r="BQ19" s="228"/>
      <c r="BR19" s="228"/>
      <c r="BS19" s="228"/>
      <c r="BT19" s="228"/>
      <c r="BU19" s="228"/>
      <c r="BV19" s="228"/>
      <c r="BW19" s="228"/>
      <c r="BX19" s="228"/>
      <c r="BY19" s="228"/>
      <c r="BZ19" s="228"/>
      <c r="CA19" s="228"/>
      <c r="CB19" s="228"/>
      <c r="CC19" s="228"/>
      <c r="CD19" s="228"/>
    </row>
    <row r="20" spans="1:82">
      <c r="A20" s="119">
        <f>ROW()</f>
        <v>20</v>
      </c>
      <c r="C20" s="229" t="s">
        <v>133</v>
      </c>
      <c r="D20" s="221"/>
      <c r="E20" s="221"/>
      <c r="F20" s="221"/>
      <c r="G20" s="221"/>
      <c r="H20" s="221"/>
      <c r="I20" s="221"/>
      <c r="J20" s="222">
        <f t="shared" si="24"/>
        <v>857151.1166354462</v>
      </c>
      <c r="K20" s="222">
        <f>actual3yr!E79</f>
        <v>11240.083333333334</v>
      </c>
      <c r="L20" s="222">
        <f>actual3yr!F79</f>
        <v>10887.24</v>
      </c>
      <c r="M20" s="222">
        <f>actual3yr!G79</f>
        <v>10943.39</v>
      </c>
      <c r="N20" s="222">
        <f>actual3yr!H79</f>
        <v>11545.08</v>
      </c>
      <c r="O20" s="222">
        <f>actual3yr!I79</f>
        <v>11419.5</v>
      </c>
      <c r="P20" s="222">
        <f>actual3yr!J79</f>
        <v>8268.0099999999984</v>
      </c>
      <c r="Q20" s="222">
        <f>actual3yr!K79</f>
        <v>10913.9</v>
      </c>
      <c r="R20" s="222">
        <f>actual3yr!L79</f>
        <v>11711.59</v>
      </c>
      <c r="S20" s="222">
        <f>actual3yr!M79</f>
        <v>10959.15</v>
      </c>
      <c r="T20" s="222">
        <f>actual3yr!O79</f>
        <v>12047.12</v>
      </c>
      <c r="U20" s="222">
        <f>actual3yr!P79</f>
        <v>11898.14</v>
      </c>
      <c r="V20" s="222">
        <f>actual3yr!Q79</f>
        <v>11705.31</v>
      </c>
      <c r="W20" s="222">
        <f>actual3yr!R79</f>
        <v>12015.650000000001</v>
      </c>
      <c r="X20" s="222">
        <f>actual3yr!S79</f>
        <v>9788.9399999999987</v>
      </c>
      <c r="Y20" s="222">
        <f>actual3yr!T79</f>
        <v>11621.66</v>
      </c>
      <c r="Z20" s="222">
        <f>actual3yr!U79</f>
        <v>11689.94</v>
      </c>
      <c r="AA20" s="222">
        <f>actual3yr!V79</f>
        <v>10808.369999999999</v>
      </c>
      <c r="AB20" s="222">
        <f>actual3yr!W79</f>
        <v>11203.87</v>
      </c>
      <c r="AC20" s="222">
        <f>actual3yr!X79</f>
        <v>13030.14</v>
      </c>
      <c r="AD20" s="222">
        <f>actual3yr!Y79</f>
        <v>12299.19</v>
      </c>
      <c r="AE20" s="222">
        <f>actual3yr!Z79</f>
        <v>11089.02</v>
      </c>
      <c r="AF20" s="222">
        <f>actual3yr!AB79</f>
        <v>12993.51</v>
      </c>
      <c r="AG20" s="222">
        <f>actual3yr!AC79</f>
        <v>11652.2</v>
      </c>
      <c r="AH20" s="222">
        <f>actual3yr!AD79</f>
        <v>11111.29</v>
      </c>
      <c r="AI20" s="222">
        <f>actual3yr!AE79</f>
        <v>12413.279999999999</v>
      </c>
      <c r="AJ20" s="222">
        <f>actual3yr!AF79</f>
        <v>12038.87</v>
      </c>
      <c r="AK20" s="222">
        <f>actual3yr!AG79</f>
        <v>5805.3799999999983</v>
      </c>
      <c r="AL20" s="222">
        <f>actual3yr!AH79</f>
        <v>11531.61</v>
      </c>
      <c r="AM20" s="222">
        <f>actual3yr!AI79</f>
        <v>10487.62</v>
      </c>
      <c r="AN20" s="222">
        <f>actual3yr!AJ79</f>
        <v>11438.7</v>
      </c>
      <c r="AO20" s="222">
        <f>actual3yr!AK79</f>
        <v>11424.190000000002</v>
      </c>
      <c r="AP20" s="222">
        <f>actual3yr!AL79</f>
        <v>11430.99</v>
      </c>
      <c r="AQ20" s="222">
        <f>actual3yr!AM79</f>
        <v>11062.289999999999</v>
      </c>
      <c r="AR20" s="796">
        <f>'3yr forecast'!C32</f>
        <v>11783.1</v>
      </c>
      <c r="AS20" s="222">
        <f>'3yr forecast'!D32</f>
        <v>11783.1</v>
      </c>
      <c r="AT20" s="222">
        <f>'3yr forecast'!E32</f>
        <v>11783.1</v>
      </c>
      <c r="AU20" s="222">
        <f>'3yr forecast'!F32</f>
        <v>11783.1</v>
      </c>
      <c r="AV20" s="222">
        <f>'3yr forecast'!G32</f>
        <v>11783.1</v>
      </c>
      <c r="AW20" s="222">
        <f>'3yr forecast'!H32</f>
        <v>11783.1</v>
      </c>
      <c r="AX20" s="222">
        <f>'3yr forecast'!I32</f>
        <v>11783.1</v>
      </c>
      <c r="AY20" s="222">
        <f>'3yr forecast'!J32</f>
        <v>11783.1</v>
      </c>
      <c r="AZ20" s="222">
        <f>'3yr forecast'!K32</f>
        <v>11783.1</v>
      </c>
      <c r="BA20" s="222">
        <f>'3yr forecast'!L32</f>
        <v>11783.1</v>
      </c>
      <c r="BB20" s="222">
        <f>'3yr forecast'!M32</f>
        <v>11783.1</v>
      </c>
      <c r="BC20" s="222">
        <f>'3yr forecast'!N32</f>
        <v>11783.1</v>
      </c>
      <c r="BD20" s="222">
        <f>'3yr forecast'!O32</f>
        <v>12372.25443825</v>
      </c>
      <c r="BE20" s="222">
        <f>'3yr forecast'!P32</f>
        <v>12372.25443825</v>
      </c>
      <c r="BF20" s="222">
        <f>'3yr forecast'!Q32</f>
        <v>12372.25443825</v>
      </c>
      <c r="BG20" s="222">
        <f>'3yr forecast'!R32</f>
        <v>12372.25443825</v>
      </c>
      <c r="BH20" s="222">
        <f>'3yr forecast'!S32</f>
        <v>12372.25443825</v>
      </c>
      <c r="BI20" s="222">
        <f>'3yr forecast'!T32</f>
        <v>12372.25443825</v>
      </c>
      <c r="BJ20" s="222">
        <f>'3yr forecast'!U32</f>
        <v>12372.25443825</v>
      </c>
      <c r="BK20" s="222">
        <f>'3yr forecast'!V32</f>
        <v>12372.25443825</v>
      </c>
      <c r="BL20" s="222">
        <f>'3yr forecast'!W32</f>
        <v>12372.25443825</v>
      </c>
      <c r="BM20" s="222">
        <f>'3yr forecast'!X32</f>
        <v>12372.25443825</v>
      </c>
      <c r="BN20" s="222">
        <f>'3yr forecast'!Y32</f>
        <v>12372.25443825</v>
      </c>
      <c r="BO20" s="222">
        <f>'3yr forecast'!Z32</f>
        <v>12372.25443825</v>
      </c>
      <c r="BP20" s="222">
        <f>'3yr forecast'!AA32</f>
        <v>12990.867300416667</v>
      </c>
      <c r="BQ20" s="222">
        <f>'3yr forecast'!AB32</f>
        <v>12990.867300416667</v>
      </c>
      <c r="BR20" s="222">
        <f>'3yr forecast'!AC32</f>
        <v>12990.867300416667</v>
      </c>
      <c r="BS20" s="222">
        <f>'3yr forecast'!AD32</f>
        <v>12990.867300416667</v>
      </c>
      <c r="BT20" s="222">
        <f>'3yr forecast'!AE32</f>
        <v>12990.867300416667</v>
      </c>
      <c r="BU20" s="222">
        <f>'3yr forecast'!AF32</f>
        <v>12990.867300416667</v>
      </c>
      <c r="BV20" s="222">
        <f>'3yr forecast'!AG32</f>
        <v>12990.867300416667</v>
      </c>
      <c r="BW20" s="222">
        <f>'3yr forecast'!AH32</f>
        <v>12990.867300416667</v>
      </c>
      <c r="BX20" s="222">
        <f>'3yr forecast'!AI32</f>
        <v>12990.867300416667</v>
      </c>
      <c r="BY20" s="222">
        <f>'3yr forecast'!AJ32</f>
        <v>12990.867300416667</v>
      </c>
      <c r="BZ20" s="222">
        <f>'3yr forecast'!AK32</f>
        <v>12990.867300416667</v>
      </c>
      <c r="CA20" s="222">
        <f>'3yr forecast'!AL32</f>
        <v>12990.867300416667</v>
      </c>
      <c r="CB20" s="222">
        <f>'3yr forecast'!AM32</f>
        <v>13640.410812704376</v>
      </c>
      <c r="CC20" s="222">
        <f>'3yr forecast'!AN32</f>
        <v>13640.410812704376</v>
      </c>
      <c r="CD20" s="222">
        <f>'3yr forecast'!AO32</f>
        <v>13640.410812704376</v>
      </c>
    </row>
    <row r="21" spans="1:82">
      <c r="A21" s="119">
        <f>ROW()</f>
        <v>21</v>
      </c>
      <c r="C21" s="229" t="s">
        <v>648</v>
      </c>
      <c r="D21" s="221"/>
      <c r="E21" s="221"/>
      <c r="F21" s="221"/>
      <c r="G21" s="221"/>
      <c r="H21" s="221"/>
      <c r="I21" s="221"/>
      <c r="J21" s="222">
        <f t="shared" si="24"/>
        <v>384946.9033986291</v>
      </c>
      <c r="K21" s="222">
        <f>actual3yr!E80</f>
        <v>4954.7300000000005</v>
      </c>
      <c r="L21" s="222">
        <f>actual3yr!F80</f>
        <v>4794.8999999999996</v>
      </c>
      <c r="M21" s="222">
        <f>actual3yr!G80</f>
        <v>4794.8999999999996</v>
      </c>
      <c r="N21" s="222">
        <f>actual3yr!H80</f>
        <v>4794.8999999999996</v>
      </c>
      <c r="O21" s="222">
        <f>actual3yr!I80</f>
        <v>4794.8999999999996</v>
      </c>
      <c r="P21" s="222">
        <f>actual3yr!J80</f>
        <v>4794.8999999999996</v>
      </c>
      <c r="Q21" s="222">
        <f>actual3yr!K80</f>
        <v>5150.95</v>
      </c>
      <c r="R21" s="222">
        <f>actual3yr!L80</f>
        <v>4793.26</v>
      </c>
      <c r="S21" s="222">
        <f>actual3yr!M80</f>
        <v>4920</v>
      </c>
      <c r="T21" s="222">
        <f>actual3yr!O80</f>
        <v>5119</v>
      </c>
      <c r="U21" s="222">
        <f>actual3yr!P80</f>
        <v>4956.66</v>
      </c>
      <c r="V21" s="222">
        <f>actual3yr!Q80</f>
        <v>4875.32</v>
      </c>
      <c r="W21" s="222">
        <f>actual3yr!R80</f>
        <v>5036.16</v>
      </c>
      <c r="X21" s="222">
        <f>actual3yr!S80</f>
        <v>4873.7</v>
      </c>
      <c r="Y21" s="222">
        <f>actual3yr!T80</f>
        <v>5036.1400000000003</v>
      </c>
      <c r="Z21" s="222">
        <f>actual3yr!U80</f>
        <v>5148.07</v>
      </c>
      <c r="AA21" s="222">
        <f>actual3yr!V80</f>
        <v>4649.87</v>
      </c>
      <c r="AB21" s="222">
        <f>actual3yr!W80</f>
        <v>5148.0600000000004</v>
      </c>
      <c r="AC21" s="222">
        <f>actual3yr!X80</f>
        <v>4927.26</v>
      </c>
      <c r="AD21" s="222">
        <f>actual3yr!Y80</f>
        <v>5091.5</v>
      </c>
      <c r="AE21" s="222">
        <f>actual3yr!Z80</f>
        <v>4927.24</v>
      </c>
      <c r="AF21" s="222">
        <f>actual3yr!AB80</f>
        <v>5663</v>
      </c>
      <c r="AG21" s="222">
        <f>actual3yr!AC80</f>
        <v>4768.8</v>
      </c>
      <c r="AH21" s="222">
        <f>actual3yr!AD80</f>
        <v>5047.6400000000003</v>
      </c>
      <c r="AI21" s="222">
        <f>actual3yr!AE80</f>
        <v>5215.8999999999996</v>
      </c>
      <c r="AJ21" s="222">
        <f>actual3yr!AF80</f>
        <v>5047.6400000000003</v>
      </c>
      <c r="AK21" s="222">
        <f>actual3yr!AG80</f>
        <v>5215.8999999999996</v>
      </c>
      <c r="AL21" s="222">
        <f>actual3yr!AH80</f>
        <v>5215.8999999999996</v>
      </c>
      <c r="AM21" s="222">
        <f>actual3yr!AI80</f>
        <v>4711.1400000000003</v>
      </c>
      <c r="AN21" s="222">
        <f>actual3yr!AJ80</f>
        <v>5215.8999999999996</v>
      </c>
      <c r="AO21" s="222">
        <f>actual3yr!AK80</f>
        <v>5047.6400000000003</v>
      </c>
      <c r="AP21" s="222">
        <f>actual3yr!AL80</f>
        <v>5215.8999999999996</v>
      </c>
      <c r="AQ21" s="222">
        <f>actual3yr!AM80</f>
        <v>5047.6899999999996</v>
      </c>
      <c r="AR21" s="796">
        <f>'3yr forecast'!C28</f>
        <v>5325.33</v>
      </c>
      <c r="AS21" s="222">
        <f>'3yr forecast'!D28</f>
        <v>5325.33</v>
      </c>
      <c r="AT21" s="222">
        <f>'3yr forecast'!E28</f>
        <v>5325.33</v>
      </c>
      <c r="AU21" s="222">
        <f>'3yr forecast'!F28</f>
        <v>5325.33</v>
      </c>
      <c r="AV21" s="222">
        <f>'3yr forecast'!G28</f>
        <v>5325.33</v>
      </c>
      <c r="AW21" s="222">
        <f>'3yr forecast'!H28</f>
        <v>5325.33</v>
      </c>
      <c r="AX21" s="222">
        <f>'3yr forecast'!I28</f>
        <v>5325.33</v>
      </c>
      <c r="AY21" s="222">
        <f>'3yr forecast'!J28</f>
        <v>5325.33</v>
      </c>
      <c r="AZ21" s="222">
        <f>'3yr forecast'!K28</f>
        <v>5325.33</v>
      </c>
      <c r="BA21" s="222">
        <f>'3yr forecast'!L28</f>
        <v>5325.33</v>
      </c>
      <c r="BB21" s="222">
        <f>'3yr forecast'!M28</f>
        <v>5325.33</v>
      </c>
      <c r="BC21" s="222">
        <f>'3yr forecast'!N28</f>
        <v>5325.33</v>
      </c>
      <c r="BD21" s="222">
        <f>'3yr forecast'!O28</f>
        <v>5591.5962460833334</v>
      </c>
      <c r="BE21" s="222">
        <f>'3yr forecast'!P28</f>
        <v>5591.5962460833334</v>
      </c>
      <c r="BF21" s="222">
        <f>'3yr forecast'!Q28</f>
        <v>5591.5962460833334</v>
      </c>
      <c r="BG21" s="222">
        <f>'3yr forecast'!R28</f>
        <v>5591.5962460833334</v>
      </c>
      <c r="BH21" s="222">
        <f>'3yr forecast'!S28</f>
        <v>5591.5962460833334</v>
      </c>
      <c r="BI21" s="222">
        <f>'3yr forecast'!T28</f>
        <v>5591.5962460833334</v>
      </c>
      <c r="BJ21" s="222">
        <f>'3yr forecast'!U28</f>
        <v>5591.5962460833334</v>
      </c>
      <c r="BK21" s="222">
        <f>'3yr forecast'!V28</f>
        <v>5591.5962460833334</v>
      </c>
      <c r="BL21" s="222">
        <f>'3yr forecast'!W28</f>
        <v>5591.5962460833334</v>
      </c>
      <c r="BM21" s="222">
        <f>'3yr forecast'!X28</f>
        <v>5591.5962460833334</v>
      </c>
      <c r="BN21" s="222">
        <f>'3yr forecast'!Y28</f>
        <v>5591.5962460833334</v>
      </c>
      <c r="BO21" s="222">
        <f>'3yr forecast'!Z28</f>
        <v>5591.5962460833334</v>
      </c>
      <c r="BP21" s="222">
        <f>'3yr forecast'!AA28</f>
        <v>5871.1761218333331</v>
      </c>
      <c r="BQ21" s="222">
        <f>'3yr forecast'!AB28</f>
        <v>5871.1761218333331</v>
      </c>
      <c r="BR21" s="222">
        <f>'3yr forecast'!AC28</f>
        <v>5871.1761218333331</v>
      </c>
      <c r="BS21" s="222">
        <f>'3yr forecast'!AD28</f>
        <v>5871.1761218333331</v>
      </c>
      <c r="BT21" s="222">
        <f>'3yr forecast'!AE28</f>
        <v>5871.1761218333331</v>
      </c>
      <c r="BU21" s="222">
        <f>'3yr forecast'!AF28</f>
        <v>5871.1761218333331</v>
      </c>
      <c r="BV21" s="222">
        <f>'3yr forecast'!AG28</f>
        <v>5871.1761218333331</v>
      </c>
      <c r="BW21" s="222">
        <f>'3yr forecast'!AH28</f>
        <v>5871.1761218333331</v>
      </c>
      <c r="BX21" s="222">
        <f>'3yr forecast'!AI28</f>
        <v>5871.1761218333331</v>
      </c>
      <c r="BY21" s="222">
        <f>'3yr forecast'!AJ28</f>
        <v>5871.1761218333331</v>
      </c>
      <c r="BZ21" s="222">
        <f>'3yr forecast'!AK28</f>
        <v>5871.1761218333331</v>
      </c>
      <c r="CA21" s="222">
        <f>'3yr forecast'!AL28</f>
        <v>5871.1761218333331</v>
      </c>
      <c r="CB21" s="222">
        <f>'3yr forecast'!AM28</f>
        <v>6164.7349945431251</v>
      </c>
      <c r="CC21" s="222">
        <f>'3yr forecast'!AN28</f>
        <v>6164.7349945431251</v>
      </c>
      <c r="CD21" s="222">
        <f>'3yr forecast'!AO28</f>
        <v>6164.7349945431251</v>
      </c>
    </row>
    <row r="22" spans="1:82">
      <c r="A22" s="119">
        <f>ROW()</f>
        <v>22</v>
      </c>
      <c r="C22" s="229" t="s">
        <v>649</v>
      </c>
      <c r="D22" s="221"/>
      <c r="E22" s="221"/>
      <c r="F22" s="221"/>
      <c r="G22" s="221"/>
      <c r="H22" s="221"/>
      <c r="I22" s="221"/>
      <c r="J22" s="222">
        <f t="shared" si="24"/>
        <v>24051.382223847093</v>
      </c>
      <c r="K22" s="222">
        <f>actual3yr!E81</f>
        <v>278.25083333333328</v>
      </c>
      <c r="L22" s="222">
        <f>actual3yr!F81</f>
        <v>269.27</v>
      </c>
      <c r="M22" s="222">
        <f>actual3yr!G81</f>
        <v>269.27</v>
      </c>
      <c r="N22" s="222">
        <f>actual3yr!H81</f>
        <v>269.27</v>
      </c>
      <c r="O22" s="222">
        <f>actual3yr!I81</f>
        <v>269.27</v>
      </c>
      <c r="P22" s="222">
        <f>actual3yr!J81</f>
        <v>1291.24</v>
      </c>
      <c r="Q22" s="222">
        <f>actual3yr!K81</f>
        <v>428.84</v>
      </c>
      <c r="R22" s="222">
        <f>actual3yr!L81</f>
        <v>299.60000000000002</v>
      </c>
      <c r="S22" s="222">
        <f>actual3yr!M81</f>
        <v>138.81</v>
      </c>
      <c r="T22" s="222">
        <f>actual3yr!O81</f>
        <v>336.56</v>
      </c>
      <c r="U22" s="222">
        <f>actual3yr!P81</f>
        <v>349.92</v>
      </c>
      <c r="V22" s="222">
        <f>actual3yr!Q81</f>
        <v>350.13</v>
      </c>
      <c r="W22" s="222">
        <f>actual3yr!R81</f>
        <v>350</v>
      </c>
      <c r="X22" s="222">
        <f>actual3yr!S81</f>
        <v>349.62</v>
      </c>
      <c r="Y22" s="222">
        <f>actual3yr!T81</f>
        <v>350</v>
      </c>
      <c r="Z22" s="222">
        <f>actual3yr!U81</f>
        <v>334.67</v>
      </c>
      <c r="AA22" s="222">
        <f>actual3yr!V81</f>
        <v>333.33</v>
      </c>
      <c r="AB22" s="222">
        <f>actual3yr!W81</f>
        <v>-61.53</v>
      </c>
      <c r="AC22" s="222">
        <f>actual3yr!X81</f>
        <v>493.21</v>
      </c>
      <c r="AD22" s="222">
        <f>actual3yr!Y81</f>
        <v>276.52</v>
      </c>
      <c r="AE22" s="222">
        <f>actual3yr!Z81</f>
        <v>276.52</v>
      </c>
      <c r="AF22" s="222">
        <f>actual3yr!AB81</f>
        <v>399.52</v>
      </c>
      <c r="AG22" s="222">
        <f>actual3yr!AC81</f>
        <v>399.54</v>
      </c>
      <c r="AH22" s="222">
        <f>actual3yr!AD81</f>
        <v>399.99</v>
      </c>
      <c r="AI22" s="222">
        <f>actual3yr!AE81</f>
        <v>400</v>
      </c>
      <c r="AJ22" s="222">
        <f>actual3yr!AF81</f>
        <v>400</v>
      </c>
      <c r="AK22" s="222">
        <f>actual3yr!AG81</f>
        <v>-231.72</v>
      </c>
      <c r="AL22" s="222">
        <f>actual3yr!AH81</f>
        <v>276.52</v>
      </c>
      <c r="AM22" s="222">
        <f>actual3yr!AI81</f>
        <v>384.38</v>
      </c>
      <c r="AN22" s="222">
        <f>actual3yr!AJ81</f>
        <v>276.52</v>
      </c>
      <c r="AO22" s="222">
        <f>actual3yr!AK81</f>
        <v>384.66</v>
      </c>
      <c r="AP22" s="222">
        <f>actual3yr!AL81</f>
        <v>281.24</v>
      </c>
      <c r="AQ22" s="222">
        <f>actual3yr!AM81</f>
        <v>272.17</v>
      </c>
      <c r="AR22" s="796">
        <f>'3yr forecast'!C29</f>
        <v>318.52</v>
      </c>
      <c r="AS22" s="222">
        <f>'3yr forecast'!D29</f>
        <v>318.52</v>
      </c>
      <c r="AT22" s="222">
        <f>'3yr forecast'!E29</f>
        <v>318.52</v>
      </c>
      <c r="AU22" s="222">
        <f>'3yr forecast'!F29</f>
        <v>318.52</v>
      </c>
      <c r="AV22" s="222">
        <f>'3yr forecast'!G29</f>
        <v>318.52</v>
      </c>
      <c r="AW22" s="222">
        <f>'3yr forecast'!H29</f>
        <v>318.52</v>
      </c>
      <c r="AX22" s="222">
        <f>'3yr forecast'!I29</f>
        <v>318.52</v>
      </c>
      <c r="AY22" s="222">
        <f>'3yr forecast'!J29</f>
        <v>318.52</v>
      </c>
      <c r="AZ22" s="222">
        <f>'3yr forecast'!K29</f>
        <v>318.52</v>
      </c>
      <c r="BA22" s="222">
        <f>'3yr forecast'!L29</f>
        <v>318.52</v>
      </c>
      <c r="BB22" s="222">
        <f>'3yr forecast'!M29</f>
        <v>318.52</v>
      </c>
      <c r="BC22" s="222">
        <f>'3yr forecast'!N29</f>
        <v>318.52</v>
      </c>
      <c r="BD22" s="222">
        <f>'3yr forecast'!O29</f>
        <v>334.44598483333334</v>
      </c>
      <c r="BE22" s="222">
        <f>'3yr forecast'!P29</f>
        <v>334.44598483333334</v>
      </c>
      <c r="BF22" s="222">
        <f>'3yr forecast'!Q29</f>
        <v>334.44598483333334</v>
      </c>
      <c r="BG22" s="222">
        <f>'3yr forecast'!R29</f>
        <v>334.44598483333334</v>
      </c>
      <c r="BH22" s="222">
        <f>'3yr forecast'!S29</f>
        <v>334.44598483333334</v>
      </c>
      <c r="BI22" s="222">
        <f>'3yr forecast'!T29</f>
        <v>334.44598483333334</v>
      </c>
      <c r="BJ22" s="222">
        <f>'3yr forecast'!U29</f>
        <v>334.44598483333334</v>
      </c>
      <c r="BK22" s="222">
        <f>'3yr forecast'!V29</f>
        <v>334.44598483333334</v>
      </c>
      <c r="BL22" s="222">
        <f>'3yr forecast'!W29</f>
        <v>334.44598483333334</v>
      </c>
      <c r="BM22" s="222">
        <f>'3yr forecast'!X29</f>
        <v>334.44598483333334</v>
      </c>
      <c r="BN22" s="222">
        <f>'3yr forecast'!Y29</f>
        <v>334.44598483333334</v>
      </c>
      <c r="BO22" s="222">
        <f>'3yr forecast'!Z29</f>
        <v>334.44598483333334</v>
      </c>
      <c r="BP22" s="222">
        <f>'3yr forecast'!AA29</f>
        <v>351.16828783333335</v>
      </c>
      <c r="BQ22" s="222">
        <f>'3yr forecast'!AB29</f>
        <v>351.16828783333335</v>
      </c>
      <c r="BR22" s="222">
        <f>'3yr forecast'!AC29</f>
        <v>351.16828783333335</v>
      </c>
      <c r="BS22" s="222">
        <f>'3yr forecast'!AD29</f>
        <v>351.16828783333335</v>
      </c>
      <c r="BT22" s="222">
        <f>'3yr forecast'!AE29</f>
        <v>351.16828783333335</v>
      </c>
      <c r="BU22" s="222">
        <f>'3yr forecast'!AF29</f>
        <v>351.16828783333335</v>
      </c>
      <c r="BV22" s="222">
        <f>'3yr forecast'!AG29</f>
        <v>351.16828783333335</v>
      </c>
      <c r="BW22" s="222">
        <f>'3yr forecast'!AH29</f>
        <v>351.16828783333335</v>
      </c>
      <c r="BX22" s="222">
        <f>'3yr forecast'!AI29</f>
        <v>351.16828783333335</v>
      </c>
      <c r="BY22" s="222">
        <f>'3yr forecast'!AJ29</f>
        <v>351.16828783333335</v>
      </c>
      <c r="BZ22" s="222">
        <f>'3yr forecast'!AK29</f>
        <v>351.16828783333335</v>
      </c>
      <c r="CA22" s="222">
        <f>'3yr forecast'!AL29</f>
        <v>351.16828783333335</v>
      </c>
      <c r="CB22" s="222">
        <f>'3yr forecast'!AM29</f>
        <v>368.7267061712501</v>
      </c>
      <c r="CC22" s="222">
        <f>'3yr forecast'!AN29</f>
        <v>368.7267061712501</v>
      </c>
      <c r="CD22" s="222">
        <f>'3yr forecast'!AO29</f>
        <v>368.7267061712501</v>
      </c>
    </row>
    <row r="23" spans="1:82">
      <c r="A23" s="119">
        <f>ROW()</f>
        <v>23</v>
      </c>
      <c r="C23" s="229" t="s">
        <v>650</v>
      </c>
      <c r="D23" s="221"/>
      <c r="E23" s="221"/>
      <c r="F23" s="221"/>
      <c r="G23" s="221"/>
      <c r="H23" s="221"/>
      <c r="I23" s="221"/>
      <c r="J23" s="222">
        <f t="shared" si="24"/>
        <v>351346.37026119535</v>
      </c>
      <c r="K23" s="222">
        <f>actual3yr!E82</f>
        <v>4206.1445833333337</v>
      </c>
      <c r="L23" s="222">
        <f>actual3yr!F82</f>
        <v>4138.3100000000004</v>
      </c>
      <c r="M23" s="222">
        <f>actual3yr!G82</f>
        <v>4138.3100000000004</v>
      </c>
      <c r="N23" s="222">
        <f>actual3yr!H82</f>
        <v>4740</v>
      </c>
      <c r="O23" s="222">
        <f>actual3yr!I82</f>
        <v>4740</v>
      </c>
      <c r="P23" s="222">
        <f>actual3yr!J82</f>
        <v>4335.9799999999996</v>
      </c>
      <c r="Q23" s="222">
        <f>actual3yr!K82</f>
        <v>4554.72</v>
      </c>
      <c r="R23" s="222">
        <f>actual3yr!L82</f>
        <v>4630</v>
      </c>
      <c r="S23" s="222">
        <f>actual3yr!M82</f>
        <v>4480.6499999999996</v>
      </c>
      <c r="T23" s="222">
        <f>actual3yr!O82</f>
        <v>4630</v>
      </c>
      <c r="U23" s="222">
        <f>actual3yr!P82</f>
        <v>4630</v>
      </c>
      <c r="V23" s="222">
        <f>actual3yr!Q82</f>
        <v>4517.37</v>
      </c>
      <c r="W23" s="222">
        <f>actual3yr!R82</f>
        <v>4667.95</v>
      </c>
      <c r="X23" s="222">
        <f>actual3yr!S82</f>
        <v>4517.37</v>
      </c>
      <c r="Y23" s="222">
        <f>actual3yr!T82</f>
        <v>4667.96</v>
      </c>
      <c r="Z23" s="222">
        <f>actual3yr!U82</f>
        <v>4695</v>
      </c>
      <c r="AA23" s="222">
        <f>actual3yr!V82</f>
        <v>4241.29</v>
      </c>
      <c r="AB23" s="222">
        <f>actual3yr!W82</f>
        <v>4695.34</v>
      </c>
      <c r="AC23" s="222">
        <f>actual3yr!X82</f>
        <v>4543.87</v>
      </c>
      <c r="AD23" s="222">
        <f>actual3yr!Y82</f>
        <v>4695.34</v>
      </c>
      <c r="AE23" s="222">
        <f>actual3yr!Z82</f>
        <v>4543.87</v>
      </c>
      <c r="AF23" s="222">
        <f>actual3yr!AB82</f>
        <v>4695.34</v>
      </c>
      <c r="AG23" s="222">
        <f>actual3yr!AC82</f>
        <v>4695.34</v>
      </c>
      <c r="AH23" s="222">
        <f>actual3yr!AD82</f>
        <v>4543.87</v>
      </c>
      <c r="AI23" s="222">
        <f>actual3yr!AE82</f>
        <v>4695.34</v>
      </c>
      <c r="AJ23" s="222">
        <f>actual3yr!AF82</f>
        <v>4543.87</v>
      </c>
      <c r="AK23" s="222">
        <f>actual3yr!AG82</f>
        <v>4695.33</v>
      </c>
      <c r="AL23" s="222">
        <f>actual3yr!AH82</f>
        <v>4861</v>
      </c>
      <c r="AM23" s="222">
        <f>actual3yr!AI82</f>
        <v>4214.7</v>
      </c>
      <c r="AN23" s="222">
        <f>actual3yr!AJ82</f>
        <v>4768.59</v>
      </c>
      <c r="AO23" s="222">
        <f>actual3yr!AK82</f>
        <v>4614.76</v>
      </c>
      <c r="AP23" s="222">
        <f>actual3yr!AL82</f>
        <v>4768.59</v>
      </c>
      <c r="AQ23" s="222">
        <f>actual3yr!AM82</f>
        <v>4614.76</v>
      </c>
      <c r="AR23" s="796">
        <f>'3yr forecast'!C30</f>
        <v>4857.42</v>
      </c>
      <c r="AS23" s="222">
        <f>'3yr forecast'!D30</f>
        <v>4857.42</v>
      </c>
      <c r="AT23" s="222">
        <f>'3yr forecast'!E30</f>
        <v>4857.42</v>
      </c>
      <c r="AU23" s="222">
        <f>'3yr forecast'!F30</f>
        <v>4857.42</v>
      </c>
      <c r="AV23" s="222">
        <f>'3yr forecast'!G30</f>
        <v>4857.42</v>
      </c>
      <c r="AW23" s="222">
        <f>'3yr forecast'!H30</f>
        <v>4857.42</v>
      </c>
      <c r="AX23" s="222">
        <f>'3yr forecast'!I30</f>
        <v>4857.42</v>
      </c>
      <c r="AY23" s="222">
        <f>'3yr forecast'!J30</f>
        <v>4857.42</v>
      </c>
      <c r="AZ23" s="222">
        <f>'3yr forecast'!K30</f>
        <v>4857.42</v>
      </c>
      <c r="BA23" s="222">
        <f>'3yr forecast'!L30</f>
        <v>4857.42</v>
      </c>
      <c r="BB23" s="222">
        <f>'3yr forecast'!M30</f>
        <v>4857.42</v>
      </c>
      <c r="BC23" s="222">
        <f>'3yr forecast'!N30</f>
        <v>4857.42</v>
      </c>
      <c r="BD23" s="222">
        <f>'3yr forecast'!O30</f>
        <v>5100.2907684166667</v>
      </c>
      <c r="BE23" s="222">
        <f>'3yr forecast'!P30</f>
        <v>5100.2907684166667</v>
      </c>
      <c r="BF23" s="222">
        <f>'3yr forecast'!Q30</f>
        <v>5100.2907684166667</v>
      </c>
      <c r="BG23" s="222">
        <f>'3yr forecast'!R30</f>
        <v>5100.2907684166667</v>
      </c>
      <c r="BH23" s="222">
        <f>'3yr forecast'!S30</f>
        <v>5100.2907684166667</v>
      </c>
      <c r="BI23" s="222">
        <f>'3yr forecast'!T30</f>
        <v>5100.2907684166667</v>
      </c>
      <c r="BJ23" s="222">
        <f>'3yr forecast'!U30</f>
        <v>5100.2907684166667</v>
      </c>
      <c r="BK23" s="222">
        <f>'3yr forecast'!V30</f>
        <v>5100.2907684166667</v>
      </c>
      <c r="BL23" s="222">
        <f>'3yr forecast'!W30</f>
        <v>5100.2907684166667</v>
      </c>
      <c r="BM23" s="222">
        <f>'3yr forecast'!X30</f>
        <v>5100.2907684166667</v>
      </c>
      <c r="BN23" s="222">
        <f>'3yr forecast'!Y30</f>
        <v>5100.2907684166667</v>
      </c>
      <c r="BO23" s="222">
        <f>'3yr forecast'!Z30</f>
        <v>5100.2907684166667</v>
      </c>
      <c r="BP23" s="222">
        <f>'3yr forecast'!AA30</f>
        <v>5355.3053646666667</v>
      </c>
      <c r="BQ23" s="222">
        <f>'3yr forecast'!AB30</f>
        <v>5355.3053646666667</v>
      </c>
      <c r="BR23" s="222">
        <f>'3yr forecast'!AC30</f>
        <v>5355.3053646666667</v>
      </c>
      <c r="BS23" s="222">
        <f>'3yr forecast'!AD30</f>
        <v>5355.3053646666667</v>
      </c>
      <c r="BT23" s="222">
        <f>'3yr forecast'!AE30</f>
        <v>5355.3053646666667</v>
      </c>
      <c r="BU23" s="222">
        <f>'3yr forecast'!AF30</f>
        <v>5355.3053646666667</v>
      </c>
      <c r="BV23" s="222">
        <f>'3yr forecast'!AG30</f>
        <v>5355.3053646666667</v>
      </c>
      <c r="BW23" s="222">
        <f>'3yr forecast'!AH30</f>
        <v>5355.3053646666667</v>
      </c>
      <c r="BX23" s="222">
        <f>'3yr forecast'!AI30</f>
        <v>5355.3053646666667</v>
      </c>
      <c r="BY23" s="222">
        <f>'3yr forecast'!AJ30</f>
        <v>5355.3053646666667</v>
      </c>
      <c r="BZ23" s="222">
        <f>'3yr forecast'!AK30</f>
        <v>5355.3053646666667</v>
      </c>
      <c r="CA23" s="222">
        <f>'3yr forecast'!AL30</f>
        <v>5355.3053646666667</v>
      </c>
      <c r="CB23" s="222">
        <f>'3yr forecast'!AM30</f>
        <v>5623.0706936206252</v>
      </c>
      <c r="CC23" s="222">
        <f>'3yr forecast'!AN30</f>
        <v>5623.0706936206252</v>
      </c>
      <c r="CD23" s="222">
        <f>'3yr forecast'!AO30</f>
        <v>5623.0706936206252</v>
      </c>
    </row>
    <row r="24" spans="1:82">
      <c r="A24" s="119">
        <f>ROW()</f>
        <v>24</v>
      </c>
      <c r="C24" s="229" t="s">
        <v>651</v>
      </c>
      <c r="D24" s="221"/>
      <c r="E24" s="221"/>
      <c r="F24" s="221"/>
      <c r="G24" s="221"/>
      <c r="H24" s="221"/>
      <c r="I24" s="221"/>
      <c r="J24" s="222">
        <f t="shared" si="24"/>
        <v>96806.460751774866</v>
      </c>
      <c r="K24" s="222">
        <f>actual3yr!E83</f>
        <v>1800.9579166666667</v>
      </c>
      <c r="L24" s="222">
        <f>actual3yr!F83</f>
        <v>1684.76</v>
      </c>
      <c r="M24" s="222">
        <f>actual3yr!G83</f>
        <v>1740.91</v>
      </c>
      <c r="N24" s="222">
        <f>actual3yr!H83</f>
        <v>1740.91</v>
      </c>
      <c r="O24" s="222">
        <f>actual3yr!I83</f>
        <v>1615.33</v>
      </c>
      <c r="P24" s="222">
        <f>actual3yr!J83</f>
        <v>-2154.11</v>
      </c>
      <c r="Q24" s="222">
        <f>actual3yr!K83</f>
        <v>779.39</v>
      </c>
      <c r="R24" s="222">
        <f>actual3yr!L83</f>
        <v>1988.73</v>
      </c>
      <c r="S24" s="222">
        <f>actual3yr!M83</f>
        <v>1419.69</v>
      </c>
      <c r="T24" s="222">
        <f>actual3yr!O83</f>
        <v>1961.56</v>
      </c>
      <c r="U24" s="222">
        <f>actual3yr!P83</f>
        <v>1961.56</v>
      </c>
      <c r="V24" s="222">
        <f>actual3yr!Q83</f>
        <v>1962.49</v>
      </c>
      <c r="W24" s="222">
        <f>actual3yr!R83</f>
        <v>1961.54</v>
      </c>
      <c r="X24" s="222">
        <f>actual3yr!S83</f>
        <v>48.25</v>
      </c>
      <c r="Y24" s="222">
        <f>actual3yr!T83</f>
        <v>1567.56</v>
      </c>
      <c r="Z24" s="222">
        <f>actual3yr!U83</f>
        <v>1512.2</v>
      </c>
      <c r="AA24" s="222">
        <f>actual3yr!V83</f>
        <v>1583.88</v>
      </c>
      <c r="AB24" s="222">
        <f>actual3yr!W83</f>
        <v>1422</v>
      </c>
      <c r="AC24" s="222">
        <f>actual3yr!X83</f>
        <v>3065.8</v>
      </c>
      <c r="AD24" s="222">
        <f>actual3yr!Y83</f>
        <v>2235.83</v>
      </c>
      <c r="AE24" s="222">
        <f>actual3yr!Z83</f>
        <v>1341.39</v>
      </c>
      <c r="AF24" s="222">
        <f>actual3yr!AB83</f>
        <v>2235.65</v>
      </c>
      <c r="AG24" s="222">
        <f>actual3yr!AC83</f>
        <v>1788.52</v>
      </c>
      <c r="AH24" s="222">
        <f>actual3yr!AD83</f>
        <v>1119.79</v>
      </c>
      <c r="AI24" s="222">
        <f>actual3yr!AE83</f>
        <v>2102.04</v>
      </c>
      <c r="AJ24" s="222">
        <f>actual3yr!AF83</f>
        <v>2047.36</v>
      </c>
      <c r="AK24" s="222">
        <f>actual3yr!AG83</f>
        <v>-3874.13</v>
      </c>
      <c r="AL24" s="222">
        <f>actual3yr!AH83</f>
        <v>1178.19</v>
      </c>
      <c r="AM24" s="222">
        <f>actual3yr!AI83</f>
        <v>1177.4000000000001</v>
      </c>
      <c r="AN24" s="222">
        <f>actual3yr!AJ83</f>
        <v>1177.69</v>
      </c>
      <c r="AO24" s="222">
        <f>actual3yr!AK83</f>
        <v>1377.13</v>
      </c>
      <c r="AP24" s="222">
        <f>actual3yr!AL83</f>
        <v>1165.26</v>
      </c>
      <c r="AQ24" s="222">
        <f>actual3yr!AM83</f>
        <v>1127.67</v>
      </c>
      <c r="AR24" s="796">
        <f>'3yr forecast'!C31</f>
        <v>1281.83</v>
      </c>
      <c r="AS24" s="222">
        <f>'3yr forecast'!D31</f>
        <v>1281.83</v>
      </c>
      <c r="AT24" s="222">
        <f>'3yr forecast'!E31</f>
        <v>1281.83</v>
      </c>
      <c r="AU24" s="222">
        <f>'3yr forecast'!F31</f>
        <v>1281.83</v>
      </c>
      <c r="AV24" s="222">
        <f>'3yr forecast'!G31</f>
        <v>1281.83</v>
      </c>
      <c r="AW24" s="222">
        <f>'3yr forecast'!H31</f>
        <v>1281.83</v>
      </c>
      <c r="AX24" s="222">
        <f>'3yr forecast'!I31</f>
        <v>1281.83</v>
      </c>
      <c r="AY24" s="222">
        <f>'3yr forecast'!J31</f>
        <v>1281.83</v>
      </c>
      <c r="AZ24" s="222">
        <f>'3yr forecast'!K31</f>
        <v>1281.83</v>
      </c>
      <c r="BA24" s="222">
        <f>'3yr forecast'!L31</f>
        <v>1281.83</v>
      </c>
      <c r="BB24" s="222">
        <f>'3yr forecast'!M31</f>
        <v>1281.83</v>
      </c>
      <c r="BC24" s="222">
        <f>'3yr forecast'!N31</f>
        <v>1281.83</v>
      </c>
      <c r="BD24" s="222">
        <f>'3yr forecast'!O31</f>
        <v>1345.9214389166666</v>
      </c>
      <c r="BE24" s="222">
        <f>'3yr forecast'!P31</f>
        <v>1345.9214389166666</v>
      </c>
      <c r="BF24" s="222">
        <f>'3yr forecast'!Q31</f>
        <v>1345.9214389166666</v>
      </c>
      <c r="BG24" s="222">
        <f>'3yr forecast'!R31</f>
        <v>1345.9214389166666</v>
      </c>
      <c r="BH24" s="222">
        <f>'3yr forecast'!S31</f>
        <v>1345.9214389166666</v>
      </c>
      <c r="BI24" s="222">
        <f>'3yr forecast'!T31</f>
        <v>1345.9214389166666</v>
      </c>
      <c r="BJ24" s="222">
        <f>'3yr forecast'!U31</f>
        <v>1345.9214389166666</v>
      </c>
      <c r="BK24" s="222">
        <f>'3yr forecast'!V31</f>
        <v>1345.9214389166666</v>
      </c>
      <c r="BL24" s="222">
        <f>'3yr forecast'!W31</f>
        <v>1345.9214389166666</v>
      </c>
      <c r="BM24" s="222">
        <f>'3yr forecast'!X31</f>
        <v>1345.9214389166666</v>
      </c>
      <c r="BN24" s="222">
        <f>'3yr forecast'!Y31</f>
        <v>1345.9214389166666</v>
      </c>
      <c r="BO24" s="222">
        <f>'3yr forecast'!Z31</f>
        <v>1345.9214389166666</v>
      </c>
      <c r="BP24" s="222">
        <f>'3yr forecast'!AA31</f>
        <v>1413.2175260833335</v>
      </c>
      <c r="BQ24" s="222">
        <f>'3yr forecast'!AB31</f>
        <v>1413.2175260833335</v>
      </c>
      <c r="BR24" s="222">
        <f>'3yr forecast'!AC31</f>
        <v>1413.2175260833335</v>
      </c>
      <c r="BS24" s="222">
        <f>'3yr forecast'!AD31</f>
        <v>1413.2175260833335</v>
      </c>
      <c r="BT24" s="222">
        <f>'3yr forecast'!AE31</f>
        <v>1413.2175260833335</v>
      </c>
      <c r="BU24" s="222">
        <f>'3yr forecast'!AF31</f>
        <v>1413.2175260833335</v>
      </c>
      <c r="BV24" s="222">
        <f>'3yr forecast'!AG31</f>
        <v>1413.2175260833335</v>
      </c>
      <c r="BW24" s="222">
        <f>'3yr forecast'!AH31</f>
        <v>1413.2175260833335</v>
      </c>
      <c r="BX24" s="222">
        <f>'3yr forecast'!AI31</f>
        <v>1413.2175260833335</v>
      </c>
      <c r="BY24" s="222">
        <f>'3yr forecast'!AJ31</f>
        <v>1413.2175260833335</v>
      </c>
      <c r="BZ24" s="222">
        <f>'3yr forecast'!AK31</f>
        <v>1413.2175260833335</v>
      </c>
      <c r="CA24" s="222">
        <f>'3yr forecast'!AL31</f>
        <v>1413.2175260833335</v>
      </c>
      <c r="CB24" s="222">
        <f>'3yr forecast'!AM31</f>
        <v>1483.8784183693758</v>
      </c>
      <c r="CC24" s="222">
        <f>'3yr forecast'!AN31</f>
        <v>1483.8784183693758</v>
      </c>
      <c r="CD24" s="222">
        <f>'3yr forecast'!AO31</f>
        <v>1483.8784183693758</v>
      </c>
    </row>
    <row r="25" spans="1:82">
      <c r="A25" s="119">
        <f>ROW()</f>
        <v>25</v>
      </c>
      <c r="C25" s="229" t="s">
        <v>138</v>
      </c>
      <c r="D25" s="221"/>
      <c r="E25" s="221"/>
      <c r="F25" s="221"/>
      <c r="G25" s="221"/>
      <c r="H25" s="221"/>
      <c r="I25" s="221"/>
      <c r="J25" s="222">
        <f t="shared" si="24"/>
        <v>176117.67966618482</v>
      </c>
      <c r="K25" s="222">
        <f>actual3yr!E84</f>
        <v>0</v>
      </c>
      <c r="L25" s="222">
        <f>actual3yr!F84</f>
        <v>10133.32</v>
      </c>
      <c r="M25" s="222">
        <f>actual3yr!G84</f>
        <v>4879.7700000000004</v>
      </c>
      <c r="N25" s="222">
        <f>actual3yr!H84</f>
        <v>5004.37</v>
      </c>
      <c r="O25" s="222">
        <f>actual3yr!I84</f>
        <v>4752.88</v>
      </c>
      <c r="P25" s="222">
        <f>actual3yr!J84</f>
        <v>-6051.5</v>
      </c>
      <c r="Q25" s="222">
        <f>actual3yr!K84</f>
        <v>4825.3900000000003</v>
      </c>
      <c r="R25" s="222">
        <f>actual3yr!L84</f>
        <v>4986.24</v>
      </c>
      <c r="S25" s="222">
        <f>actual3yr!M84</f>
        <v>4825.3500000000004</v>
      </c>
      <c r="T25" s="222">
        <f>actual3yr!O84</f>
        <v>2254.94</v>
      </c>
      <c r="U25" s="222">
        <f>actual3yr!P84</f>
        <v>2254.96</v>
      </c>
      <c r="V25" s="222">
        <f>actual3yr!Q84</f>
        <v>2257</v>
      </c>
      <c r="W25" s="222">
        <f>actual3yr!R84</f>
        <v>2180.12</v>
      </c>
      <c r="X25" s="222">
        <f>actual3yr!S84</f>
        <v>2182.19</v>
      </c>
      <c r="Y25" s="222">
        <f>actual3yr!T84</f>
        <v>2254.9499999999998</v>
      </c>
      <c r="Z25" s="222">
        <f>actual3yr!U84</f>
        <v>2254.84</v>
      </c>
      <c r="AA25" s="222">
        <f>actual3yr!V84</f>
        <v>2036.7199999999998</v>
      </c>
      <c r="AB25" s="222">
        <f>actual3yr!W84</f>
        <v>2254.92</v>
      </c>
      <c r="AC25" s="222">
        <f>actual3yr!X84</f>
        <v>2182.1999999999998</v>
      </c>
      <c r="AD25" s="222">
        <f>actual3yr!Y84</f>
        <v>2254.92</v>
      </c>
      <c r="AE25" s="222">
        <f>actual3yr!Z84</f>
        <v>2182.34</v>
      </c>
      <c r="AF25" s="222">
        <f>actual3yr!AB84</f>
        <v>2458</v>
      </c>
      <c r="AG25" s="222">
        <f>actual3yr!AC84</f>
        <v>2458</v>
      </c>
      <c r="AH25" s="222">
        <f>actual3yr!AD84</f>
        <v>947.18999999999983</v>
      </c>
      <c r="AI25" s="222">
        <f>actual3yr!AE84</f>
        <v>1962.13</v>
      </c>
      <c r="AJ25" s="222">
        <f>actual3yr!AF84</f>
        <v>1893.23</v>
      </c>
      <c r="AK25" s="222">
        <f>actual3yr!AG84</f>
        <v>1956.33</v>
      </c>
      <c r="AL25" s="222">
        <f>actual3yr!AH84</f>
        <v>1956.33</v>
      </c>
      <c r="AM25" s="222">
        <f>actual3yr!AI84</f>
        <v>1767.02</v>
      </c>
      <c r="AN25" s="222">
        <f>actual3yr!AJ84</f>
        <v>1956.33</v>
      </c>
      <c r="AO25" s="222">
        <f>actual3yr!AK84</f>
        <v>1893.23</v>
      </c>
      <c r="AP25" s="222">
        <f>actual3yr!AL84</f>
        <v>1956.33</v>
      </c>
      <c r="AQ25" s="222">
        <f>actual3yr!AM84</f>
        <v>1893.35</v>
      </c>
      <c r="AR25" s="796">
        <f>'3yr forecast'!C37</f>
        <v>2130.1280461666665</v>
      </c>
      <c r="AS25" s="222">
        <f>'3yr forecast'!D37</f>
        <v>2130.1280461666665</v>
      </c>
      <c r="AT25" s="222">
        <f>'3yr forecast'!E37</f>
        <v>2130.1280461666665</v>
      </c>
      <c r="AU25" s="222">
        <f>'3yr forecast'!F37</f>
        <v>2130.1280461666665</v>
      </c>
      <c r="AV25" s="222">
        <f>'3yr forecast'!G37</f>
        <v>2130.1280461666665</v>
      </c>
      <c r="AW25" s="222">
        <f>'3yr forecast'!H37</f>
        <v>2130.1280461666665</v>
      </c>
      <c r="AX25" s="222">
        <f>'3yr forecast'!I37</f>
        <v>2130.1280461666665</v>
      </c>
      <c r="AY25" s="222">
        <f>'3yr forecast'!J37</f>
        <v>2130.1280461666665</v>
      </c>
      <c r="AZ25" s="222">
        <f>'3yr forecast'!K37</f>
        <v>2130.1280461666665</v>
      </c>
      <c r="BA25" s="222">
        <f>'3yr forecast'!L37</f>
        <v>2130.1280461666665</v>
      </c>
      <c r="BB25" s="222">
        <f>'3yr forecast'!M37</f>
        <v>2130.1280461666665</v>
      </c>
      <c r="BC25" s="222">
        <f>'3yr forecast'!N37</f>
        <v>2130.1280461666665</v>
      </c>
      <c r="BD25" s="222">
        <f>'3yr forecast'!O37</f>
        <v>2343.1408738333334</v>
      </c>
      <c r="BE25" s="222">
        <f>'3yr forecast'!P37</f>
        <v>2343.1408738333334</v>
      </c>
      <c r="BF25" s="222">
        <f>'3yr forecast'!Q37</f>
        <v>2343.1408738333334</v>
      </c>
      <c r="BG25" s="222">
        <f>'3yr forecast'!R37</f>
        <v>2343.1408738333334</v>
      </c>
      <c r="BH25" s="222">
        <f>'3yr forecast'!S37</f>
        <v>2343.1408738333334</v>
      </c>
      <c r="BI25" s="222">
        <f>'3yr forecast'!T37</f>
        <v>2343.1408738333334</v>
      </c>
      <c r="BJ25" s="222">
        <f>'3yr forecast'!U37</f>
        <v>2343.1408738333334</v>
      </c>
      <c r="BK25" s="222">
        <f>'3yr forecast'!V37</f>
        <v>2343.1408738333334</v>
      </c>
      <c r="BL25" s="222">
        <f>'3yr forecast'!W37</f>
        <v>2343.1408738333334</v>
      </c>
      <c r="BM25" s="222">
        <f>'3yr forecast'!X37</f>
        <v>2343.1408738333334</v>
      </c>
      <c r="BN25" s="222">
        <f>'3yr forecast'!Y37</f>
        <v>2343.1408738333334</v>
      </c>
      <c r="BO25" s="222">
        <f>'3yr forecast'!Z37</f>
        <v>2343.1408738333334</v>
      </c>
      <c r="BP25" s="222">
        <f>'3yr forecast'!AA37</f>
        <v>2577.455053666667</v>
      </c>
      <c r="BQ25" s="222">
        <f>'3yr forecast'!AB37</f>
        <v>2577.455053666667</v>
      </c>
      <c r="BR25" s="222">
        <f>'3yr forecast'!AC37</f>
        <v>2577.455053666667</v>
      </c>
      <c r="BS25" s="222">
        <f>'3yr forecast'!AD37</f>
        <v>2577.455053666667</v>
      </c>
      <c r="BT25" s="222">
        <f>'3yr forecast'!AE37</f>
        <v>2577.455053666667</v>
      </c>
      <c r="BU25" s="222">
        <f>'3yr forecast'!AF37</f>
        <v>2577.455053666667</v>
      </c>
      <c r="BV25" s="222">
        <f>'3yr forecast'!AG37</f>
        <v>2577.455053666667</v>
      </c>
      <c r="BW25" s="222">
        <f>'3yr forecast'!AH37</f>
        <v>2577.455053666667</v>
      </c>
      <c r="BX25" s="222">
        <f>'3yr forecast'!AI37</f>
        <v>2577.455053666667</v>
      </c>
      <c r="BY25" s="222">
        <f>'3yr forecast'!AJ37</f>
        <v>2577.455053666667</v>
      </c>
      <c r="BZ25" s="222">
        <f>'3yr forecast'!AK37</f>
        <v>2577.455053666667</v>
      </c>
      <c r="CA25" s="222">
        <f>'3yr forecast'!AL37</f>
        <v>2577.455053666667</v>
      </c>
      <c r="CB25" s="222">
        <f>'3yr forecast'!AM37</f>
        <v>2835.200660728337</v>
      </c>
      <c r="CC25" s="222">
        <f>'3yr forecast'!AN37</f>
        <v>2835.200660728337</v>
      </c>
      <c r="CD25" s="222">
        <f>'3yr forecast'!AO37</f>
        <v>2835.200660728337</v>
      </c>
    </row>
    <row r="26" spans="1:82">
      <c r="A26" s="119">
        <f>ROW()</f>
        <v>26</v>
      </c>
      <c r="C26" s="229" t="s">
        <v>142</v>
      </c>
      <c r="D26" s="221"/>
      <c r="E26" s="221"/>
      <c r="F26" s="221"/>
      <c r="G26" s="221"/>
      <c r="H26" s="221"/>
      <c r="I26" s="221"/>
      <c r="J26" s="222">
        <f t="shared" si="24"/>
        <v>3868721.0834093718</v>
      </c>
      <c r="K26" s="222">
        <f>actual3yr!E85</f>
        <v>56517.146250000005</v>
      </c>
      <c r="L26" s="222">
        <f>actual3yr!F85</f>
        <v>56075.040000000001</v>
      </c>
      <c r="M26" s="222">
        <f>actual3yr!G85</f>
        <v>58964.43</v>
      </c>
      <c r="N26" s="222">
        <f>actual3yr!H85</f>
        <v>37348.43</v>
      </c>
      <c r="O26" s="222">
        <f>actual3yr!I85</f>
        <v>69125.67</v>
      </c>
      <c r="P26" s="222">
        <f>actual3yr!J85</f>
        <v>49400.67</v>
      </c>
      <c r="Q26" s="222">
        <f>actual3yr!K85</f>
        <v>49401.34</v>
      </c>
      <c r="R26" s="222">
        <f>actual3yr!L85</f>
        <v>49400.67</v>
      </c>
      <c r="S26" s="222">
        <f>actual3yr!M85</f>
        <v>49400.65</v>
      </c>
      <c r="T26" s="222">
        <f>actual3yr!O85</f>
        <v>50882.67</v>
      </c>
      <c r="U26" s="222">
        <f>actual3yr!P85</f>
        <v>50883.11</v>
      </c>
      <c r="V26" s="222">
        <f>actual3yr!Q85</f>
        <v>50883</v>
      </c>
      <c r="W26" s="222">
        <f>actual3yr!R85</f>
        <v>50883.13</v>
      </c>
      <c r="X26" s="222">
        <f>actual3yr!S85</f>
        <v>50882.75</v>
      </c>
      <c r="Y26" s="222">
        <f>actual3yr!T85</f>
        <v>50882.77</v>
      </c>
      <c r="Z26" s="222">
        <f>actual3yr!U85</f>
        <v>50882.75</v>
      </c>
      <c r="AA26" s="222">
        <f>actual3yr!V85</f>
        <v>46148.75</v>
      </c>
      <c r="AB26" s="222">
        <f>actual3yr!W85</f>
        <v>50882.75</v>
      </c>
      <c r="AC26" s="222">
        <f>actual3yr!X85</f>
        <v>50882.75</v>
      </c>
      <c r="AD26" s="222">
        <f>actual3yr!Y85</f>
        <v>50882.75</v>
      </c>
      <c r="AE26" s="222">
        <f>actual3yr!Z85</f>
        <v>50882.75</v>
      </c>
      <c r="AF26" s="222">
        <f>actual3yr!AB85</f>
        <v>50882.74</v>
      </c>
      <c r="AG26" s="222">
        <f>actual3yr!AC85</f>
        <v>51337.29</v>
      </c>
      <c r="AH26" s="222">
        <f>actual3yr!AD85</f>
        <v>50928.22</v>
      </c>
      <c r="AI26" s="222">
        <f>actual3yr!AE85</f>
        <v>52113.72</v>
      </c>
      <c r="AJ26" s="222">
        <f>actual3yr!AF85</f>
        <v>52409.18</v>
      </c>
      <c r="AK26" s="222">
        <f>actual3yr!AG85</f>
        <v>52409.17</v>
      </c>
      <c r="AL26" s="222">
        <f>actual3yr!AH85</f>
        <v>52409.17</v>
      </c>
      <c r="AM26" s="222">
        <f>actual3yr!AI85</f>
        <v>52409.17</v>
      </c>
      <c r="AN26" s="222">
        <f>actual3yr!AJ85</f>
        <v>52409.17</v>
      </c>
      <c r="AO26" s="222">
        <f>actual3yr!AK85</f>
        <v>52409.17</v>
      </c>
      <c r="AP26" s="222">
        <f>actual3yr!AL85</f>
        <v>52409.17</v>
      </c>
      <c r="AQ26" s="222">
        <f>actual3yr!AM85</f>
        <v>52409.14</v>
      </c>
      <c r="AR26" s="796">
        <f>'3yr forecast'!C39</f>
        <v>53563.057499999995</v>
      </c>
      <c r="AS26" s="222">
        <f>'3yr forecast'!D39</f>
        <v>53563.057499999995</v>
      </c>
      <c r="AT26" s="222">
        <f>'3yr forecast'!E39</f>
        <v>53563.057499999995</v>
      </c>
      <c r="AU26" s="222">
        <f>'3yr forecast'!F39</f>
        <v>53563.057499999995</v>
      </c>
      <c r="AV26" s="222">
        <f>'3yr forecast'!G39</f>
        <v>53563.057499999995</v>
      </c>
      <c r="AW26" s="222">
        <f>'3yr forecast'!H39</f>
        <v>53563.057499999995</v>
      </c>
      <c r="AX26" s="222">
        <f>'3yr forecast'!I39</f>
        <v>53563.057499999995</v>
      </c>
      <c r="AY26" s="222">
        <f>'3yr forecast'!J39</f>
        <v>53563.057499999995</v>
      </c>
      <c r="AZ26" s="222">
        <f>'3yr forecast'!K39</f>
        <v>53563.057499999995</v>
      </c>
      <c r="BA26" s="222">
        <f>'3yr forecast'!L39</f>
        <v>53563.057499999995</v>
      </c>
      <c r="BB26" s="222">
        <f>'3yr forecast'!M39</f>
        <v>53563.057499999995</v>
      </c>
      <c r="BC26" s="222">
        <f>'3yr forecast'!N39</f>
        <v>53563.057499999995</v>
      </c>
      <c r="BD26" s="222">
        <f>'3yr forecast'!O39</f>
        <v>55169.945</v>
      </c>
      <c r="BE26" s="222">
        <f>'3yr forecast'!P39</f>
        <v>55169.945</v>
      </c>
      <c r="BF26" s="222">
        <f>'3yr forecast'!Q39</f>
        <v>55169.945</v>
      </c>
      <c r="BG26" s="222">
        <f>'3yr forecast'!R39</f>
        <v>55169.945</v>
      </c>
      <c r="BH26" s="222">
        <f>'3yr forecast'!S39</f>
        <v>55169.945</v>
      </c>
      <c r="BI26" s="222">
        <f>'3yr forecast'!T39</f>
        <v>55169.945</v>
      </c>
      <c r="BJ26" s="222">
        <f>'3yr forecast'!U39</f>
        <v>55169.945</v>
      </c>
      <c r="BK26" s="222">
        <f>'3yr forecast'!V39</f>
        <v>55169.945</v>
      </c>
      <c r="BL26" s="222">
        <f>'3yr forecast'!W39</f>
        <v>55169.945</v>
      </c>
      <c r="BM26" s="222">
        <f>'3yr forecast'!X39</f>
        <v>55169.945</v>
      </c>
      <c r="BN26" s="222">
        <f>'3yr forecast'!Y39</f>
        <v>55169.945</v>
      </c>
      <c r="BO26" s="222">
        <f>'3yr forecast'!Z39</f>
        <v>55169.945</v>
      </c>
      <c r="BP26" s="222">
        <f>'3yr forecast'!AA39</f>
        <v>56851.939506916671</v>
      </c>
      <c r="BQ26" s="222">
        <f>'3yr forecast'!AB39</f>
        <v>56851.939506916671</v>
      </c>
      <c r="BR26" s="222">
        <f>'3yr forecast'!AC39</f>
        <v>56851.939506916671</v>
      </c>
      <c r="BS26" s="222">
        <f>'3yr forecast'!AD39</f>
        <v>56851.939506916671</v>
      </c>
      <c r="BT26" s="222">
        <f>'3yr forecast'!AE39</f>
        <v>56851.939506916671</v>
      </c>
      <c r="BU26" s="222">
        <f>'3yr forecast'!AF39</f>
        <v>56851.939506916671</v>
      </c>
      <c r="BV26" s="222">
        <f>'3yr forecast'!AG39</f>
        <v>56851.939506916671</v>
      </c>
      <c r="BW26" s="222">
        <f>'3yr forecast'!AH39</f>
        <v>56851.939506916671</v>
      </c>
      <c r="BX26" s="222">
        <f>'3yr forecast'!AI39</f>
        <v>56851.939506916671</v>
      </c>
      <c r="BY26" s="222">
        <f>'3yr forecast'!AJ39</f>
        <v>56851.939506916671</v>
      </c>
      <c r="BZ26" s="222">
        <f>'3yr forecast'!AK39</f>
        <v>56851.939506916671</v>
      </c>
      <c r="CA26" s="222">
        <f>'3yr forecast'!AL39</f>
        <v>56851.939506916671</v>
      </c>
      <c r="CB26" s="222">
        <f>'3yr forecast'!AM39</f>
        <v>58557.497692124176</v>
      </c>
      <c r="CC26" s="222">
        <f>'3yr forecast'!AN39</f>
        <v>58557.497692124176</v>
      </c>
      <c r="CD26" s="222">
        <f>'3yr forecast'!AO39</f>
        <v>58557.497692124176</v>
      </c>
    </row>
    <row r="27" spans="1:82">
      <c r="A27" s="119">
        <f>ROW()</f>
        <v>27</v>
      </c>
      <c r="C27" s="229" t="s">
        <v>143</v>
      </c>
      <c r="D27" s="221"/>
      <c r="E27" s="221"/>
      <c r="F27" s="221"/>
      <c r="G27" s="221"/>
      <c r="H27" s="221"/>
      <c r="I27" s="221"/>
      <c r="J27" s="222">
        <f t="shared" si="24"/>
        <v>270033.74603709241</v>
      </c>
      <c r="K27" s="222">
        <f>actual3yr!E86</f>
        <v>136.90375</v>
      </c>
      <c r="L27" s="222">
        <f>actual3yr!F86</f>
        <v>5650.34</v>
      </c>
      <c r="M27" s="222">
        <f>actual3yr!G86</f>
        <v>3230.9799999999996</v>
      </c>
      <c r="N27" s="222">
        <f>actual3yr!H86</f>
        <v>3230.97</v>
      </c>
      <c r="O27" s="222">
        <f>actual3yr!I86</f>
        <v>3247.39</v>
      </c>
      <c r="P27" s="222">
        <f>actual3yr!J86</f>
        <v>4241.17</v>
      </c>
      <c r="Q27" s="222">
        <f>actual3yr!K86</f>
        <v>2969.29</v>
      </c>
      <c r="R27" s="222">
        <f>actual3yr!L86</f>
        <v>3394.56</v>
      </c>
      <c r="S27" s="222">
        <f>actual3yr!M86</f>
        <v>3400.57</v>
      </c>
      <c r="T27" s="222">
        <f>actual3yr!O86</f>
        <v>3400.58</v>
      </c>
      <c r="U27" s="222">
        <f>actual3yr!P86</f>
        <v>3400.58</v>
      </c>
      <c r="V27" s="222">
        <f>actual3yr!Q86</f>
        <v>3400.58</v>
      </c>
      <c r="W27" s="222">
        <f>actual3yr!R86</f>
        <v>1838.84</v>
      </c>
      <c r="X27" s="222">
        <f>actual3yr!S86</f>
        <v>5176.97</v>
      </c>
      <c r="Y27" s="222">
        <f>actual3yr!T86</f>
        <v>3514.48</v>
      </c>
      <c r="Z27" s="222">
        <f>actual3yr!U86</f>
        <v>3511.4</v>
      </c>
      <c r="AA27" s="222">
        <f>actual3yr!V86</f>
        <v>3511.5</v>
      </c>
      <c r="AB27" s="222">
        <f>actual3yr!W86</f>
        <v>3511.45</v>
      </c>
      <c r="AC27" s="222">
        <f>actual3yr!X86</f>
        <v>3511.44</v>
      </c>
      <c r="AD27" s="222">
        <f>actual3yr!Y86</f>
        <v>3511.46</v>
      </c>
      <c r="AE27" s="222">
        <f>actual3yr!Z86</f>
        <v>3511.45</v>
      </c>
      <c r="AF27" s="222">
        <f>actual3yr!AB86</f>
        <v>3511.08</v>
      </c>
      <c r="AG27" s="222">
        <f>actual3yr!AC86</f>
        <v>3511.09</v>
      </c>
      <c r="AH27" s="222">
        <f>actual3yr!AD86</f>
        <v>3512.62</v>
      </c>
      <c r="AI27" s="222">
        <f>actual3yr!AE86</f>
        <v>3610.51</v>
      </c>
      <c r="AJ27" s="222">
        <f>actual3yr!AF86</f>
        <v>5738.85</v>
      </c>
      <c r="AK27" s="222">
        <f>actual3yr!AG86</f>
        <v>3515.17</v>
      </c>
      <c r="AL27" s="222">
        <f>actual3yr!AH86</f>
        <v>3745.33</v>
      </c>
      <c r="AM27" s="222">
        <f>actual3yr!AI86</f>
        <v>3629.49</v>
      </c>
      <c r="AN27" s="222">
        <f>actual3yr!AJ86</f>
        <v>3620.4500000000003</v>
      </c>
      <c r="AO27" s="222">
        <f>actual3yr!AK86</f>
        <v>3624.9100000000003</v>
      </c>
      <c r="AP27" s="222">
        <f>actual3yr!AL86</f>
        <v>2638.55</v>
      </c>
      <c r="AQ27" s="222">
        <f>actual3yr!AM86</f>
        <v>6248.4400000000005</v>
      </c>
      <c r="AR27" s="796">
        <f>'3yr forecast'!C44</f>
        <v>3715.7791666666667</v>
      </c>
      <c r="AS27" s="222">
        <f>'3yr forecast'!D44</f>
        <v>3715.7791666666667</v>
      </c>
      <c r="AT27" s="222">
        <f>'3yr forecast'!E44</f>
        <v>3715.7791666666667</v>
      </c>
      <c r="AU27" s="222">
        <f>'3yr forecast'!F44</f>
        <v>3715.7791666666667</v>
      </c>
      <c r="AV27" s="222">
        <f>'3yr forecast'!G44</f>
        <v>3715.7791666666667</v>
      </c>
      <c r="AW27" s="222">
        <f>'3yr forecast'!H44</f>
        <v>3715.7791666666667</v>
      </c>
      <c r="AX27" s="222">
        <f>'3yr forecast'!I44</f>
        <v>3715.7791666666667</v>
      </c>
      <c r="AY27" s="222">
        <f>'3yr forecast'!J44</f>
        <v>3715.7791666666667</v>
      </c>
      <c r="AZ27" s="222">
        <f>'3yr forecast'!K44</f>
        <v>3715.7791666666667</v>
      </c>
      <c r="BA27" s="222">
        <f>'3yr forecast'!L44</f>
        <v>3715.7791666666667</v>
      </c>
      <c r="BB27" s="222">
        <f>'3yr forecast'!M44</f>
        <v>3715.7791666666667</v>
      </c>
      <c r="BC27" s="222">
        <f>'3yr forecast'!N44</f>
        <v>3715.7791666666667</v>
      </c>
      <c r="BD27" s="222">
        <f>'3yr forecast'!O44</f>
        <v>3877.4698707500002</v>
      </c>
      <c r="BE27" s="222">
        <f>'3yr forecast'!P44</f>
        <v>3877.4698707500002</v>
      </c>
      <c r="BF27" s="222">
        <f>'3yr forecast'!Q44</f>
        <v>3877.4698707500002</v>
      </c>
      <c r="BG27" s="222">
        <f>'3yr forecast'!R44</f>
        <v>3877.4698707500002</v>
      </c>
      <c r="BH27" s="222">
        <f>'3yr forecast'!S44</f>
        <v>3877.4698707500002</v>
      </c>
      <c r="BI27" s="222">
        <f>'3yr forecast'!T44</f>
        <v>3877.4698707500002</v>
      </c>
      <c r="BJ27" s="222">
        <f>'3yr forecast'!U44</f>
        <v>3877.4698707500002</v>
      </c>
      <c r="BK27" s="222">
        <f>'3yr forecast'!V44</f>
        <v>3877.4698707500002</v>
      </c>
      <c r="BL27" s="222">
        <f>'3yr forecast'!W44</f>
        <v>3877.4698707500002</v>
      </c>
      <c r="BM27" s="222">
        <f>'3yr forecast'!X44</f>
        <v>3877.4698707500002</v>
      </c>
      <c r="BN27" s="222">
        <f>'3yr forecast'!Y44</f>
        <v>3877.4698707500002</v>
      </c>
      <c r="BO27" s="222">
        <f>'3yr forecast'!Z44</f>
        <v>3877.4698707500002</v>
      </c>
      <c r="BP27" s="222">
        <f>'3yr forecast'!AA44</f>
        <v>4017.9066007500005</v>
      </c>
      <c r="BQ27" s="222">
        <f>'3yr forecast'!AB44</f>
        <v>4017.9066007500005</v>
      </c>
      <c r="BR27" s="222">
        <f>'3yr forecast'!AC44</f>
        <v>4017.9066007500005</v>
      </c>
      <c r="BS27" s="222">
        <f>'3yr forecast'!AD44</f>
        <v>4017.9066007500005</v>
      </c>
      <c r="BT27" s="222">
        <f>'3yr forecast'!AE44</f>
        <v>4017.9066007500005</v>
      </c>
      <c r="BU27" s="222">
        <f>'3yr forecast'!AF44</f>
        <v>4017.9066007500005</v>
      </c>
      <c r="BV27" s="222">
        <f>'3yr forecast'!AG44</f>
        <v>4017.9066007500005</v>
      </c>
      <c r="BW27" s="222">
        <f>'3yr forecast'!AH44</f>
        <v>4017.9066007500005</v>
      </c>
      <c r="BX27" s="222">
        <f>'3yr forecast'!AI44</f>
        <v>4017.9066007500005</v>
      </c>
      <c r="BY27" s="222">
        <f>'3yr forecast'!AJ44</f>
        <v>4017.9066007500005</v>
      </c>
      <c r="BZ27" s="222">
        <f>'3yr forecast'!AK44</f>
        <v>4017.9066007500005</v>
      </c>
      <c r="CA27" s="222">
        <f>'3yr forecast'!AL44</f>
        <v>4017.9066007500005</v>
      </c>
      <c r="CB27" s="222">
        <f>'3yr forecast'!AM44</f>
        <v>4163.4948763641287</v>
      </c>
      <c r="CC27" s="222">
        <f>'3yr forecast'!AN44</f>
        <v>4163.4948763641287</v>
      </c>
      <c r="CD27" s="222">
        <f>'3yr forecast'!AO44</f>
        <v>4163.4948763641287</v>
      </c>
    </row>
    <row r="28" spans="1:82">
      <c r="A28" s="119">
        <f>ROW()</f>
        <v>28</v>
      </c>
      <c r="C28" s="229" t="s">
        <v>147</v>
      </c>
      <c r="D28" s="221"/>
      <c r="E28" s="221"/>
      <c r="F28" s="221"/>
      <c r="G28" s="221"/>
      <c r="H28" s="221"/>
      <c r="I28" s="221"/>
      <c r="J28" s="222">
        <f t="shared" si="24"/>
        <v>61658.417254402193</v>
      </c>
      <c r="K28" s="222">
        <f>actual3yr!E87</f>
        <v>0</v>
      </c>
      <c r="L28" s="222">
        <f>actual3yr!F87</f>
        <v>0</v>
      </c>
      <c r="M28" s="222">
        <f>actual3yr!G87</f>
        <v>0</v>
      </c>
      <c r="N28" s="222">
        <f>actual3yr!H87</f>
        <v>0</v>
      </c>
      <c r="O28" s="222">
        <f>actual3yr!I87</f>
        <v>0</v>
      </c>
      <c r="P28" s="222">
        <f>actual3yr!J87</f>
        <v>0</v>
      </c>
      <c r="Q28" s="222">
        <f>actual3yr!K87</f>
        <v>777.5</v>
      </c>
      <c r="R28" s="222">
        <f>actual3yr!L87</f>
        <v>0</v>
      </c>
      <c r="S28" s="222">
        <f>actual3yr!M87</f>
        <v>1166.26</v>
      </c>
      <c r="T28" s="222">
        <f>actual3yr!O87</f>
        <v>833.33</v>
      </c>
      <c r="U28" s="222">
        <f>actual3yr!P87</f>
        <v>-444.24</v>
      </c>
      <c r="V28" s="222">
        <f>actual3yr!Q87</f>
        <v>194.44</v>
      </c>
      <c r="W28" s="222">
        <f>actual3yr!R87</f>
        <v>194.44</v>
      </c>
      <c r="X28" s="222">
        <f>actual3yr!S87</f>
        <v>194.45</v>
      </c>
      <c r="Y28" s="222">
        <f>actual3yr!T87</f>
        <v>194.44</v>
      </c>
      <c r="Z28" s="222">
        <f>actual3yr!U87</f>
        <v>194.44</v>
      </c>
      <c r="AA28" s="222">
        <f>actual3yr!V87</f>
        <v>189.45</v>
      </c>
      <c r="AB28" s="222">
        <f>actual3yr!W87</f>
        <v>-2133.88</v>
      </c>
      <c r="AC28" s="222">
        <f>actual3yr!X87</f>
        <v>750</v>
      </c>
      <c r="AD28" s="222">
        <f>actual3yr!Y87</f>
        <v>0</v>
      </c>
      <c r="AE28" s="222">
        <f>actual3yr!Z87</f>
        <v>4500</v>
      </c>
      <c r="AF28" s="222">
        <f>actual3yr!AB87</f>
        <v>375</v>
      </c>
      <c r="AG28" s="222">
        <f>actual3yr!AC87</f>
        <v>375</v>
      </c>
      <c r="AH28" s="222">
        <f>actual3yr!AD87</f>
        <v>375</v>
      </c>
      <c r="AI28" s="222">
        <f>actual3yr!AE87</f>
        <v>375</v>
      </c>
      <c r="AJ28" s="222">
        <f>actual3yr!AF87</f>
        <v>375</v>
      </c>
      <c r="AK28" s="222">
        <f>actual3yr!AG87</f>
        <v>751.8</v>
      </c>
      <c r="AL28" s="222">
        <f>actual3yr!AH87</f>
        <v>-2000</v>
      </c>
      <c r="AM28" s="222">
        <f>actual3yr!AI87</f>
        <v>17750</v>
      </c>
      <c r="AN28" s="222">
        <f>actual3yr!AJ87</f>
        <v>252.05</v>
      </c>
      <c r="AO28" s="222">
        <f>actual3yr!AK87</f>
        <v>1746.58</v>
      </c>
      <c r="AP28" s="222">
        <f>actual3yr!AL87</f>
        <v>254.79</v>
      </c>
      <c r="AQ28" s="222">
        <f>actual3yr!AM87</f>
        <v>246.58</v>
      </c>
      <c r="AR28" s="796">
        <f>'3yr forecast'!C46</f>
        <v>852.5000015833333</v>
      </c>
      <c r="AS28" s="222">
        <f>'3yr forecast'!D46</f>
        <v>852.5000015833333</v>
      </c>
      <c r="AT28" s="222">
        <f>'3yr forecast'!E46</f>
        <v>852.5000015833333</v>
      </c>
      <c r="AU28" s="222">
        <f>'3yr forecast'!F46</f>
        <v>852.5000015833333</v>
      </c>
      <c r="AV28" s="222">
        <f>'3yr forecast'!G46</f>
        <v>852.5000015833333</v>
      </c>
      <c r="AW28" s="222">
        <f>'3yr forecast'!H46</f>
        <v>852.5000015833333</v>
      </c>
      <c r="AX28" s="222">
        <f>'3yr forecast'!I46</f>
        <v>852.5000015833333</v>
      </c>
      <c r="AY28" s="222">
        <f>'3yr forecast'!J46</f>
        <v>852.5000015833333</v>
      </c>
      <c r="AZ28" s="222">
        <f>'3yr forecast'!K46</f>
        <v>852.5000015833333</v>
      </c>
      <c r="BA28" s="222">
        <f>'3yr forecast'!L46</f>
        <v>852.5000015833333</v>
      </c>
      <c r="BB28" s="222">
        <f>'3yr forecast'!M46</f>
        <v>852.5000015833333</v>
      </c>
      <c r="BC28" s="222">
        <f>'3yr forecast'!N46</f>
        <v>852.5000015833333</v>
      </c>
      <c r="BD28" s="222">
        <f>'3yr forecast'!O46</f>
        <v>872.10754550000001</v>
      </c>
      <c r="BE28" s="222">
        <f>'3yr forecast'!P46</f>
        <v>872.10754550000001</v>
      </c>
      <c r="BF28" s="222">
        <f>'3yr forecast'!Q46</f>
        <v>872.10754550000001</v>
      </c>
      <c r="BG28" s="222">
        <f>'3yr forecast'!R46</f>
        <v>872.10754550000001</v>
      </c>
      <c r="BH28" s="222">
        <f>'3yr forecast'!S46</f>
        <v>872.10754550000001</v>
      </c>
      <c r="BI28" s="222">
        <f>'3yr forecast'!T46</f>
        <v>872.10754550000001</v>
      </c>
      <c r="BJ28" s="222">
        <f>'3yr forecast'!U46</f>
        <v>872.10754550000001</v>
      </c>
      <c r="BK28" s="222">
        <f>'3yr forecast'!V46</f>
        <v>872.10754550000001</v>
      </c>
      <c r="BL28" s="222">
        <f>'3yr forecast'!W46</f>
        <v>872.10754550000001</v>
      </c>
      <c r="BM28" s="222">
        <f>'3yr forecast'!X46</f>
        <v>872.10754550000001</v>
      </c>
      <c r="BN28" s="222">
        <f>'3yr forecast'!Y46</f>
        <v>872.10754550000001</v>
      </c>
      <c r="BO28" s="222">
        <f>'3yr forecast'!Z46</f>
        <v>872.10754550000001</v>
      </c>
      <c r="BP28" s="222">
        <f>'3yr forecast'!AA46</f>
        <v>893.91022916666668</v>
      </c>
      <c r="BQ28" s="222">
        <f>'3yr forecast'!AB46</f>
        <v>893.91022916666668</v>
      </c>
      <c r="BR28" s="222">
        <f>'3yr forecast'!AC46</f>
        <v>893.91022916666668</v>
      </c>
      <c r="BS28" s="222">
        <f>'3yr forecast'!AD46</f>
        <v>893.91022916666668</v>
      </c>
      <c r="BT28" s="222">
        <f>'3yr forecast'!AE46</f>
        <v>893.91022916666668</v>
      </c>
      <c r="BU28" s="222">
        <f>'3yr forecast'!AF46</f>
        <v>893.91022916666668</v>
      </c>
      <c r="BV28" s="222">
        <f>'3yr forecast'!AG46</f>
        <v>893.91022916666668</v>
      </c>
      <c r="BW28" s="222">
        <f>'3yr forecast'!AH46</f>
        <v>893.91022916666668</v>
      </c>
      <c r="BX28" s="222">
        <f>'3yr forecast'!AI46</f>
        <v>893.91022916666668</v>
      </c>
      <c r="BY28" s="222">
        <f>'3yr forecast'!AJ46</f>
        <v>893.91022916666668</v>
      </c>
      <c r="BZ28" s="222">
        <f>'3yr forecast'!AK46</f>
        <v>893.91022916666668</v>
      </c>
      <c r="CA28" s="222">
        <f>'3yr forecast'!AL46</f>
        <v>893.91022916666668</v>
      </c>
      <c r="CB28" s="222">
        <f>'3yr forecast'!AM46</f>
        <v>916.25797980072912</v>
      </c>
      <c r="CC28" s="222">
        <f>'3yr forecast'!AN46</f>
        <v>916.25797980072912</v>
      </c>
      <c r="CD28" s="222">
        <f>'3yr forecast'!AO46</f>
        <v>916.25797980072912</v>
      </c>
    </row>
    <row r="29" spans="1:82">
      <c r="A29" s="119">
        <f>ROW()</f>
        <v>29</v>
      </c>
      <c r="C29" s="229" t="s">
        <v>148</v>
      </c>
      <c r="D29" s="221"/>
      <c r="E29" s="221"/>
      <c r="F29" s="221"/>
      <c r="G29" s="221"/>
      <c r="H29" s="221"/>
      <c r="I29" s="221"/>
      <c r="J29" s="222">
        <f t="shared" si="24"/>
        <v>3067.2941402537481</v>
      </c>
      <c r="K29" s="222">
        <f>actual3yr!E88</f>
        <v>0</v>
      </c>
      <c r="L29" s="222">
        <f>actual3yr!F88</f>
        <v>0</v>
      </c>
      <c r="M29" s="222">
        <f>actual3yr!G88</f>
        <v>0</v>
      </c>
      <c r="N29" s="222">
        <f>actual3yr!H88</f>
        <v>0</v>
      </c>
      <c r="O29" s="222">
        <f>actual3yr!I88</f>
        <v>0</v>
      </c>
      <c r="P29" s="222">
        <f>actual3yr!J88</f>
        <v>0</v>
      </c>
      <c r="Q29" s="222">
        <f>actual3yr!K88</f>
        <v>0</v>
      </c>
      <c r="R29" s="222">
        <f>actual3yr!L88</f>
        <v>0</v>
      </c>
      <c r="S29" s="222">
        <f>actual3yr!M88</f>
        <v>0</v>
      </c>
      <c r="T29" s="222">
        <f>actual3yr!O88</f>
        <v>0</v>
      </c>
      <c r="U29" s="222">
        <f>actual3yr!P88</f>
        <v>0</v>
      </c>
      <c r="V29" s="222">
        <f>actual3yr!Q88</f>
        <v>0</v>
      </c>
      <c r="W29" s="222">
        <f>actual3yr!R88</f>
        <v>0</v>
      </c>
      <c r="X29" s="222">
        <f>actual3yr!S88</f>
        <v>0</v>
      </c>
      <c r="Y29" s="222">
        <f>actual3yr!T88</f>
        <v>0</v>
      </c>
      <c r="Z29" s="222">
        <f>actual3yr!U88</f>
        <v>0</v>
      </c>
      <c r="AA29" s="222">
        <f>actual3yr!V88</f>
        <v>0</v>
      </c>
      <c r="AB29" s="222">
        <f>actual3yr!W88</f>
        <v>0</v>
      </c>
      <c r="AC29" s="222">
        <f>actual3yr!X88</f>
        <v>0</v>
      </c>
      <c r="AD29" s="222">
        <f>actual3yr!Y88</f>
        <v>0</v>
      </c>
      <c r="AE29" s="222">
        <f>actual3yr!Z88</f>
        <v>0</v>
      </c>
      <c r="AF29" s="222">
        <f>actual3yr!AB88</f>
        <v>0</v>
      </c>
      <c r="AG29" s="222">
        <f>actual3yr!AC88</f>
        <v>0</v>
      </c>
      <c r="AH29" s="222">
        <f>actual3yr!AD88</f>
        <v>0</v>
      </c>
      <c r="AI29" s="222">
        <f>actual3yr!AE88</f>
        <v>0</v>
      </c>
      <c r="AJ29" s="222">
        <f>actual3yr!AF88</f>
        <v>0</v>
      </c>
      <c r="AK29" s="222">
        <f>actual3yr!AG88</f>
        <v>0</v>
      </c>
      <c r="AL29" s="222">
        <f>actual3yr!AH88</f>
        <v>0</v>
      </c>
      <c r="AM29" s="222">
        <f>actual3yr!AI88</f>
        <v>0</v>
      </c>
      <c r="AN29" s="222">
        <f>actual3yr!AJ88</f>
        <v>0</v>
      </c>
      <c r="AO29" s="222">
        <f>actual3yr!AK88</f>
        <v>0</v>
      </c>
      <c r="AP29" s="222">
        <f>actual3yr!AL88</f>
        <v>0</v>
      </c>
      <c r="AQ29" s="222">
        <f>actual3yr!AM88</f>
        <v>0</v>
      </c>
      <c r="AR29" s="924"/>
      <c r="AS29" s="924"/>
      <c r="AT29" s="924"/>
      <c r="AU29" s="222">
        <f>'3yr forecast'!F47</f>
        <v>80.08</v>
      </c>
      <c r="AV29" s="222">
        <f>'3yr forecast'!G47</f>
        <v>80.08</v>
      </c>
      <c r="AW29" s="222">
        <f>'3yr forecast'!H47</f>
        <v>80.08</v>
      </c>
      <c r="AX29" s="222">
        <f>'3yr forecast'!I47</f>
        <v>80.08</v>
      </c>
      <c r="AY29" s="222">
        <f>'3yr forecast'!J47</f>
        <v>80.08</v>
      </c>
      <c r="AZ29" s="222">
        <f>'3yr forecast'!K47</f>
        <v>80.08</v>
      </c>
      <c r="BA29" s="222">
        <f>'3yr forecast'!L47</f>
        <v>80.08</v>
      </c>
      <c r="BB29" s="222">
        <f>'3yr forecast'!M47</f>
        <v>80.08</v>
      </c>
      <c r="BC29" s="222">
        <f>'3yr forecast'!N47</f>
        <v>80.08</v>
      </c>
      <c r="BD29" s="222">
        <f>'3yr forecast'!O47</f>
        <v>84.083996166666665</v>
      </c>
      <c r="BE29" s="222">
        <f>'3yr forecast'!P47</f>
        <v>84.083996166666665</v>
      </c>
      <c r="BF29" s="222">
        <f>'3yr forecast'!Q47</f>
        <v>84.083996166666665</v>
      </c>
      <c r="BG29" s="222">
        <f>'3yr forecast'!R47</f>
        <v>84.083996166666665</v>
      </c>
      <c r="BH29" s="222">
        <f>'3yr forecast'!S47</f>
        <v>84.083996166666665</v>
      </c>
      <c r="BI29" s="222">
        <f>'3yr forecast'!T47</f>
        <v>84.083996166666665</v>
      </c>
      <c r="BJ29" s="222">
        <f>'3yr forecast'!U47</f>
        <v>84.083996166666665</v>
      </c>
      <c r="BK29" s="222">
        <f>'3yr forecast'!V47</f>
        <v>84.083996166666665</v>
      </c>
      <c r="BL29" s="222">
        <f>'3yr forecast'!W47</f>
        <v>84.083996166666665</v>
      </c>
      <c r="BM29" s="222">
        <f>'3yr forecast'!X47</f>
        <v>84.083996166666665</v>
      </c>
      <c r="BN29" s="222">
        <f>'3yr forecast'!Y47</f>
        <v>84.083996166666665</v>
      </c>
      <c r="BO29" s="222">
        <f>'3yr forecast'!Z47</f>
        <v>84.083996166666665</v>
      </c>
      <c r="BP29" s="222">
        <f>'3yr forecast'!AA47</f>
        <v>88.288196916666664</v>
      </c>
      <c r="BQ29" s="222">
        <f>'3yr forecast'!AB47</f>
        <v>88.288196916666664</v>
      </c>
      <c r="BR29" s="222">
        <f>'3yr forecast'!AC47</f>
        <v>88.288196916666664</v>
      </c>
      <c r="BS29" s="222">
        <f>'3yr forecast'!AD47</f>
        <v>88.288196916666664</v>
      </c>
      <c r="BT29" s="222">
        <f>'3yr forecast'!AE47</f>
        <v>88.288196916666664</v>
      </c>
      <c r="BU29" s="222">
        <f>'3yr forecast'!AF47</f>
        <v>88.288196916666664</v>
      </c>
      <c r="BV29" s="222">
        <f>'3yr forecast'!AG47</f>
        <v>88.288196916666664</v>
      </c>
      <c r="BW29" s="222">
        <f>'3yr forecast'!AH47</f>
        <v>88.288196916666664</v>
      </c>
      <c r="BX29" s="222">
        <f>'3yr forecast'!AI47</f>
        <v>88.288196916666664</v>
      </c>
      <c r="BY29" s="222">
        <f>'3yr forecast'!AJ47</f>
        <v>88.288196916666664</v>
      </c>
      <c r="BZ29" s="222">
        <f>'3yr forecast'!AK47</f>
        <v>88.288196916666664</v>
      </c>
      <c r="CA29" s="222">
        <f>'3yr forecast'!AL47</f>
        <v>88.288196916666664</v>
      </c>
      <c r="CB29" s="222">
        <f>'3yr forecast'!AM47</f>
        <v>92.70260775125</v>
      </c>
      <c r="CC29" s="222">
        <f>'3yr forecast'!AN47</f>
        <v>92.70260775125</v>
      </c>
      <c r="CD29" s="222">
        <f>'3yr forecast'!AO47</f>
        <v>92.70260775125</v>
      </c>
    </row>
    <row r="30" spans="1:82">
      <c r="A30" s="119">
        <f>ROW()</f>
        <v>30</v>
      </c>
      <c r="C30" s="229" t="s">
        <v>149</v>
      </c>
      <c r="D30" s="221"/>
      <c r="E30" s="221"/>
      <c r="F30" s="221"/>
      <c r="G30" s="221"/>
      <c r="H30" s="221"/>
      <c r="I30" s="221"/>
      <c r="J30" s="222">
        <f t="shared" si="24"/>
        <v>28379.692812500009</v>
      </c>
      <c r="K30" s="222">
        <f>actual3yr!E89</f>
        <v>0</v>
      </c>
      <c r="L30" s="222">
        <f>actual3yr!F89</f>
        <v>0</v>
      </c>
      <c r="M30" s="222">
        <f>actual3yr!G89</f>
        <v>0</v>
      </c>
      <c r="N30" s="222">
        <f>actual3yr!H89</f>
        <v>0</v>
      </c>
      <c r="O30" s="222">
        <f>actual3yr!I89</f>
        <v>0</v>
      </c>
      <c r="P30" s="222">
        <f>actual3yr!J89</f>
        <v>0</v>
      </c>
      <c r="Q30" s="222">
        <f>actual3yr!K89</f>
        <v>0</v>
      </c>
      <c r="R30" s="222">
        <f>actual3yr!L89</f>
        <v>0</v>
      </c>
      <c r="S30" s="222">
        <f>actual3yr!M89</f>
        <v>0</v>
      </c>
      <c r="T30" s="222">
        <f>actual3yr!O89</f>
        <v>0</v>
      </c>
      <c r="U30" s="222">
        <f>actual3yr!P89</f>
        <v>0</v>
      </c>
      <c r="V30" s="222">
        <f>actual3yr!Q89</f>
        <v>0</v>
      </c>
      <c r="W30" s="222">
        <f>actual3yr!R89</f>
        <v>0</v>
      </c>
      <c r="X30" s="222">
        <f>actual3yr!S89</f>
        <v>0</v>
      </c>
      <c r="Y30" s="222">
        <f>actual3yr!T89</f>
        <v>0</v>
      </c>
      <c r="Z30" s="222">
        <f>actual3yr!U89</f>
        <v>0</v>
      </c>
      <c r="AA30" s="222">
        <f>actual3yr!V89</f>
        <v>0</v>
      </c>
      <c r="AB30" s="222">
        <f>actual3yr!W89</f>
        <v>0</v>
      </c>
      <c r="AC30" s="222">
        <f>actual3yr!X89</f>
        <v>0</v>
      </c>
      <c r="AD30" s="222">
        <f>actual3yr!Y89</f>
        <v>0</v>
      </c>
      <c r="AE30" s="222">
        <f>actual3yr!Z89</f>
        <v>0</v>
      </c>
      <c r="AF30" s="222">
        <f>actual3yr!AB89</f>
        <v>0</v>
      </c>
      <c r="AG30" s="222">
        <f>actual3yr!AC89</f>
        <v>0</v>
      </c>
      <c r="AH30" s="222">
        <f>actual3yr!AD89</f>
        <v>0</v>
      </c>
      <c r="AI30" s="222">
        <f>actual3yr!AE89</f>
        <v>0</v>
      </c>
      <c r="AJ30" s="222">
        <f>actual3yr!AF89</f>
        <v>0</v>
      </c>
      <c r="AK30" s="222">
        <f>actual3yr!AG89</f>
        <v>0</v>
      </c>
      <c r="AL30" s="222">
        <f>actual3yr!AH89</f>
        <v>0</v>
      </c>
      <c r="AM30" s="222">
        <f>actual3yr!AI89</f>
        <v>0</v>
      </c>
      <c r="AN30" s="222">
        <f>actual3yr!AJ89</f>
        <v>0</v>
      </c>
      <c r="AO30" s="222">
        <f>actual3yr!AK89</f>
        <v>0</v>
      </c>
      <c r="AP30" s="222">
        <f>actual3yr!AL89</f>
        <v>0</v>
      </c>
      <c r="AQ30" s="222">
        <f>actual3yr!AM89</f>
        <v>0</v>
      </c>
      <c r="AR30" s="924"/>
      <c r="AS30" s="924"/>
      <c r="AT30" s="924"/>
      <c r="AU30" s="222">
        <f>'3yr forecast'!F48</f>
        <v>506.65943791666672</v>
      </c>
      <c r="AV30" s="222">
        <f>'3yr forecast'!G48</f>
        <v>506.65943791666672</v>
      </c>
      <c r="AW30" s="222">
        <f>'3yr forecast'!H48</f>
        <v>506.65943791666672</v>
      </c>
      <c r="AX30" s="222">
        <f>'3yr forecast'!I48</f>
        <v>506.65943791666672</v>
      </c>
      <c r="AY30" s="222">
        <f>'3yr forecast'!J48</f>
        <v>506.65943791666672</v>
      </c>
      <c r="AZ30" s="222">
        <f>'3yr forecast'!K48</f>
        <v>506.65943791666672</v>
      </c>
      <c r="BA30" s="222">
        <f>'3yr forecast'!L48</f>
        <v>506.65943791666672</v>
      </c>
      <c r="BB30" s="222">
        <f>'3yr forecast'!M48</f>
        <v>506.65943791666672</v>
      </c>
      <c r="BC30" s="222">
        <f>'3yr forecast'!N48</f>
        <v>506.65943791666672</v>
      </c>
      <c r="BD30" s="222">
        <f>'3yr forecast'!O48</f>
        <v>0</v>
      </c>
      <c r="BE30" s="222">
        <f>'3yr forecast'!P48</f>
        <v>0</v>
      </c>
      <c r="BF30" s="222">
        <f>'3yr forecast'!Q48</f>
        <v>0</v>
      </c>
      <c r="BG30" s="222">
        <f>'3yr forecast'!R48</f>
        <v>0</v>
      </c>
      <c r="BH30" s="222">
        <f>'3yr forecast'!S48</f>
        <v>0</v>
      </c>
      <c r="BI30" s="222">
        <f>'3yr forecast'!T48</f>
        <v>0</v>
      </c>
      <c r="BJ30" s="222">
        <f>'3yr forecast'!U48</f>
        <v>0</v>
      </c>
      <c r="BK30" s="222">
        <f>'3yr forecast'!V48</f>
        <v>0</v>
      </c>
      <c r="BL30" s="222">
        <f>'3yr forecast'!W48</f>
        <v>0</v>
      </c>
      <c r="BM30" s="222">
        <f>'3yr forecast'!X48</f>
        <v>0</v>
      </c>
      <c r="BN30" s="222">
        <f>'3yr forecast'!Y48</f>
        <v>0</v>
      </c>
      <c r="BO30" s="222">
        <f>'3yr forecast'!Z48</f>
        <v>0</v>
      </c>
      <c r="BP30" s="222">
        <f>'3yr forecast'!AA48</f>
        <v>1587.9838580833332</v>
      </c>
      <c r="BQ30" s="222">
        <f>'3yr forecast'!AB48</f>
        <v>1587.9838580833332</v>
      </c>
      <c r="BR30" s="222">
        <f>'3yr forecast'!AC48</f>
        <v>1587.9838580833332</v>
      </c>
      <c r="BS30" s="222">
        <f>'3yr forecast'!AD48</f>
        <v>1587.9838580833332</v>
      </c>
      <c r="BT30" s="222">
        <f>'3yr forecast'!AE48</f>
        <v>1587.9838580833332</v>
      </c>
      <c r="BU30" s="222">
        <f>'3yr forecast'!AF48</f>
        <v>1587.9838580833332</v>
      </c>
      <c r="BV30" s="222">
        <f>'3yr forecast'!AG48</f>
        <v>1587.9838580833332</v>
      </c>
      <c r="BW30" s="222">
        <f>'3yr forecast'!AH48</f>
        <v>1587.9838580833332</v>
      </c>
      <c r="BX30" s="222">
        <f>'3yr forecast'!AI48</f>
        <v>1587.9838580833332</v>
      </c>
      <c r="BY30" s="222">
        <f>'3yr forecast'!AJ48</f>
        <v>1587.9838580833332</v>
      </c>
      <c r="BZ30" s="222">
        <f>'3yr forecast'!AK48</f>
        <v>1587.9838580833332</v>
      </c>
      <c r="CA30" s="222">
        <f>'3yr forecast'!AL48</f>
        <v>1587.9838580833332</v>
      </c>
      <c r="CB30" s="222">
        <f>'3yr forecast'!AM48</f>
        <v>1587.9838580833332</v>
      </c>
      <c r="CC30" s="222">
        <f>'3yr forecast'!AN48</f>
        <v>1587.9838580833332</v>
      </c>
      <c r="CD30" s="222">
        <f>'3yr forecast'!AO48</f>
        <v>1587.9838580833332</v>
      </c>
    </row>
    <row r="31" spans="1:82">
      <c r="A31" s="119">
        <f>ROW()</f>
        <v>31</v>
      </c>
      <c r="C31" s="315" t="s">
        <v>1</v>
      </c>
      <c r="D31" s="316"/>
      <c r="E31" s="316"/>
      <c r="F31" s="316"/>
      <c r="G31" s="316"/>
      <c r="H31" s="316"/>
      <c r="I31" s="316"/>
      <c r="J31" s="317">
        <f t="shared" si="24"/>
        <v>5265129.0299552511</v>
      </c>
      <c r="K31" s="317">
        <f t="shared" ref="K31:S31" si="57">SUM(K20,K25:K30)</f>
        <v>67894.133333333331</v>
      </c>
      <c r="L31" s="317">
        <f t="shared" si="57"/>
        <v>82745.94</v>
      </c>
      <c r="M31" s="317">
        <f t="shared" si="57"/>
        <v>78018.569999999992</v>
      </c>
      <c r="N31" s="317">
        <f t="shared" si="57"/>
        <v>57128.850000000006</v>
      </c>
      <c r="O31" s="317">
        <f t="shared" si="57"/>
        <v>88545.44</v>
      </c>
      <c r="P31" s="317">
        <f t="shared" si="57"/>
        <v>55858.349999999991</v>
      </c>
      <c r="Q31" s="317">
        <f t="shared" si="57"/>
        <v>68887.42</v>
      </c>
      <c r="R31" s="317">
        <f t="shared" si="57"/>
        <v>69493.06</v>
      </c>
      <c r="S31" s="317">
        <f t="shared" si="57"/>
        <v>69751.98</v>
      </c>
      <c r="T31" s="317">
        <f>SUM(T20,T25:T30)</f>
        <v>69418.64</v>
      </c>
      <c r="U31" s="317">
        <f t="shared" ref="U31:AE31" si="58">SUM(U20,U25:U30)</f>
        <v>67992.549999999988</v>
      </c>
      <c r="V31" s="317">
        <f t="shared" si="58"/>
        <v>68440.33</v>
      </c>
      <c r="W31" s="317">
        <f t="shared" si="58"/>
        <v>67112.179999999993</v>
      </c>
      <c r="X31" s="317">
        <f t="shared" si="58"/>
        <v>68225.299999999988</v>
      </c>
      <c r="Y31" s="317">
        <f t="shared" si="58"/>
        <v>68468.3</v>
      </c>
      <c r="Z31" s="317">
        <f t="shared" si="58"/>
        <v>68533.37</v>
      </c>
      <c r="AA31" s="317">
        <f t="shared" si="58"/>
        <v>62694.789999999994</v>
      </c>
      <c r="AB31" s="317">
        <f t="shared" si="58"/>
        <v>65719.11</v>
      </c>
      <c r="AC31" s="317">
        <f t="shared" si="58"/>
        <v>70356.53</v>
      </c>
      <c r="AD31" s="317">
        <f t="shared" si="58"/>
        <v>68948.320000000007</v>
      </c>
      <c r="AE31" s="317">
        <f t="shared" si="58"/>
        <v>72165.56</v>
      </c>
      <c r="AF31" s="317">
        <f>SUM(AF20,AF25:AF30)</f>
        <v>70220.33</v>
      </c>
      <c r="AG31" s="317">
        <f t="shared" ref="AG31:AQ31" si="59">SUM(AG20,AG25:AG30)</f>
        <v>69333.58</v>
      </c>
      <c r="AH31" s="317">
        <f t="shared" si="59"/>
        <v>66874.320000000007</v>
      </c>
      <c r="AI31" s="317">
        <f t="shared" si="59"/>
        <v>70474.64</v>
      </c>
      <c r="AJ31" s="317">
        <f t="shared" si="59"/>
        <v>72455.13</v>
      </c>
      <c r="AK31" s="317">
        <f t="shared" si="59"/>
        <v>64437.85</v>
      </c>
      <c r="AL31" s="317">
        <f t="shared" si="59"/>
        <v>67642.44</v>
      </c>
      <c r="AM31" s="317">
        <f t="shared" si="59"/>
        <v>86043.3</v>
      </c>
      <c r="AN31" s="317">
        <f t="shared" si="59"/>
        <v>69676.7</v>
      </c>
      <c r="AO31" s="317">
        <f t="shared" si="59"/>
        <v>71098.080000000002</v>
      </c>
      <c r="AP31" s="317">
        <f t="shared" si="59"/>
        <v>68689.829999999987</v>
      </c>
      <c r="AQ31" s="317">
        <f t="shared" si="59"/>
        <v>71859.8</v>
      </c>
      <c r="AR31" s="797">
        <f>SUM(AR20,AR25:AR30)</f>
        <v>72044.564714416658</v>
      </c>
      <c r="AS31" s="317">
        <f t="shared" ref="AS31:CD31" si="60">SUM(AS20,AS25:AS30)</f>
        <v>72044.564714416658</v>
      </c>
      <c r="AT31" s="317">
        <f t="shared" si="60"/>
        <v>72044.564714416658</v>
      </c>
      <c r="AU31" s="317">
        <f t="shared" si="60"/>
        <v>72631.304152333323</v>
      </c>
      <c r="AV31" s="317">
        <f t="shared" si="60"/>
        <v>72631.304152333323</v>
      </c>
      <c r="AW31" s="317">
        <f t="shared" si="60"/>
        <v>72631.304152333323</v>
      </c>
      <c r="AX31" s="317">
        <f t="shared" si="60"/>
        <v>72631.304152333323</v>
      </c>
      <c r="AY31" s="317">
        <f t="shared" si="60"/>
        <v>72631.304152333323</v>
      </c>
      <c r="AZ31" s="317">
        <f t="shared" si="60"/>
        <v>72631.304152333323</v>
      </c>
      <c r="BA31" s="317">
        <f t="shared" si="60"/>
        <v>72631.304152333323</v>
      </c>
      <c r="BB31" s="317">
        <f t="shared" si="60"/>
        <v>72631.304152333323</v>
      </c>
      <c r="BC31" s="317">
        <f t="shared" si="60"/>
        <v>72631.304152333323</v>
      </c>
      <c r="BD31" s="317">
        <f t="shared" si="60"/>
        <v>74719.001724500005</v>
      </c>
      <c r="BE31" s="317">
        <f t="shared" si="60"/>
        <v>74719.001724500005</v>
      </c>
      <c r="BF31" s="317">
        <f t="shared" si="60"/>
        <v>74719.001724500005</v>
      </c>
      <c r="BG31" s="317">
        <f t="shared" si="60"/>
        <v>74719.001724500005</v>
      </c>
      <c r="BH31" s="317">
        <f t="shared" si="60"/>
        <v>74719.001724500005</v>
      </c>
      <c r="BI31" s="317">
        <f t="shared" si="60"/>
        <v>74719.001724500005</v>
      </c>
      <c r="BJ31" s="317">
        <f t="shared" si="60"/>
        <v>74719.001724500005</v>
      </c>
      <c r="BK31" s="317">
        <f t="shared" si="60"/>
        <v>74719.001724500005</v>
      </c>
      <c r="BL31" s="317">
        <f t="shared" si="60"/>
        <v>74719.001724500005</v>
      </c>
      <c r="BM31" s="317">
        <f t="shared" si="60"/>
        <v>74719.001724500005</v>
      </c>
      <c r="BN31" s="317">
        <f t="shared" si="60"/>
        <v>74719.001724500005</v>
      </c>
      <c r="BO31" s="317">
        <f t="shared" si="60"/>
        <v>74719.001724500005</v>
      </c>
      <c r="BP31" s="317">
        <f t="shared" si="60"/>
        <v>79008.350745916658</v>
      </c>
      <c r="BQ31" s="317">
        <f t="shared" si="60"/>
        <v>79008.350745916658</v>
      </c>
      <c r="BR31" s="317">
        <f t="shared" si="60"/>
        <v>79008.350745916658</v>
      </c>
      <c r="BS31" s="317">
        <f t="shared" si="60"/>
        <v>79008.350745916658</v>
      </c>
      <c r="BT31" s="317">
        <f t="shared" si="60"/>
        <v>79008.350745916658</v>
      </c>
      <c r="BU31" s="317">
        <f t="shared" si="60"/>
        <v>79008.350745916658</v>
      </c>
      <c r="BV31" s="317">
        <f t="shared" si="60"/>
        <v>79008.350745916658</v>
      </c>
      <c r="BW31" s="317">
        <f t="shared" si="60"/>
        <v>79008.350745916658</v>
      </c>
      <c r="BX31" s="317">
        <f t="shared" si="60"/>
        <v>79008.350745916658</v>
      </c>
      <c r="BY31" s="317">
        <f t="shared" si="60"/>
        <v>79008.350745916658</v>
      </c>
      <c r="BZ31" s="317">
        <f t="shared" si="60"/>
        <v>79008.350745916658</v>
      </c>
      <c r="CA31" s="317">
        <f t="shared" si="60"/>
        <v>79008.350745916658</v>
      </c>
      <c r="CB31" s="317">
        <f t="shared" si="60"/>
        <v>81793.548487556342</v>
      </c>
      <c r="CC31" s="317">
        <f t="shared" si="60"/>
        <v>81793.548487556342</v>
      </c>
      <c r="CD31" s="317">
        <f t="shared" si="60"/>
        <v>81793.548487556342</v>
      </c>
    </row>
    <row r="32" spans="1:82">
      <c r="A32" s="119">
        <f>ROW()</f>
        <v>32</v>
      </c>
      <c r="C32" s="313" t="s">
        <v>2</v>
      </c>
      <c r="D32" s="313"/>
      <c r="E32" s="313"/>
      <c r="F32" s="313"/>
      <c r="G32" s="313"/>
      <c r="H32" s="313"/>
      <c r="I32" s="313"/>
      <c r="J32" s="314">
        <f t="shared" ref="J32" si="61">SUM(K32:CD32)</f>
        <v>28695647.836695231</v>
      </c>
      <c r="K32" s="314">
        <f t="shared" ref="K32:S32" si="62">K18-K31</f>
        <v>365623.66875000007</v>
      </c>
      <c r="L32" s="314">
        <f t="shared" si="62"/>
        <v>356094.87</v>
      </c>
      <c r="M32" s="314">
        <f t="shared" si="62"/>
        <v>371684.04</v>
      </c>
      <c r="N32" s="314">
        <f t="shared" si="62"/>
        <v>384943.38</v>
      </c>
      <c r="O32" s="314">
        <f t="shared" si="62"/>
        <v>336482.46</v>
      </c>
      <c r="P32" s="314">
        <f t="shared" si="62"/>
        <v>378213.87</v>
      </c>
      <c r="Q32" s="314">
        <f t="shared" si="62"/>
        <v>365184.72000000003</v>
      </c>
      <c r="R32" s="314">
        <f t="shared" si="62"/>
        <v>364579.19</v>
      </c>
      <c r="S32" s="314">
        <f t="shared" si="62"/>
        <v>368266.85000000003</v>
      </c>
      <c r="T32" s="314">
        <f>T18-T31</f>
        <v>366323.61</v>
      </c>
      <c r="U32" s="314">
        <f t="shared" ref="U32:AE32" si="63">U18-U31</f>
        <v>367749.72000000003</v>
      </c>
      <c r="V32" s="314">
        <f t="shared" si="63"/>
        <v>367052.93</v>
      </c>
      <c r="W32" s="314">
        <f t="shared" si="63"/>
        <v>382760.72000000003</v>
      </c>
      <c r="X32" s="314">
        <f t="shared" si="63"/>
        <v>381881.95</v>
      </c>
      <c r="Y32" s="314">
        <f t="shared" si="63"/>
        <v>381929.97</v>
      </c>
      <c r="Z32" s="314">
        <f t="shared" si="63"/>
        <v>381902.29000000004</v>
      </c>
      <c r="AA32" s="314">
        <f t="shared" si="63"/>
        <v>386817.80000000005</v>
      </c>
      <c r="AB32" s="314">
        <f t="shared" si="63"/>
        <v>384716.55000000005</v>
      </c>
      <c r="AC32" s="314">
        <f t="shared" si="63"/>
        <v>380079.13</v>
      </c>
      <c r="AD32" s="314">
        <f t="shared" si="63"/>
        <v>377149.34</v>
      </c>
      <c r="AE32" s="314">
        <f t="shared" si="63"/>
        <v>384488.10000000003</v>
      </c>
      <c r="AF32" s="314">
        <f>AF18-AF31</f>
        <v>381251.88</v>
      </c>
      <c r="AG32" s="314">
        <f t="shared" ref="AG32:AQ32" si="64">AG18-AG31</f>
        <v>382593.17000000004</v>
      </c>
      <c r="AH32" s="314">
        <f t="shared" si="64"/>
        <v>384643.35000000003</v>
      </c>
      <c r="AI32" s="314">
        <f t="shared" si="64"/>
        <v>396336.11000000004</v>
      </c>
      <c r="AJ32" s="314">
        <f t="shared" si="64"/>
        <v>393970.17000000004</v>
      </c>
      <c r="AK32" s="314">
        <f t="shared" si="64"/>
        <v>394089.86000000004</v>
      </c>
      <c r="AL32" s="314">
        <f t="shared" si="64"/>
        <v>403628.62000000005</v>
      </c>
      <c r="AM32" s="314">
        <f t="shared" si="64"/>
        <v>372671.76000000007</v>
      </c>
      <c r="AN32" s="314">
        <f t="shared" si="64"/>
        <v>395733.36000000004</v>
      </c>
      <c r="AO32" s="314">
        <f t="shared" si="64"/>
        <v>394532.24000000005</v>
      </c>
      <c r="AP32" s="314">
        <f t="shared" si="64"/>
        <v>396712.09000000008</v>
      </c>
      <c r="AQ32" s="314">
        <f t="shared" si="64"/>
        <v>395473.1100000001</v>
      </c>
      <c r="AR32" s="800">
        <f t="shared" ref="AR32:CD32" si="65">AR18-AR31</f>
        <v>393816.46337958332</v>
      </c>
      <c r="AS32" s="314">
        <f t="shared" si="65"/>
        <v>393816.46337958332</v>
      </c>
      <c r="AT32" s="314">
        <f t="shared" si="65"/>
        <v>393816.46337958332</v>
      </c>
      <c r="AU32" s="314">
        <f t="shared" si="65"/>
        <v>408082.21701355209</v>
      </c>
      <c r="AV32" s="314">
        <f t="shared" si="65"/>
        <v>408333.26118055207</v>
      </c>
      <c r="AW32" s="314">
        <f t="shared" si="65"/>
        <v>403791.25451355206</v>
      </c>
      <c r="AX32" s="314">
        <f t="shared" si="65"/>
        <v>403791.25451355206</v>
      </c>
      <c r="AY32" s="314">
        <f t="shared" si="65"/>
        <v>403791.25451355206</v>
      </c>
      <c r="AZ32" s="314">
        <f t="shared" si="65"/>
        <v>403791.25451355206</v>
      </c>
      <c r="BA32" s="314">
        <f t="shared" si="65"/>
        <v>403791.25451355206</v>
      </c>
      <c r="BB32" s="314">
        <f t="shared" si="65"/>
        <v>403791.25451355206</v>
      </c>
      <c r="BC32" s="314">
        <f t="shared" si="65"/>
        <v>408259.84889255208</v>
      </c>
      <c r="BD32" s="314">
        <f t="shared" si="65"/>
        <v>405953.95246730209</v>
      </c>
      <c r="BE32" s="314">
        <f t="shared" si="65"/>
        <v>405953.95246730209</v>
      </c>
      <c r="BF32" s="314">
        <f t="shared" si="65"/>
        <v>405953.95246730209</v>
      </c>
      <c r="BG32" s="314">
        <f t="shared" si="65"/>
        <v>421711.03141954553</v>
      </c>
      <c r="BH32" s="314">
        <f t="shared" si="65"/>
        <v>421711.03141954553</v>
      </c>
      <c r="BI32" s="314">
        <f t="shared" si="65"/>
        <v>421711.03141954553</v>
      </c>
      <c r="BJ32" s="314">
        <f t="shared" si="65"/>
        <v>421711.03141954553</v>
      </c>
      <c r="BK32" s="314">
        <f t="shared" si="65"/>
        <v>421711.03141954553</v>
      </c>
      <c r="BL32" s="314">
        <f t="shared" si="65"/>
        <v>421711.03141954553</v>
      </c>
      <c r="BM32" s="314">
        <f t="shared" si="65"/>
        <v>421711.03141954553</v>
      </c>
      <c r="BN32" s="314">
        <f t="shared" si="65"/>
        <v>421711.03141954553</v>
      </c>
      <c r="BO32" s="314">
        <f t="shared" si="65"/>
        <v>421711.03141954553</v>
      </c>
      <c r="BP32" s="314">
        <f t="shared" si="65"/>
        <v>409303.24677279551</v>
      </c>
      <c r="BQ32" s="314">
        <f t="shared" si="65"/>
        <v>409303.24677279551</v>
      </c>
      <c r="BR32" s="314">
        <f t="shared" si="65"/>
        <v>409303.24677279551</v>
      </c>
      <c r="BS32" s="314">
        <f t="shared" si="65"/>
        <v>425611.19184089743</v>
      </c>
      <c r="BT32" s="314">
        <f t="shared" si="65"/>
        <v>425611.19184089743</v>
      </c>
      <c r="BU32" s="314">
        <f t="shared" si="65"/>
        <v>425611.19184089743</v>
      </c>
      <c r="BV32" s="314">
        <f t="shared" si="65"/>
        <v>425611.19184089743</v>
      </c>
      <c r="BW32" s="314">
        <f t="shared" si="65"/>
        <v>425611.19184089743</v>
      </c>
      <c r="BX32" s="314">
        <f t="shared" si="65"/>
        <v>425611.19184089743</v>
      </c>
      <c r="BY32" s="314">
        <f t="shared" si="65"/>
        <v>425611.19184089743</v>
      </c>
      <c r="BZ32" s="314">
        <f t="shared" si="65"/>
        <v>425611.19184089743</v>
      </c>
      <c r="CA32" s="314">
        <f t="shared" si="65"/>
        <v>425611.19184089743</v>
      </c>
      <c r="CB32" s="314">
        <f t="shared" si="65"/>
        <v>423181.03552473948</v>
      </c>
      <c r="CC32" s="314">
        <f t="shared" si="65"/>
        <v>423181.03552473948</v>
      </c>
      <c r="CD32" s="314">
        <f t="shared" si="65"/>
        <v>423181.03552473948</v>
      </c>
    </row>
    <row r="33" spans="1:82">
      <c r="A33" s="119">
        <f>ROW()</f>
        <v>33</v>
      </c>
      <c r="C33" s="925" t="s">
        <v>918</v>
      </c>
      <c r="D33" s="776"/>
      <c r="E33" s="776"/>
      <c r="F33" s="776"/>
      <c r="G33" s="776"/>
      <c r="H33" s="776"/>
      <c r="I33" s="776"/>
      <c r="J33" s="777">
        <f>SUM(K33:CD33)</f>
        <v>1906722.9537500013</v>
      </c>
      <c r="K33" s="222">
        <f>actual3yr!E93</f>
        <v>38200.408750000002</v>
      </c>
      <c r="L33" s="222">
        <f>actual3yr!F93</f>
        <v>20244.380000000005</v>
      </c>
      <c r="M33" s="222">
        <f>actual3yr!G93</f>
        <v>24472.47</v>
      </c>
      <c r="N33" s="222">
        <f>actual3yr!H93</f>
        <v>32173.790000000008</v>
      </c>
      <c r="O33" s="222">
        <f>actual3yr!I93</f>
        <v>23258.04</v>
      </c>
      <c r="P33" s="222">
        <f>actual3yr!J93</f>
        <v>24076.77</v>
      </c>
      <c r="Q33" s="222">
        <f>actual3yr!K93</f>
        <v>23245.439999999995</v>
      </c>
      <c r="R33" s="222">
        <f>actual3yr!L93</f>
        <v>23777.269999999997</v>
      </c>
      <c r="S33" s="222">
        <f>actual3yr!M93</f>
        <v>21403.59</v>
      </c>
      <c r="T33" s="222">
        <f>actual3yr!O93</f>
        <v>22703.550000000003</v>
      </c>
      <c r="U33" s="222">
        <f>actual3yr!P93</f>
        <v>22624.67</v>
      </c>
      <c r="V33" s="222">
        <f>actual3yr!Q93</f>
        <v>22635.7</v>
      </c>
      <c r="W33" s="222">
        <f>actual3yr!R93</f>
        <v>22761.160000000003</v>
      </c>
      <c r="X33" s="222">
        <f>actual3yr!S93</f>
        <v>22900.99</v>
      </c>
      <c r="Y33" s="222">
        <f>actual3yr!T93</f>
        <v>22636.080000000002</v>
      </c>
      <c r="Z33" s="222">
        <f>actual3yr!U93</f>
        <v>57937.329999999994</v>
      </c>
      <c r="AA33" s="222">
        <f>actual3yr!V93</f>
        <v>39960.979999999996</v>
      </c>
      <c r="AB33" s="222">
        <f>actual3yr!W93</f>
        <v>22413.47</v>
      </c>
      <c r="AC33" s="222">
        <f>actual3yr!X93</f>
        <v>23583.42</v>
      </c>
      <c r="AD33" s="222">
        <f>actual3yr!Y93</f>
        <v>24399.34</v>
      </c>
      <c r="AE33" s="222">
        <f>actual3yr!Z93</f>
        <v>24378.71</v>
      </c>
      <c r="AF33" s="222">
        <f>actual3yr!AB93</f>
        <v>22958.43</v>
      </c>
      <c r="AG33" s="222">
        <f>actual3yr!AC93</f>
        <v>23252.25</v>
      </c>
      <c r="AH33" s="222">
        <f>actual3yr!AD93</f>
        <v>22944.07</v>
      </c>
      <c r="AI33" s="222">
        <f>actual3yr!AE93</f>
        <v>23786.260000000002</v>
      </c>
      <c r="AJ33" s="222">
        <f>actual3yr!AF93</f>
        <v>22942.89</v>
      </c>
      <c r="AK33" s="222">
        <f>actual3yr!AG93</f>
        <v>23961.410000000003</v>
      </c>
      <c r="AL33" s="222">
        <f>actual3yr!AH93</f>
        <v>23295.54</v>
      </c>
      <c r="AM33" s="222">
        <f>actual3yr!AI93</f>
        <v>23394.09</v>
      </c>
      <c r="AN33" s="222">
        <f>actual3yr!AJ93</f>
        <v>23255.61</v>
      </c>
      <c r="AO33" s="222">
        <f>actual3yr!AK93</f>
        <v>23133.3</v>
      </c>
      <c r="AP33" s="222">
        <f>actual3yr!AL93</f>
        <v>23132.37</v>
      </c>
      <c r="AQ33" s="222">
        <f>actual3yr!AM93</f>
        <v>29632.62</v>
      </c>
      <c r="AR33" s="981">
        <f>AU33</f>
        <v>25991.833333333332</v>
      </c>
      <c r="AS33" s="981">
        <f>AU33</f>
        <v>25991.833333333332</v>
      </c>
      <c r="AT33" s="981">
        <f>AU33</f>
        <v>25991.833333333332</v>
      </c>
      <c r="AU33" s="222">
        <f>'3yr forecast'!F65</f>
        <v>25991.833333333332</v>
      </c>
      <c r="AV33" s="222">
        <f>'3yr forecast'!G65</f>
        <v>25991.833333333332</v>
      </c>
      <c r="AW33" s="222">
        <f>'3yr forecast'!H65</f>
        <v>25991.833333333332</v>
      </c>
      <c r="AX33" s="222">
        <f>'3yr forecast'!I65</f>
        <v>25991.833333333332</v>
      </c>
      <c r="AY33" s="222">
        <f>'3yr forecast'!J65</f>
        <v>25991.833333333332</v>
      </c>
      <c r="AZ33" s="222">
        <f>'3yr forecast'!K65</f>
        <v>25991.833333333332</v>
      </c>
      <c r="BA33" s="222">
        <f>'3yr forecast'!L65</f>
        <v>25991.833333333332</v>
      </c>
      <c r="BB33" s="222">
        <f>'3yr forecast'!M65</f>
        <v>25991.833333333332</v>
      </c>
      <c r="BC33" s="222">
        <f>'3yr forecast'!N65</f>
        <v>25991.833333333332</v>
      </c>
      <c r="BD33" s="222">
        <f>'3yr forecast'!O65</f>
        <v>25991.833333333332</v>
      </c>
      <c r="BE33" s="222">
        <f>'3yr forecast'!P65</f>
        <v>25991.833333333332</v>
      </c>
      <c r="BF33" s="222">
        <f>'3yr forecast'!Q65</f>
        <v>25991.833333333332</v>
      </c>
      <c r="BG33" s="222">
        <f>'3yr forecast'!R65</f>
        <v>27291.424999999999</v>
      </c>
      <c r="BH33" s="222">
        <f>'3yr forecast'!S65</f>
        <v>27291.424999999999</v>
      </c>
      <c r="BI33" s="222">
        <f>'3yr forecast'!T65</f>
        <v>27291.424999999999</v>
      </c>
      <c r="BJ33" s="222">
        <f>'3yr forecast'!U65</f>
        <v>27291.424999999999</v>
      </c>
      <c r="BK33" s="222">
        <f>'3yr forecast'!V65</f>
        <v>27291.424999999999</v>
      </c>
      <c r="BL33" s="222">
        <f>'3yr forecast'!W65</f>
        <v>27291.424999999999</v>
      </c>
      <c r="BM33" s="222">
        <f>'3yr forecast'!X65</f>
        <v>27291.424999999999</v>
      </c>
      <c r="BN33" s="222">
        <f>'3yr forecast'!Y65</f>
        <v>27291.424999999999</v>
      </c>
      <c r="BO33" s="222">
        <f>'3yr forecast'!Z65</f>
        <v>27291.424999999999</v>
      </c>
      <c r="BP33" s="222">
        <f>'3yr forecast'!AA65</f>
        <v>27291.424999999999</v>
      </c>
      <c r="BQ33" s="222">
        <f>'3yr forecast'!AB65</f>
        <v>27291.424999999999</v>
      </c>
      <c r="BR33" s="222">
        <f>'3yr forecast'!AC65</f>
        <v>27291.424999999999</v>
      </c>
      <c r="BS33" s="222">
        <f>'3yr forecast'!AD65</f>
        <v>28655.99625</v>
      </c>
      <c r="BT33" s="222">
        <f>'3yr forecast'!AE65</f>
        <v>28655.99625</v>
      </c>
      <c r="BU33" s="222">
        <f>'3yr forecast'!AF65</f>
        <v>28655.99625</v>
      </c>
      <c r="BV33" s="222">
        <f>'3yr forecast'!AG65</f>
        <v>28655.99625</v>
      </c>
      <c r="BW33" s="222">
        <f>'3yr forecast'!AH65</f>
        <v>28655.99625</v>
      </c>
      <c r="BX33" s="222">
        <f>'3yr forecast'!AI65</f>
        <v>28655.99625</v>
      </c>
      <c r="BY33" s="222">
        <f>'3yr forecast'!AJ65</f>
        <v>28655.99625</v>
      </c>
      <c r="BZ33" s="222">
        <f>'3yr forecast'!AK65</f>
        <v>28655.99625</v>
      </c>
      <c r="CA33" s="222">
        <f>'3yr forecast'!AL65</f>
        <v>28655.99625</v>
      </c>
      <c r="CB33" s="222">
        <f>'3yr forecast'!AM65</f>
        <v>28655.99625</v>
      </c>
      <c r="CC33" s="222">
        <f>'3yr forecast'!AN65</f>
        <v>28655.99625</v>
      </c>
      <c r="CD33" s="222">
        <f>'3yr forecast'!AO65</f>
        <v>28655.99625</v>
      </c>
    </row>
    <row r="34" spans="1:82">
      <c r="A34" s="119">
        <f>ROW()</f>
        <v>34</v>
      </c>
      <c r="C34" s="315" t="s">
        <v>3</v>
      </c>
      <c r="D34" s="316"/>
      <c r="E34" s="316"/>
      <c r="F34" s="316"/>
      <c r="G34" s="316"/>
      <c r="H34" s="322"/>
      <c r="I34" s="317"/>
      <c r="J34" s="317">
        <f t="shared" si="24"/>
        <v>26788924.882945217</v>
      </c>
      <c r="K34" s="317">
        <f t="shared" ref="K34:AP34" si="66">K32-K33</f>
        <v>327423.26000000007</v>
      </c>
      <c r="L34" s="317">
        <f t="shared" si="66"/>
        <v>335850.49</v>
      </c>
      <c r="M34" s="317">
        <f t="shared" si="66"/>
        <v>347211.56999999995</v>
      </c>
      <c r="N34" s="317">
        <f t="shared" si="66"/>
        <v>352769.58999999997</v>
      </c>
      <c r="O34" s="317">
        <f t="shared" si="66"/>
        <v>313224.42000000004</v>
      </c>
      <c r="P34" s="317">
        <f t="shared" si="66"/>
        <v>354137.1</v>
      </c>
      <c r="Q34" s="317">
        <f t="shared" si="66"/>
        <v>341939.28</v>
      </c>
      <c r="R34" s="317">
        <f t="shared" si="66"/>
        <v>340801.92</v>
      </c>
      <c r="S34" s="317">
        <f t="shared" si="66"/>
        <v>346863.26</v>
      </c>
      <c r="T34" s="317">
        <f t="shared" si="66"/>
        <v>343620.06</v>
      </c>
      <c r="U34" s="317">
        <f t="shared" si="66"/>
        <v>345125.05000000005</v>
      </c>
      <c r="V34" s="317">
        <f t="shared" si="66"/>
        <v>344417.23</v>
      </c>
      <c r="W34" s="317">
        <f t="shared" si="66"/>
        <v>359999.56000000006</v>
      </c>
      <c r="X34" s="317">
        <f t="shared" si="66"/>
        <v>358980.96</v>
      </c>
      <c r="Y34" s="317">
        <f t="shared" si="66"/>
        <v>359293.88999999996</v>
      </c>
      <c r="Z34" s="317">
        <f t="shared" si="66"/>
        <v>323964.96000000002</v>
      </c>
      <c r="AA34" s="317">
        <f t="shared" si="66"/>
        <v>346856.82000000007</v>
      </c>
      <c r="AB34" s="317">
        <f t="shared" si="66"/>
        <v>362303.08000000007</v>
      </c>
      <c r="AC34" s="317">
        <f t="shared" si="66"/>
        <v>356495.71</v>
      </c>
      <c r="AD34" s="317">
        <f t="shared" si="66"/>
        <v>352750</v>
      </c>
      <c r="AE34" s="317">
        <f t="shared" si="66"/>
        <v>360109.39</v>
      </c>
      <c r="AF34" s="317">
        <f t="shared" si="66"/>
        <v>358293.45</v>
      </c>
      <c r="AG34" s="317">
        <f t="shared" si="66"/>
        <v>359340.92000000004</v>
      </c>
      <c r="AH34" s="317">
        <f t="shared" si="66"/>
        <v>361699.28</v>
      </c>
      <c r="AI34" s="317">
        <f t="shared" si="66"/>
        <v>372549.85000000003</v>
      </c>
      <c r="AJ34" s="317">
        <f t="shared" si="66"/>
        <v>371027.28</v>
      </c>
      <c r="AK34" s="317">
        <f t="shared" si="66"/>
        <v>370128.45000000007</v>
      </c>
      <c r="AL34" s="317">
        <f t="shared" si="66"/>
        <v>380333.08000000007</v>
      </c>
      <c r="AM34" s="317">
        <f t="shared" si="66"/>
        <v>349277.67000000004</v>
      </c>
      <c r="AN34" s="317">
        <f t="shared" si="66"/>
        <v>372477.75000000006</v>
      </c>
      <c r="AO34" s="317">
        <f t="shared" si="66"/>
        <v>371398.94000000006</v>
      </c>
      <c r="AP34" s="317">
        <f t="shared" si="66"/>
        <v>373579.72000000009</v>
      </c>
      <c r="AQ34" s="317">
        <f t="shared" ref="AQ34:BV34" si="67">AQ32-AQ33</f>
        <v>365840.49000000011</v>
      </c>
      <c r="AR34" s="797">
        <f t="shared" si="67"/>
        <v>367824.63004625001</v>
      </c>
      <c r="AS34" s="317">
        <f t="shared" si="67"/>
        <v>367824.63004625001</v>
      </c>
      <c r="AT34" s="317">
        <f t="shared" si="67"/>
        <v>367824.63004625001</v>
      </c>
      <c r="AU34" s="317">
        <f t="shared" si="67"/>
        <v>382090.38368021877</v>
      </c>
      <c r="AV34" s="317">
        <f t="shared" si="67"/>
        <v>382341.42784721876</v>
      </c>
      <c r="AW34" s="317">
        <f t="shared" si="67"/>
        <v>377799.42118021875</v>
      </c>
      <c r="AX34" s="317">
        <f t="shared" si="67"/>
        <v>377799.42118021875</v>
      </c>
      <c r="AY34" s="317">
        <f t="shared" si="67"/>
        <v>377799.42118021875</v>
      </c>
      <c r="AZ34" s="317">
        <f t="shared" si="67"/>
        <v>377799.42118021875</v>
      </c>
      <c r="BA34" s="317">
        <f t="shared" si="67"/>
        <v>377799.42118021875</v>
      </c>
      <c r="BB34" s="317">
        <f t="shared" si="67"/>
        <v>377799.42118021875</v>
      </c>
      <c r="BC34" s="317">
        <f t="shared" si="67"/>
        <v>382268.01555921877</v>
      </c>
      <c r="BD34" s="317">
        <f t="shared" si="67"/>
        <v>379962.11913396878</v>
      </c>
      <c r="BE34" s="317">
        <f t="shared" si="67"/>
        <v>379962.11913396878</v>
      </c>
      <c r="BF34" s="317">
        <f t="shared" si="67"/>
        <v>379962.11913396878</v>
      </c>
      <c r="BG34" s="317">
        <f t="shared" si="67"/>
        <v>394419.60641954554</v>
      </c>
      <c r="BH34" s="317">
        <f t="shared" si="67"/>
        <v>394419.60641954554</v>
      </c>
      <c r="BI34" s="317">
        <f t="shared" si="67"/>
        <v>394419.60641954554</v>
      </c>
      <c r="BJ34" s="317">
        <f t="shared" si="67"/>
        <v>394419.60641954554</v>
      </c>
      <c r="BK34" s="317">
        <f t="shared" si="67"/>
        <v>394419.60641954554</v>
      </c>
      <c r="BL34" s="317">
        <f t="shared" si="67"/>
        <v>394419.60641954554</v>
      </c>
      <c r="BM34" s="317">
        <f t="shared" si="67"/>
        <v>394419.60641954554</v>
      </c>
      <c r="BN34" s="317">
        <f t="shared" si="67"/>
        <v>394419.60641954554</v>
      </c>
      <c r="BO34" s="317">
        <f t="shared" si="67"/>
        <v>394419.60641954554</v>
      </c>
      <c r="BP34" s="317">
        <f t="shared" si="67"/>
        <v>382011.82177279552</v>
      </c>
      <c r="BQ34" s="317">
        <f t="shared" si="67"/>
        <v>382011.82177279552</v>
      </c>
      <c r="BR34" s="317">
        <f t="shared" si="67"/>
        <v>382011.82177279552</v>
      </c>
      <c r="BS34" s="317">
        <f t="shared" si="67"/>
        <v>396955.19559089741</v>
      </c>
      <c r="BT34" s="317">
        <f t="shared" si="67"/>
        <v>396955.19559089741</v>
      </c>
      <c r="BU34" s="317">
        <f t="shared" si="67"/>
        <v>396955.19559089741</v>
      </c>
      <c r="BV34" s="317">
        <f t="shared" si="67"/>
        <v>396955.19559089741</v>
      </c>
      <c r="BW34" s="317">
        <f t="shared" ref="BW34:CD34" si="68">BW32-BW33</f>
        <v>396955.19559089741</v>
      </c>
      <c r="BX34" s="317">
        <f t="shared" si="68"/>
        <v>396955.19559089741</v>
      </c>
      <c r="BY34" s="317">
        <f t="shared" si="68"/>
        <v>396955.19559089741</v>
      </c>
      <c r="BZ34" s="317">
        <f t="shared" si="68"/>
        <v>396955.19559089741</v>
      </c>
      <c r="CA34" s="317">
        <f t="shared" si="68"/>
        <v>396955.19559089741</v>
      </c>
      <c r="CB34" s="317">
        <f t="shared" si="68"/>
        <v>394525.03927473945</v>
      </c>
      <c r="CC34" s="317">
        <f t="shared" si="68"/>
        <v>394525.03927473945</v>
      </c>
      <c r="CD34" s="317">
        <f t="shared" si="68"/>
        <v>394525.03927473945</v>
      </c>
    </row>
    <row r="35" spans="1:82">
      <c r="A35" s="119">
        <f>ROW()</f>
        <v>35</v>
      </c>
      <c r="D35" s="219"/>
      <c r="E35" s="219"/>
      <c r="F35" s="219"/>
      <c r="G35" s="219"/>
      <c r="H35" s="219"/>
      <c r="I35" s="219"/>
      <c r="J35" s="126"/>
    </row>
    <row r="36" spans="1:82">
      <c r="C36" s="134"/>
      <c r="D36" s="219"/>
      <c r="E36" s="219"/>
      <c r="F36" s="219"/>
      <c r="G36" s="219"/>
      <c r="H36" s="219"/>
      <c r="I36" s="219"/>
      <c r="J36" s="126"/>
    </row>
    <row r="37" spans="1:82">
      <c r="A37" s="119">
        <f>ROW()</f>
        <v>37</v>
      </c>
      <c r="C37" s="119" t="str">
        <f>'3yr forecast'!B54</f>
        <v xml:space="preserve">  CAPEX - Lease Incentives</v>
      </c>
      <c r="D37" s="219"/>
      <c r="E37" s="219"/>
      <c r="F37" s="219"/>
      <c r="G37" s="219"/>
      <c r="H37" s="219"/>
      <c r="I37" s="219"/>
      <c r="J37" s="222">
        <f>SUM(K37:CD37)</f>
        <v>63263.563037000014</v>
      </c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  <c r="AP37" s="222"/>
      <c r="AQ37" s="222"/>
      <c r="AR37" s="924"/>
      <c r="AS37" s="924"/>
      <c r="AT37" s="924"/>
      <c r="AU37" s="292">
        <f>'3yr forecast'!C54</f>
        <v>1268.8474804166667</v>
      </c>
      <c r="AV37" s="126">
        <f>'3yr forecast'!D54</f>
        <v>1268.8474804166667</v>
      </c>
      <c r="AW37" s="126">
        <f>'3yr forecast'!E54</f>
        <v>1268.8474804166667</v>
      </c>
      <c r="AX37" s="126">
        <f>'3yr forecast'!F54</f>
        <v>1268.8474804166667</v>
      </c>
      <c r="AY37" s="126">
        <f>'3yr forecast'!G54</f>
        <v>1268.8474804166667</v>
      </c>
      <c r="AZ37" s="126">
        <f>'3yr forecast'!H54</f>
        <v>1268.8474804166667</v>
      </c>
      <c r="BA37" s="126">
        <f>'3yr forecast'!I54</f>
        <v>1268.8474804166667</v>
      </c>
      <c r="BB37" s="126">
        <f>'3yr forecast'!J54</f>
        <v>1268.8474804166667</v>
      </c>
      <c r="BC37" s="126">
        <f>'3yr forecast'!K54</f>
        <v>1268.8474804166667</v>
      </c>
      <c r="BD37" s="126">
        <f>'3yr forecast'!L54</f>
        <v>1268.8474804166667</v>
      </c>
      <c r="BE37" s="126">
        <f>'3yr forecast'!M54</f>
        <v>1268.8474804166667</v>
      </c>
      <c r="BF37" s="126">
        <f>'3yr forecast'!N54</f>
        <v>1268.8474804166667</v>
      </c>
      <c r="BG37" s="126">
        <f>'3yr forecast'!O54</f>
        <v>0</v>
      </c>
      <c r="BH37" s="126">
        <f>'3yr forecast'!P54</f>
        <v>0</v>
      </c>
      <c r="BI37" s="126">
        <f>'3yr forecast'!Q54</f>
        <v>0</v>
      </c>
      <c r="BJ37" s="126">
        <f>'3yr forecast'!R54</f>
        <v>0</v>
      </c>
      <c r="BK37" s="126">
        <f>'3yr forecast'!S54</f>
        <v>0</v>
      </c>
      <c r="BL37" s="126">
        <f>'3yr forecast'!T54</f>
        <v>0</v>
      </c>
      <c r="BM37" s="126">
        <f>'3yr forecast'!U54</f>
        <v>0</v>
      </c>
      <c r="BN37" s="126">
        <f>'3yr forecast'!V54</f>
        <v>0</v>
      </c>
      <c r="BO37" s="126">
        <f>'3yr forecast'!W54</f>
        <v>0</v>
      </c>
      <c r="BP37" s="126">
        <f>'3yr forecast'!X54</f>
        <v>0</v>
      </c>
      <c r="BQ37" s="126">
        <f>'3yr forecast'!Y54</f>
        <v>0</v>
      </c>
      <c r="BR37" s="126">
        <f>'3yr forecast'!Z54</f>
        <v>0</v>
      </c>
      <c r="BS37" s="126">
        <f>'3yr forecast'!AA54</f>
        <v>4003.1161059999999</v>
      </c>
      <c r="BT37" s="126">
        <f>'3yr forecast'!AB54</f>
        <v>4003.1161059999999</v>
      </c>
      <c r="BU37" s="126">
        <f>'3yr forecast'!AC54</f>
        <v>4003.1161059999999</v>
      </c>
      <c r="BV37" s="126">
        <f>'3yr forecast'!AD54</f>
        <v>4003.1161059999999</v>
      </c>
      <c r="BW37" s="126">
        <f>'3yr forecast'!AE54</f>
        <v>4003.1161059999999</v>
      </c>
      <c r="BX37" s="126">
        <f>'3yr forecast'!AF54</f>
        <v>4003.1161059999999</v>
      </c>
      <c r="BY37" s="126">
        <f>'3yr forecast'!AG54</f>
        <v>4003.1161059999999</v>
      </c>
      <c r="BZ37" s="126">
        <f>'3yr forecast'!AH54</f>
        <v>4003.1161059999999</v>
      </c>
      <c r="CA37" s="126">
        <f>'3yr forecast'!AI54</f>
        <v>4003.1161059999999</v>
      </c>
      <c r="CB37" s="126">
        <f>'3yr forecast'!AJ54</f>
        <v>4003.1161059999999</v>
      </c>
      <c r="CC37" s="126">
        <f>'3yr forecast'!AK54</f>
        <v>4003.1161059999999</v>
      </c>
      <c r="CD37" s="126">
        <f>'3yr forecast'!AL54</f>
        <v>4003.1161059999999</v>
      </c>
    </row>
    <row r="38" spans="1:82">
      <c r="A38" s="119">
        <f>ROW()</f>
        <v>38</v>
      </c>
      <c r="C38" s="119" t="str">
        <f>'3yr forecast'!B60</f>
        <v xml:space="preserve">  Explicit Capex</v>
      </c>
      <c r="D38" s="219"/>
      <c r="E38" s="219"/>
      <c r="F38" s="219"/>
      <c r="G38" s="219"/>
      <c r="H38" s="219"/>
      <c r="I38" s="219"/>
      <c r="J38" s="222">
        <f>SUM(K38:CD38)</f>
        <v>1563610.0000000009</v>
      </c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2"/>
      <c r="AM38" s="222"/>
      <c r="AN38" s="222"/>
      <c r="AO38" s="222"/>
      <c r="AP38" s="222"/>
      <c r="AQ38" s="222"/>
      <c r="AR38" s="924"/>
      <c r="AS38" s="924"/>
      <c r="AT38" s="924"/>
      <c r="AU38" s="292">
        <f>-'3yr forecast'!C60</f>
        <v>116171.16666666667</v>
      </c>
      <c r="AV38" s="126">
        <f>-'3yr forecast'!D60</f>
        <v>116171.16666666667</v>
      </c>
      <c r="AW38" s="126">
        <f>-'3yr forecast'!E60</f>
        <v>116171.16666666667</v>
      </c>
      <c r="AX38" s="126">
        <f>-'3yr forecast'!F60</f>
        <v>116171.16666666667</v>
      </c>
      <c r="AY38" s="126">
        <f>-'3yr forecast'!G60</f>
        <v>116171.16666666667</v>
      </c>
      <c r="AZ38" s="126">
        <f>-'3yr forecast'!H60</f>
        <v>116171.16666666667</v>
      </c>
      <c r="BA38" s="126">
        <f>-'3yr forecast'!I60</f>
        <v>116171.16666666667</v>
      </c>
      <c r="BB38" s="126">
        <f>-'3yr forecast'!J60</f>
        <v>116171.16666666667</v>
      </c>
      <c r="BC38" s="126">
        <f>-'3yr forecast'!K60</f>
        <v>116171.16666666667</v>
      </c>
      <c r="BD38" s="126">
        <f>-'3yr forecast'!L60</f>
        <v>116171.16666666667</v>
      </c>
      <c r="BE38" s="126">
        <f>-'3yr forecast'!M60</f>
        <v>116171.16666666667</v>
      </c>
      <c r="BF38" s="126">
        <f>-'3yr forecast'!N60</f>
        <v>116171.16666666667</v>
      </c>
      <c r="BG38" s="126">
        <f>-'3yr forecast'!O60</f>
        <v>4166.666666666667</v>
      </c>
      <c r="BH38" s="126">
        <f>-'3yr forecast'!P60</f>
        <v>4166.666666666667</v>
      </c>
      <c r="BI38" s="126">
        <f>-'3yr forecast'!Q60</f>
        <v>4166.666666666667</v>
      </c>
      <c r="BJ38" s="126">
        <f>-'3yr forecast'!R60</f>
        <v>4166.666666666667</v>
      </c>
      <c r="BK38" s="126">
        <f>-'3yr forecast'!S60</f>
        <v>4166.666666666667</v>
      </c>
      <c r="BL38" s="126">
        <f>-'3yr forecast'!T60</f>
        <v>4166.666666666667</v>
      </c>
      <c r="BM38" s="126">
        <f>-'3yr forecast'!U60</f>
        <v>4166.666666666667</v>
      </c>
      <c r="BN38" s="126">
        <f>-'3yr forecast'!V60</f>
        <v>4166.666666666667</v>
      </c>
      <c r="BO38" s="126">
        <f>-'3yr forecast'!W60</f>
        <v>4166.666666666667</v>
      </c>
      <c r="BP38" s="126">
        <f>-'3yr forecast'!X60</f>
        <v>4166.666666666667</v>
      </c>
      <c r="BQ38" s="126">
        <f>-'3yr forecast'!Y60</f>
        <v>4166.666666666667</v>
      </c>
      <c r="BR38" s="126">
        <f>-'3yr forecast'!Z60</f>
        <v>4166.666666666667</v>
      </c>
      <c r="BS38" s="126">
        <f>-'3yr forecast'!AA60</f>
        <v>9963</v>
      </c>
      <c r="BT38" s="126">
        <f>-'3yr forecast'!AB60</f>
        <v>9963</v>
      </c>
      <c r="BU38" s="126">
        <f>-'3yr forecast'!AC60</f>
        <v>9963</v>
      </c>
      <c r="BV38" s="126">
        <f>-'3yr forecast'!AD60</f>
        <v>9963</v>
      </c>
      <c r="BW38" s="126">
        <f>-'3yr forecast'!AE60</f>
        <v>9963</v>
      </c>
      <c r="BX38" s="126">
        <f>-'3yr forecast'!AF60</f>
        <v>9963</v>
      </c>
      <c r="BY38" s="126">
        <f>-'3yr forecast'!AG60</f>
        <v>9963</v>
      </c>
      <c r="BZ38" s="126">
        <f>-'3yr forecast'!AH60</f>
        <v>9963</v>
      </c>
      <c r="CA38" s="126">
        <f>-'3yr forecast'!AI60</f>
        <v>9963</v>
      </c>
      <c r="CB38" s="126">
        <f>-'3yr forecast'!AJ60</f>
        <v>9963</v>
      </c>
      <c r="CC38" s="126">
        <f>-'3yr forecast'!AK60</f>
        <v>9963</v>
      </c>
      <c r="CD38" s="126">
        <f>-'3yr forecast'!AL60</f>
        <v>9963</v>
      </c>
    </row>
    <row r="39" spans="1:82">
      <c r="D39" s="219"/>
      <c r="E39" s="219"/>
      <c r="F39" s="219"/>
      <c r="G39" s="219"/>
      <c r="H39" s="219"/>
      <c r="I39" s="219"/>
    </row>
    <row r="43" spans="1:82">
      <c r="J43" s="222">
        <f>SUM(K34:AQ34)</f>
        <v>11680084.479999999</v>
      </c>
    </row>
    <row r="44" spans="1:82">
      <c r="J44" s="222">
        <f>actual3yr!D92</f>
        <v>12525560.878749996</v>
      </c>
    </row>
    <row r="45" spans="1:82">
      <c r="J45" s="119" t="b">
        <f>J43=J44</f>
        <v>0</v>
      </c>
    </row>
  </sheetData>
  <autoFilter ref="A8:CD9"/>
  <phoneticPr fontId="3" type="noConversion"/>
  <pageMargins left="0.7" right="0.7" top="0.75" bottom="0.75" header="0.3" footer="0.3"/>
  <pageSetup paperSize="9" orientation="landscape" horizontalDpi="4294967292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73"/>
  <sheetViews>
    <sheetView showGridLines="0" workbookViewId="0">
      <selection activeCell="B5" sqref="B5"/>
    </sheetView>
  </sheetViews>
  <sheetFormatPr defaultRowHeight="12"/>
  <cols>
    <col min="1" max="1" width="11.28515625" bestFit="1" customWidth="1"/>
    <col min="3" max="3" width="11.28515625" bestFit="1" customWidth="1"/>
  </cols>
  <sheetData>
    <row r="1" spans="1:3">
      <c r="A1" t="s">
        <v>116</v>
      </c>
      <c r="B1" t="s">
        <v>115</v>
      </c>
      <c r="C1" s="231" t="s">
        <v>119</v>
      </c>
    </row>
    <row r="2" spans="1:3" s="2" customFormat="1">
      <c r="A2" s="3">
        <f>'A&amp;R'!H5</f>
        <v>43373</v>
      </c>
      <c r="B2" s="190">
        <v>0</v>
      </c>
      <c r="C2" s="3"/>
    </row>
    <row r="3" spans="1:3">
      <c r="A3" s="3">
        <f>EOMONTH(A2,1)</f>
        <v>43404</v>
      </c>
      <c r="B3" s="190">
        <v>1</v>
      </c>
      <c r="C3" s="3"/>
    </row>
    <row r="4" spans="1:3">
      <c r="A4" s="189">
        <f>EOMONTH(A3,1)</f>
        <v>43434</v>
      </c>
      <c r="B4" s="190">
        <v>1</v>
      </c>
      <c r="C4" s="3"/>
    </row>
    <row r="5" spans="1:3">
      <c r="A5" s="189">
        <f t="shared" ref="A5:A68" si="0">EOMONTH(A4,1)</f>
        <v>43465</v>
      </c>
      <c r="B5" s="190">
        <v>1</v>
      </c>
      <c r="C5" s="3"/>
    </row>
    <row r="6" spans="1:3">
      <c r="A6" s="189">
        <f t="shared" si="0"/>
        <v>43496</v>
      </c>
      <c r="B6" s="190">
        <f>B3+1</f>
        <v>2</v>
      </c>
      <c r="C6" s="3"/>
    </row>
    <row r="7" spans="1:3">
      <c r="A7" s="189">
        <f t="shared" si="0"/>
        <v>43524</v>
      </c>
      <c r="B7" s="190">
        <f t="shared" ref="B7:B70" si="1">B4+1</f>
        <v>2</v>
      </c>
      <c r="C7" s="3"/>
    </row>
    <row r="8" spans="1:3">
      <c r="A8" s="189">
        <f t="shared" si="0"/>
        <v>43555</v>
      </c>
      <c r="B8" s="190">
        <f t="shared" si="1"/>
        <v>2</v>
      </c>
      <c r="C8" s="3"/>
    </row>
    <row r="9" spans="1:3">
      <c r="A9" s="189">
        <f t="shared" si="0"/>
        <v>43585</v>
      </c>
      <c r="B9" s="190">
        <f t="shared" si="1"/>
        <v>3</v>
      </c>
      <c r="C9" s="3"/>
    </row>
    <row r="10" spans="1:3">
      <c r="A10" s="189">
        <f t="shared" si="0"/>
        <v>43616</v>
      </c>
      <c r="B10" s="190">
        <f t="shared" si="1"/>
        <v>3</v>
      </c>
      <c r="C10" s="3"/>
    </row>
    <row r="11" spans="1:3">
      <c r="A11" s="189">
        <f t="shared" si="0"/>
        <v>43646</v>
      </c>
      <c r="B11" s="190">
        <f t="shared" si="1"/>
        <v>3</v>
      </c>
      <c r="C11" s="3"/>
    </row>
    <row r="12" spans="1:3">
      <c r="A12" s="189">
        <f t="shared" si="0"/>
        <v>43677</v>
      </c>
      <c r="B12" s="190">
        <f t="shared" si="1"/>
        <v>4</v>
      </c>
      <c r="C12" s="3"/>
    </row>
    <row r="13" spans="1:3">
      <c r="A13" s="189">
        <f t="shared" si="0"/>
        <v>43708</v>
      </c>
      <c r="B13" s="190">
        <f t="shared" si="1"/>
        <v>4</v>
      </c>
      <c r="C13" s="3"/>
    </row>
    <row r="14" spans="1:3">
      <c r="A14" s="189">
        <f t="shared" si="0"/>
        <v>43738</v>
      </c>
      <c r="B14" s="190">
        <f t="shared" si="1"/>
        <v>4</v>
      </c>
      <c r="C14" s="3"/>
    </row>
    <row r="15" spans="1:3">
      <c r="A15" s="189">
        <f t="shared" si="0"/>
        <v>43769</v>
      </c>
      <c r="B15" s="190">
        <f t="shared" si="1"/>
        <v>5</v>
      </c>
      <c r="C15" s="3"/>
    </row>
    <row r="16" spans="1:3">
      <c r="A16" s="189">
        <f t="shared" si="0"/>
        <v>43799</v>
      </c>
      <c r="B16" s="190">
        <f t="shared" si="1"/>
        <v>5</v>
      </c>
      <c r="C16" s="3"/>
    </row>
    <row r="17" spans="1:3">
      <c r="A17" s="189">
        <f t="shared" si="0"/>
        <v>43830</v>
      </c>
      <c r="B17" s="190">
        <f t="shared" si="1"/>
        <v>5</v>
      </c>
      <c r="C17" s="3"/>
    </row>
    <row r="18" spans="1:3">
      <c r="A18" s="189">
        <f t="shared" si="0"/>
        <v>43861</v>
      </c>
      <c r="B18" s="190">
        <f t="shared" si="1"/>
        <v>6</v>
      </c>
      <c r="C18" s="3"/>
    </row>
    <row r="19" spans="1:3">
      <c r="A19" s="189">
        <f t="shared" si="0"/>
        <v>43890</v>
      </c>
      <c r="B19" s="190">
        <f t="shared" si="1"/>
        <v>6</v>
      </c>
      <c r="C19" s="3"/>
    </row>
    <row r="20" spans="1:3">
      <c r="A20" s="189">
        <f t="shared" si="0"/>
        <v>43921</v>
      </c>
      <c r="B20" s="190">
        <f t="shared" si="1"/>
        <v>6</v>
      </c>
      <c r="C20" s="3"/>
    </row>
    <row r="21" spans="1:3">
      <c r="A21" s="189">
        <f t="shared" si="0"/>
        <v>43951</v>
      </c>
      <c r="B21" s="190">
        <f t="shared" si="1"/>
        <v>7</v>
      </c>
      <c r="C21" s="3"/>
    </row>
    <row r="22" spans="1:3">
      <c r="A22" s="189">
        <f t="shared" si="0"/>
        <v>43982</v>
      </c>
      <c r="B22" s="190">
        <f t="shared" si="1"/>
        <v>7</v>
      </c>
      <c r="C22" s="3"/>
    </row>
    <row r="23" spans="1:3">
      <c r="A23" s="189">
        <f t="shared" si="0"/>
        <v>44012</v>
      </c>
      <c r="B23" s="190">
        <f t="shared" si="1"/>
        <v>7</v>
      </c>
      <c r="C23" s="3"/>
    </row>
    <row r="24" spans="1:3">
      <c r="A24" s="189">
        <f t="shared" si="0"/>
        <v>44043</v>
      </c>
      <c r="B24" s="190">
        <f t="shared" si="1"/>
        <v>8</v>
      </c>
      <c r="C24" s="3"/>
    </row>
    <row r="25" spans="1:3">
      <c r="A25" s="189">
        <f t="shared" si="0"/>
        <v>44074</v>
      </c>
      <c r="B25" s="190">
        <f t="shared" si="1"/>
        <v>8</v>
      </c>
      <c r="C25" s="3"/>
    </row>
    <row r="26" spans="1:3">
      <c r="A26" s="189">
        <f t="shared" si="0"/>
        <v>44104</v>
      </c>
      <c r="B26" s="190">
        <f t="shared" si="1"/>
        <v>8</v>
      </c>
      <c r="C26" s="3"/>
    </row>
    <row r="27" spans="1:3">
      <c r="A27" s="189">
        <f t="shared" si="0"/>
        <v>44135</v>
      </c>
      <c r="B27" s="190">
        <f t="shared" si="1"/>
        <v>9</v>
      </c>
      <c r="C27" s="3"/>
    </row>
    <row r="28" spans="1:3">
      <c r="A28" s="189">
        <f t="shared" si="0"/>
        <v>44165</v>
      </c>
      <c r="B28" s="190">
        <f t="shared" si="1"/>
        <v>9</v>
      </c>
      <c r="C28" s="3"/>
    </row>
    <row r="29" spans="1:3">
      <c r="A29" s="189">
        <f t="shared" si="0"/>
        <v>44196</v>
      </c>
      <c r="B29" s="190">
        <f t="shared" si="1"/>
        <v>9</v>
      </c>
      <c r="C29" s="3"/>
    </row>
    <row r="30" spans="1:3">
      <c r="A30" s="189">
        <f t="shared" si="0"/>
        <v>44227</v>
      </c>
      <c r="B30" s="190">
        <f t="shared" si="1"/>
        <v>10</v>
      </c>
      <c r="C30" s="3"/>
    </row>
    <row r="31" spans="1:3">
      <c r="A31" s="189">
        <f t="shared" si="0"/>
        <v>44255</v>
      </c>
      <c r="B31" s="190">
        <f t="shared" si="1"/>
        <v>10</v>
      </c>
      <c r="C31" s="3"/>
    </row>
    <row r="32" spans="1:3">
      <c r="A32" s="189">
        <f t="shared" si="0"/>
        <v>44286</v>
      </c>
      <c r="B32" s="190">
        <f t="shared" si="1"/>
        <v>10</v>
      </c>
      <c r="C32" s="3"/>
    </row>
    <row r="33" spans="1:3">
      <c r="A33" s="189">
        <f t="shared" si="0"/>
        <v>44316</v>
      </c>
      <c r="B33" s="190">
        <f t="shared" si="1"/>
        <v>11</v>
      </c>
      <c r="C33" s="3"/>
    </row>
    <row r="34" spans="1:3">
      <c r="A34" s="189">
        <f t="shared" si="0"/>
        <v>44347</v>
      </c>
      <c r="B34" s="190">
        <f t="shared" si="1"/>
        <v>11</v>
      </c>
      <c r="C34" s="3"/>
    </row>
    <row r="35" spans="1:3">
      <c r="A35" s="189">
        <f t="shared" si="0"/>
        <v>44377</v>
      </c>
      <c r="B35" s="190">
        <f t="shared" si="1"/>
        <v>11</v>
      </c>
      <c r="C35" s="3"/>
    </row>
    <row r="36" spans="1:3">
      <c r="A36" s="189">
        <f t="shared" si="0"/>
        <v>44408</v>
      </c>
      <c r="B36" s="190">
        <f t="shared" si="1"/>
        <v>12</v>
      </c>
      <c r="C36" s="3"/>
    </row>
    <row r="37" spans="1:3">
      <c r="A37" s="189">
        <f t="shared" si="0"/>
        <v>44439</v>
      </c>
      <c r="B37" s="190">
        <f t="shared" si="1"/>
        <v>12</v>
      </c>
      <c r="C37" s="3"/>
    </row>
    <row r="38" spans="1:3">
      <c r="A38" s="189">
        <f t="shared" si="0"/>
        <v>44469</v>
      </c>
      <c r="B38" s="190">
        <f t="shared" si="1"/>
        <v>12</v>
      </c>
      <c r="C38" s="3"/>
    </row>
    <row r="39" spans="1:3">
      <c r="A39" s="189">
        <f t="shared" si="0"/>
        <v>44500</v>
      </c>
      <c r="B39" s="190">
        <f t="shared" si="1"/>
        <v>13</v>
      </c>
      <c r="C39" s="3"/>
    </row>
    <row r="40" spans="1:3">
      <c r="A40" s="189">
        <f t="shared" si="0"/>
        <v>44530</v>
      </c>
      <c r="B40" s="190">
        <f t="shared" si="1"/>
        <v>13</v>
      </c>
      <c r="C40" s="3"/>
    </row>
    <row r="41" spans="1:3">
      <c r="A41" s="189">
        <f t="shared" si="0"/>
        <v>44561</v>
      </c>
      <c r="B41" s="190">
        <f t="shared" si="1"/>
        <v>13</v>
      </c>
      <c r="C41" s="3"/>
    </row>
    <row r="42" spans="1:3">
      <c r="A42" s="189">
        <f t="shared" si="0"/>
        <v>44592</v>
      </c>
      <c r="B42" s="190">
        <f t="shared" si="1"/>
        <v>14</v>
      </c>
      <c r="C42" s="3"/>
    </row>
    <row r="43" spans="1:3">
      <c r="A43" s="189">
        <f t="shared" si="0"/>
        <v>44620</v>
      </c>
      <c r="B43" s="190">
        <f t="shared" si="1"/>
        <v>14</v>
      </c>
      <c r="C43" s="3"/>
    </row>
    <row r="44" spans="1:3">
      <c r="A44" s="189">
        <f t="shared" si="0"/>
        <v>44651</v>
      </c>
      <c r="B44" s="190">
        <f t="shared" si="1"/>
        <v>14</v>
      </c>
      <c r="C44" s="3"/>
    </row>
    <row r="45" spans="1:3">
      <c r="A45" s="189">
        <f t="shared" si="0"/>
        <v>44681</v>
      </c>
      <c r="B45" s="190">
        <f t="shared" si="1"/>
        <v>15</v>
      </c>
      <c r="C45" s="3"/>
    </row>
    <row r="46" spans="1:3">
      <c r="A46" s="189">
        <f t="shared" si="0"/>
        <v>44712</v>
      </c>
      <c r="B46" s="190">
        <f t="shared" si="1"/>
        <v>15</v>
      </c>
      <c r="C46" s="3"/>
    </row>
    <row r="47" spans="1:3">
      <c r="A47" s="189">
        <f t="shared" si="0"/>
        <v>44742</v>
      </c>
      <c r="B47" s="190">
        <f t="shared" si="1"/>
        <v>15</v>
      </c>
      <c r="C47" s="3"/>
    </row>
    <row r="48" spans="1:3">
      <c r="A48" s="189">
        <f t="shared" si="0"/>
        <v>44773</v>
      </c>
      <c r="B48" s="190">
        <f t="shared" si="1"/>
        <v>16</v>
      </c>
      <c r="C48" s="3"/>
    </row>
    <row r="49" spans="1:3">
      <c r="A49" s="189">
        <f t="shared" si="0"/>
        <v>44804</v>
      </c>
      <c r="B49" s="190">
        <f t="shared" si="1"/>
        <v>16</v>
      </c>
      <c r="C49" s="3"/>
    </row>
    <row r="50" spans="1:3">
      <c r="A50" s="189">
        <f t="shared" si="0"/>
        <v>44834</v>
      </c>
      <c r="B50" s="190">
        <f t="shared" si="1"/>
        <v>16</v>
      </c>
      <c r="C50" s="3"/>
    </row>
    <row r="51" spans="1:3">
      <c r="A51" s="189">
        <f t="shared" si="0"/>
        <v>44865</v>
      </c>
      <c r="B51" s="190">
        <f t="shared" si="1"/>
        <v>17</v>
      </c>
      <c r="C51" s="3"/>
    </row>
    <row r="52" spans="1:3">
      <c r="A52" s="189">
        <f t="shared" si="0"/>
        <v>44895</v>
      </c>
      <c r="B52" s="190">
        <f t="shared" si="1"/>
        <v>17</v>
      </c>
      <c r="C52" s="3"/>
    </row>
    <row r="53" spans="1:3">
      <c r="A53" s="189">
        <f t="shared" si="0"/>
        <v>44926</v>
      </c>
      <c r="B53" s="190">
        <f t="shared" si="1"/>
        <v>17</v>
      </c>
      <c r="C53" s="3"/>
    </row>
    <row r="54" spans="1:3">
      <c r="A54" s="189">
        <f t="shared" si="0"/>
        <v>44957</v>
      </c>
      <c r="B54" s="190">
        <f t="shared" si="1"/>
        <v>18</v>
      </c>
      <c r="C54" s="3"/>
    </row>
    <row r="55" spans="1:3">
      <c r="A55" s="189">
        <f t="shared" si="0"/>
        <v>44985</v>
      </c>
      <c r="B55" s="190">
        <f t="shared" si="1"/>
        <v>18</v>
      </c>
      <c r="C55" s="3"/>
    </row>
    <row r="56" spans="1:3">
      <c r="A56" s="189">
        <f t="shared" si="0"/>
        <v>45016</v>
      </c>
      <c r="B56" s="190">
        <f t="shared" si="1"/>
        <v>18</v>
      </c>
      <c r="C56" s="3"/>
    </row>
    <row r="57" spans="1:3">
      <c r="A57" s="189">
        <f t="shared" si="0"/>
        <v>45046</v>
      </c>
      <c r="B57" s="190">
        <f t="shared" si="1"/>
        <v>19</v>
      </c>
      <c r="C57" s="3"/>
    </row>
    <row r="58" spans="1:3">
      <c r="A58" s="189">
        <f t="shared" si="0"/>
        <v>45077</v>
      </c>
      <c r="B58" s="190">
        <f t="shared" si="1"/>
        <v>19</v>
      </c>
      <c r="C58" s="3"/>
    </row>
    <row r="59" spans="1:3">
      <c r="A59" s="189">
        <f t="shared" si="0"/>
        <v>45107</v>
      </c>
      <c r="B59" s="190">
        <f t="shared" si="1"/>
        <v>19</v>
      </c>
      <c r="C59" s="3"/>
    </row>
    <row r="60" spans="1:3">
      <c r="A60" s="189">
        <f t="shared" si="0"/>
        <v>45138</v>
      </c>
      <c r="B60" s="190">
        <f t="shared" si="1"/>
        <v>20</v>
      </c>
      <c r="C60" s="3"/>
    </row>
    <row r="61" spans="1:3">
      <c r="A61" s="189">
        <f t="shared" si="0"/>
        <v>45169</v>
      </c>
      <c r="B61" s="190">
        <f t="shared" si="1"/>
        <v>20</v>
      </c>
      <c r="C61" s="3"/>
    </row>
    <row r="62" spans="1:3">
      <c r="A62" s="189">
        <f t="shared" si="0"/>
        <v>45199</v>
      </c>
      <c r="B62" s="190">
        <f t="shared" si="1"/>
        <v>20</v>
      </c>
      <c r="C62" s="3"/>
    </row>
    <row r="63" spans="1:3">
      <c r="A63" s="189">
        <f t="shared" si="0"/>
        <v>45230</v>
      </c>
      <c r="B63" s="190">
        <f t="shared" si="1"/>
        <v>21</v>
      </c>
      <c r="C63" s="3"/>
    </row>
    <row r="64" spans="1:3">
      <c r="A64" s="189">
        <f t="shared" si="0"/>
        <v>45260</v>
      </c>
      <c r="B64" s="190">
        <f t="shared" si="1"/>
        <v>21</v>
      </c>
      <c r="C64" s="3"/>
    </row>
    <row r="65" spans="1:3">
      <c r="A65" s="189">
        <f t="shared" si="0"/>
        <v>45291</v>
      </c>
      <c r="B65" s="190">
        <f t="shared" si="1"/>
        <v>21</v>
      </c>
      <c r="C65" s="3"/>
    </row>
    <row r="66" spans="1:3">
      <c r="A66" s="189">
        <f t="shared" si="0"/>
        <v>45322</v>
      </c>
      <c r="B66" s="190">
        <f t="shared" si="1"/>
        <v>22</v>
      </c>
      <c r="C66" s="3"/>
    </row>
    <row r="67" spans="1:3">
      <c r="A67" s="189">
        <f t="shared" si="0"/>
        <v>45351</v>
      </c>
      <c r="B67" s="190">
        <f t="shared" si="1"/>
        <v>22</v>
      </c>
      <c r="C67" s="3"/>
    </row>
    <row r="68" spans="1:3">
      <c r="A68" s="189">
        <f t="shared" si="0"/>
        <v>45382</v>
      </c>
      <c r="B68" s="190">
        <f t="shared" si="1"/>
        <v>22</v>
      </c>
      <c r="C68" s="3"/>
    </row>
    <row r="69" spans="1:3">
      <c r="A69" s="189">
        <f t="shared" ref="A69:A132" si="2">EOMONTH(A68,1)</f>
        <v>45412</v>
      </c>
      <c r="B69" s="190">
        <f t="shared" si="1"/>
        <v>23</v>
      </c>
      <c r="C69" s="3"/>
    </row>
    <row r="70" spans="1:3">
      <c r="A70" s="189">
        <f t="shared" si="2"/>
        <v>45443</v>
      </c>
      <c r="B70" s="190">
        <f t="shared" si="1"/>
        <v>23</v>
      </c>
      <c r="C70" s="3"/>
    </row>
    <row r="71" spans="1:3">
      <c r="A71" s="189">
        <f t="shared" si="2"/>
        <v>45473</v>
      </c>
      <c r="B71" s="190">
        <f t="shared" ref="B71:B134" si="3">B68+1</f>
        <v>23</v>
      </c>
      <c r="C71" s="3"/>
    </row>
    <row r="72" spans="1:3">
      <c r="A72" s="189">
        <f t="shared" si="2"/>
        <v>45504</v>
      </c>
      <c r="B72" s="190">
        <f t="shared" si="3"/>
        <v>24</v>
      </c>
      <c r="C72" s="3"/>
    </row>
    <row r="73" spans="1:3">
      <c r="A73" s="189">
        <f t="shared" si="2"/>
        <v>45535</v>
      </c>
      <c r="B73" s="190">
        <f t="shared" si="3"/>
        <v>24</v>
      </c>
      <c r="C73" s="3"/>
    </row>
    <row r="74" spans="1:3">
      <c r="A74" s="189">
        <f t="shared" si="2"/>
        <v>45565</v>
      </c>
      <c r="B74" s="190">
        <f t="shared" si="3"/>
        <v>24</v>
      </c>
      <c r="C74" s="3"/>
    </row>
    <row r="75" spans="1:3">
      <c r="A75" s="189">
        <f t="shared" si="2"/>
        <v>45596</v>
      </c>
      <c r="B75" s="190">
        <f t="shared" si="3"/>
        <v>25</v>
      </c>
      <c r="C75" s="3"/>
    </row>
    <row r="76" spans="1:3">
      <c r="A76" s="189">
        <f t="shared" si="2"/>
        <v>45626</v>
      </c>
      <c r="B76" s="190">
        <f t="shared" si="3"/>
        <v>25</v>
      </c>
      <c r="C76" s="3"/>
    </row>
    <row r="77" spans="1:3">
      <c r="A77" s="189">
        <f t="shared" si="2"/>
        <v>45657</v>
      </c>
      <c r="B77" s="190">
        <f t="shared" si="3"/>
        <v>25</v>
      </c>
      <c r="C77" s="3"/>
    </row>
    <row r="78" spans="1:3">
      <c r="A78" s="189">
        <f t="shared" si="2"/>
        <v>45688</v>
      </c>
      <c r="B78" s="190">
        <f t="shared" si="3"/>
        <v>26</v>
      </c>
      <c r="C78" s="3"/>
    </row>
    <row r="79" spans="1:3">
      <c r="A79" s="189">
        <f t="shared" si="2"/>
        <v>45716</v>
      </c>
      <c r="B79" s="190">
        <f t="shared" si="3"/>
        <v>26</v>
      </c>
      <c r="C79" s="3"/>
    </row>
    <row r="80" spans="1:3">
      <c r="A80" s="189">
        <f t="shared" si="2"/>
        <v>45747</v>
      </c>
      <c r="B80" s="190">
        <f t="shared" si="3"/>
        <v>26</v>
      </c>
      <c r="C80" s="3"/>
    </row>
    <row r="81" spans="1:3">
      <c r="A81" s="189">
        <f t="shared" si="2"/>
        <v>45777</v>
      </c>
      <c r="B81" s="190">
        <f t="shared" si="3"/>
        <v>27</v>
      </c>
      <c r="C81" s="3"/>
    </row>
    <row r="82" spans="1:3">
      <c r="A82" s="189">
        <f t="shared" si="2"/>
        <v>45808</v>
      </c>
      <c r="B82" s="190">
        <f t="shared" si="3"/>
        <v>27</v>
      </c>
      <c r="C82" s="3"/>
    </row>
    <row r="83" spans="1:3">
      <c r="A83" s="189">
        <f t="shared" si="2"/>
        <v>45838</v>
      </c>
      <c r="B83" s="190">
        <f t="shared" si="3"/>
        <v>27</v>
      </c>
      <c r="C83" s="3"/>
    </row>
    <row r="84" spans="1:3">
      <c r="A84" s="189">
        <f t="shared" si="2"/>
        <v>45869</v>
      </c>
      <c r="B84" s="190">
        <f t="shared" si="3"/>
        <v>28</v>
      </c>
      <c r="C84" s="3"/>
    </row>
    <row r="85" spans="1:3">
      <c r="A85" s="189">
        <f t="shared" si="2"/>
        <v>45900</v>
      </c>
      <c r="B85" s="190">
        <f t="shared" si="3"/>
        <v>28</v>
      </c>
      <c r="C85" s="3"/>
    </row>
    <row r="86" spans="1:3">
      <c r="A86" s="189">
        <f t="shared" si="2"/>
        <v>45930</v>
      </c>
      <c r="B86" s="190">
        <f t="shared" si="3"/>
        <v>28</v>
      </c>
      <c r="C86" s="3"/>
    </row>
    <row r="87" spans="1:3">
      <c r="A87" s="189">
        <f t="shared" si="2"/>
        <v>45961</v>
      </c>
      <c r="B87" s="190">
        <f t="shared" si="3"/>
        <v>29</v>
      </c>
      <c r="C87" s="3"/>
    </row>
    <row r="88" spans="1:3">
      <c r="A88" s="189">
        <f t="shared" si="2"/>
        <v>45991</v>
      </c>
      <c r="B88" s="190">
        <f t="shared" si="3"/>
        <v>29</v>
      </c>
      <c r="C88" s="3"/>
    </row>
    <row r="89" spans="1:3">
      <c r="A89" s="189">
        <f t="shared" si="2"/>
        <v>46022</v>
      </c>
      <c r="B89" s="190">
        <f t="shared" si="3"/>
        <v>29</v>
      </c>
      <c r="C89" s="3"/>
    </row>
    <row r="90" spans="1:3">
      <c r="A90" s="189">
        <f t="shared" si="2"/>
        <v>46053</v>
      </c>
      <c r="B90" s="190">
        <f t="shared" si="3"/>
        <v>30</v>
      </c>
      <c r="C90" s="3"/>
    </row>
    <row r="91" spans="1:3">
      <c r="A91" s="189">
        <f t="shared" si="2"/>
        <v>46081</v>
      </c>
      <c r="B91" s="190">
        <f t="shared" si="3"/>
        <v>30</v>
      </c>
      <c r="C91" s="3"/>
    </row>
    <row r="92" spans="1:3">
      <c r="A92" s="189">
        <f t="shared" si="2"/>
        <v>46112</v>
      </c>
      <c r="B92" s="190">
        <f t="shared" si="3"/>
        <v>30</v>
      </c>
      <c r="C92" s="3"/>
    </row>
    <row r="93" spans="1:3">
      <c r="A93" s="189">
        <f t="shared" si="2"/>
        <v>46142</v>
      </c>
      <c r="B93" s="190">
        <f t="shared" si="3"/>
        <v>31</v>
      </c>
      <c r="C93" s="3"/>
    </row>
    <row r="94" spans="1:3">
      <c r="A94" s="189">
        <f t="shared" si="2"/>
        <v>46173</v>
      </c>
      <c r="B94" s="190">
        <f t="shared" si="3"/>
        <v>31</v>
      </c>
      <c r="C94" s="3"/>
    </row>
    <row r="95" spans="1:3">
      <c r="A95" s="189">
        <f t="shared" si="2"/>
        <v>46203</v>
      </c>
      <c r="B95" s="190">
        <f t="shared" si="3"/>
        <v>31</v>
      </c>
      <c r="C95" s="3"/>
    </row>
    <row r="96" spans="1:3">
      <c r="A96" s="189">
        <f t="shared" si="2"/>
        <v>46234</v>
      </c>
      <c r="B96" s="190">
        <f t="shared" si="3"/>
        <v>32</v>
      </c>
      <c r="C96" s="3"/>
    </row>
    <row r="97" spans="1:3">
      <c r="A97" s="189">
        <f t="shared" si="2"/>
        <v>46265</v>
      </c>
      <c r="B97" s="190">
        <f t="shared" si="3"/>
        <v>32</v>
      </c>
      <c r="C97" s="3"/>
    </row>
    <row r="98" spans="1:3">
      <c r="A98" s="189">
        <f t="shared" si="2"/>
        <v>46295</v>
      </c>
      <c r="B98" s="190">
        <f t="shared" si="3"/>
        <v>32</v>
      </c>
      <c r="C98" s="3"/>
    </row>
    <row r="99" spans="1:3">
      <c r="A99" s="189">
        <f t="shared" si="2"/>
        <v>46326</v>
      </c>
      <c r="B99" s="190">
        <f t="shared" si="3"/>
        <v>33</v>
      </c>
      <c r="C99" s="3"/>
    </row>
    <row r="100" spans="1:3">
      <c r="A100" s="189">
        <f t="shared" si="2"/>
        <v>46356</v>
      </c>
      <c r="B100" s="190">
        <f t="shared" si="3"/>
        <v>33</v>
      </c>
      <c r="C100" s="3"/>
    </row>
    <row r="101" spans="1:3">
      <c r="A101" s="189">
        <f t="shared" si="2"/>
        <v>46387</v>
      </c>
      <c r="B101" s="190">
        <f t="shared" si="3"/>
        <v>33</v>
      </c>
      <c r="C101" s="3"/>
    </row>
    <row r="102" spans="1:3">
      <c r="A102" s="189">
        <f t="shared" si="2"/>
        <v>46418</v>
      </c>
      <c r="B102" s="190">
        <f t="shared" si="3"/>
        <v>34</v>
      </c>
      <c r="C102" s="3"/>
    </row>
    <row r="103" spans="1:3">
      <c r="A103" s="189">
        <f t="shared" si="2"/>
        <v>46446</v>
      </c>
      <c r="B103" s="190">
        <f t="shared" si="3"/>
        <v>34</v>
      </c>
      <c r="C103" s="3"/>
    </row>
    <row r="104" spans="1:3">
      <c r="A104" s="189">
        <f t="shared" si="2"/>
        <v>46477</v>
      </c>
      <c r="B104" s="190">
        <f t="shared" si="3"/>
        <v>34</v>
      </c>
      <c r="C104" s="3"/>
    </row>
    <row r="105" spans="1:3">
      <c r="A105" s="189">
        <f t="shared" si="2"/>
        <v>46507</v>
      </c>
      <c r="B105" s="190">
        <f t="shared" si="3"/>
        <v>35</v>
      </c>
      <c r="C105" s="3"/>
    </row>
    <row r="106" spans="1:3">
      <c r="A106" s="189">
        <f t="shared" si="2"/>
        <v>46538</v>
      </c>
      <c r="B106" s="190">
        <f t="shared" si="3"/>
        <v>35</v>
      </c>
      <c r="C106" s="3"/>
    </row>
    <row r="107" spans="1:3">
      <c r="A107" s="189">
        <f t="shared" si="2"/>
        <v>46568</v>
      </c>
      <c r="B107" s="190">
        <f t="shared" si="3"/>
        <v>35</v>
      </c>
      <c r="C107" s="3"/>
    </row>
    <row r="108" spans="1:3">
      <c r="A108" s="189">
        <f t="shared" si="2"/>
        <v>46599</v>
      </c>
      <c r="B108" s="190">
        <f t="shared" si="3"/>
        <v>36</v>
      </c>
      <c r="C108" s="3"/>
    </row>
    <row r="109" spans="1:3">
      <c r="A109" s="189">
        <f t="shared" si="2"/>
        <v>46630</v>
      </c>
      <c r="B109" s="190">
        <f t="shared" si="3"/>
        <v>36</v>
      </c>
      <c r="C109" s="3"/>
    </row>
    <row r="110" spans="1:3">
      <c r="A110" s="189">
        <f t="shared" si="2"/>
        <v>46660</v>
      </c>
      <c r="B110" s="190">
        <f t="shared" si="3"/>
        <v>36</v>
      </c>
      <c r="C110" s="3"/>
    </row>
    <row r="111" spans="1:3">
      <c r="A111" s="189">
        <f t="shared" si="2"/>
        <v>46691</v>
      </c>
      <c r="B111" s="190">
        <f t="shared" si="3"/>
        <v>37</v>
      </c>
      <c r="C111" s="3"/>
    </row>
    <row r="112" spans="1:3">
      <c r="A112" s="189">
        <f t="shared" si="2"/>
        <v>46721</v>
      </c>
      <c r="B112" s="190">
        <f t="shared" si="3"/>
        <v>37</v>
      </c>
      <c r="C112" s="3"/>
    </row>
    <row r="113" spans="1:3">
      <c r="A113" s="189">
        <f t="shared" si="2"/>
        <v>46752</v>
      </c>
      <c r="B113" s="190">
        <f t="shared" si="3"/>
        <v>37</v>
      </c>
      <c r="C113" s="3"/>
    </row>
    <row r="114" spans="1:3">
      <c r="A114" s="189">
        <f t="shared" si="2"/>
        <v>46783</v>
      </c>
      <c r="B114" s="190">
        <f t="shared" si="3"/>
        <v>38</v>
      </c>
      <c r="C114" s="3"/>
    </row>
    <row r="115" spans="1:3">
      <c r="A115" s="189">
        <f t="shared" si="2"/>
        <v>46812</v>
      </c>
      <c r="B115" s="190">
        <f t="shared" si="3"/>
        <v>38</v>
      </c>
      <c r="C115" s="3"/>
    </row>
    <row r="116" spans="1:3">
      <c r="A116" s="189">
        <f t="shared" si="2"/>
        <v>46843</v>
      </c>
      <c r="B116" s="190">
        <f t="shared" si="3"/>
        <v>38</v>
      </c>
      <c r="C116" s="3"/>
    </row>
    <row r="117" spans="1:3">
      <c r="A117" s="189">
        <f t="shared" si="2"/>
        <v>46873</v>
      </c>
      <c r="B117" s="190">
        <f t="shared" si="3"/>
        <v>39</v>
      </c>
      <c r="C117" s="3"/>
    </row>
    <row r="118" spans="1:3">
      <c r="A118" s="189">
        <f t="shared" si="2"/>
        <v>46904</v>
      </c>
      <c r="B118" s="190">
        <f t="shared" si="3"/>
        <v>39</v>
      </c>
      <c r="C118" s="3"/>
    </row>
    <row r="119" spans="1:3">
      <c r="A119" s="189">
        <f t="shared" si="2"/>
        <v>46934</v>
      </c>
      <c r="B119" s="190">
        <f t="shared" si="3"/>
        <v>39</v>
      </c>
      <c r="C119" s="3"/>
    </row>
    <row r="120" spans="1:3">
      <c r="A120" s="189">
        <f t="shared" si="2"/>
        <v>46965</v>
      </c>
      <c r="B120" s="190">
        <f t="shared" si="3"/>
        <v>40</v>
      </c>
      <c r="C120" s="3"/>
    </row>
    <row r="121" spans="1:3">
      <c r="A121" s="189">
        <f t="shared" si="2"/>
        <v>46996</v>
      </c>
      <c r="B121" s="190">
        <f t="shared" si="3"/>
        <v>40</v>
      </c>
      <c r="C121" s="3"/>
    </row>
    <row r="122" spans="1:3">
      <c r="A122" s="189">
        <f t="shared" si="2"/>
        <v>47026</v>
      </c>
      <c r="B122" s="190">
        <f t="shared" si="3"/>
        <v>40</v>
      </c>
      <c r="C122" s="3"/>
    </row>
    <row r="123" spans="1:3">
      <c r="A123" s="189">
        <f t="shared" si="2"/>
        <v>47057</v>
      </c>
      <c r="B123" s="190">
        <f t="shared" si="3"/>
        <v>41</v>
      </c>
    </row>
    <row r="124" spans="1:3">
      <c r="A124" s="189">
        <f t="shared" si="2"/>
        <v>47087</v>
      </c>
      <c r="B124" s="190">
        <f t="shared" si="3"/>
        <v>41</v>
      </c>
    </row>
    <row r="125" spans="1:3">
      <c r="A125" s="189">
        <f t="shared" si="2"/>
        <v>47118</v>
      </c>
      <c r="B125" s="190">
        <f t="shared" si="3"/>
        <v>41</v>
      </c>
    </row>
    <row r="126" spans="1:3">
      <c r="A126" s="189">
        <f t="shared" si="2"/>
        <v>47149</v>
      </c>
      <c r="B126" s="190">
        <f t="shared" si="3"/>
        <v>42</v>
      </c>
    </row>
    <row r="127" spans="1:3">
      <c r="A127" s="189">
        <f t="shared" si="2"/>
        <v>47177</v>
      </c>
      <c r="B127" s="190">
        <f t="shared" si="3"/>
        <v>42</v>
      </c>
    </row>
    <row r="128" spans="1:3">
      <c r="A128" s="189">
        <f t="shared" si="2"/>
        <v>47208</v>
      </c>
      <c r="B128" s="190">
        <f t="shared" si="3"/>
        <v>42</v>
      </c>
    </row>
    <row r="129" spans="1:2">
      <c r="A129" s="189">
        <f t="shared" si="2"/>
        <v>47238</v>
      </c>
      <c r="B129" s="190">
        <f t="shared" si="3"/>
        <v>43</v>
      </c>
    </row>
    <row r="130" spans="1:2">
      <c r="A130" s="189">
        <f t="shared" si="2"/>
        <v>47269</v>
      </c>
      <c r="B130" s="190">
        <f t="shared" si="3"/>
        <v>43</v>
      </c>
    </row>
    <row r="131" spans="1:2">
      <c r="A131" s="189">
        <f t="shared" si="2"/>
        <v>47299</v>
      </c>
      <c r="B131" s="190">
        <f t="shared" si="3"/>
        <v>43</v>
      </c>
    </row>
    <row r="132" spans="1:2">
      <c r="A132" s="189">
        <f t="shared" si="2"/>
        <v>47330</v>
      </c>
      <c r="B132" s="190">
        <f t="shared" si="3"/>
        <v>44</v>
      </c>
    </row>
    <row r="133" spans="1:2">
      <c r="A133" s="189">
        <f t="shared" ref="A133:A173" si="4">EOMONTH(A132,1)</f>
        <v>47361</v>
      </c>
      <c r="B133" s="190">
        <f t="shared" si="3"/>
        <v>44</v>
      </c>
    </row>
    <row r="134" spans="1:2">
      <c r="A134" s="189">
        <f t="shared" si="4"/>
        <v>47391</v>
      </c>
      <c r="B134" s="190">
        <f t="shared" si="3"/>
        <v>44</v>
      </c>
    </row>
    <row r="135" spans="1:2">
      <c r="A135" s="189">
        <f t="shared" si="4"/>
        <v>47422</v>
      </c>
      <c r="B135" s="190">
        <f t="shared" ref="B135:B173" si="5">B132+1</f>
        <v>45</v>
      </c>
    </row>
    <row r="136" spans="1:2">
      <c r="A136" s="189">
        <f t="shared" si="4"/>
        <v>47452</v>
      </c>
      <c r="B136" s="190">
        <f t="shared" si="5"/>
        <v>45</v>
      </c>
    </row>
    <row r="137" spans="1:2">
      <c r="A137" s="189">
        <f t="shared" si="4"/>
        <v>47483</v>
      </c>
      <c r="B137" s="190">
        <f t="shared" si="5"/>
        <v>45</v>
      </c>
    </row>
    <row r="138" spans="1:2">
      <c r="A138" s="189">
        <f t="shared" si="4"/>
        <v>47514</v>
      </c>
      <c r="B138" s="190">
        <f t="shared" si="5"/>
        <v>46</v>
      </c>
    </row>
    <row r="139" spans="1:2">
      <c r="A139" s="189">
        <f t="shared" si="4"/>
        <v>47542</v>
      </c>
      <c r="B139" s="190">
        <f t="shared" si="5"/>
        <v>46</v>
      </c>
    </row>
    <row r="140" spans="1:2">
      <c r="A140" s="189">
        <f t="shared" si="4"/>
        <v>47573</v>
      </c>
      <c r="B140" s="190">
        <f t="shared" si="5"/>
        <v>46</v>
      </c>
    </row>
    <row r="141" spans="1:2">
      <c r="A141" s="189">
        <f t="shared" si="4"/>
        <v>47603</v>
      </c>
      <c r="B141" s="190">
        <f t="shared" si="5"/>
        <v>47</v>
      </c>
    </row>
    <row r="142" spans="1:2">
      <c r="A142" s="189">
        <f t="shared" si="4"/>
        <v>47634</v>
      </c>
      <c r="B142" s="190">
        <f t="shared" si="5"/>
        <v>47</v>
      </c>
    </row>
    <row r="143" spans="1:2">
      <c r="A143" s="189">
        <f t="shared" si="4"/>
        <v>47664</v>
      </c>
      <c r="B143" s="190">
        <f t="shared" si="5"/>
        <v>47</v>
      </c>
    </row>
    <row r="144" spans="1:2">
      <c r="A144" s="189">
        <f t="shared" si="4"/>
        <v>47695</v>
      </c>
      <c r="B144" s="190">
        <f t="shared" si="5"/>
        <v>48</v>
      </c>
    </row>
    <row r="145" spans="1:2">
      <c r="A145" s="189">
        <f t="shared" si="4"/>
        <v>47726</v>
      </c>
      <c r="B145" s="190">
        <f t="shared" si="5"/>
        <v>48</v>
      </c>
    </row>
    <row r="146" spans="1:2">
      <c r="A146" s="189">
        <f t="shared" si="4"/>
        <v>47756</v>
      </c>
      <c r="B146" s="190">
        <f t="shared" si="5"/>
        <v>48</v>
      </c>
    </row>
    <row r="147" spans="1:2">
      <c r="A147" s="189">
        <f t="shared" si="4"/>
        <v>47787</v>
      </c>
      <c r="B147" s="190">
        <f t="shared" si="5"/>
        <v>49</v>
      </c>
    </row>
    <row r="148" spans="1:2">
      <c r="A148" s="189">
        <f t="shared" si="4"/>
        <v>47817</v>
      </c>
      <c r="B148" s="190">
        <f t="shared" si="5"/>
        <v>49</v>
      </c>
    </row>
    <row r="149" spans="1:2">
      <c r="A149" s="189">
        <f t="shared" si="4"/>
        <v>47848</v>
      </c>
      <c r="B149" s="190">
        <f t="shared" si="5"/>
        <v>49</v>
      </c>
    </row>
    <row r="150" spans="1:2">
      <c r="A150" s="189">
        <f t="shared" si="4"/>
        <v>47879</v>
      </c>
      <c r="B150" s="190">
        <f t="shared" si="5"/>
        <v>50</v>
      </c>
    </row>
    <row r="151" spans="1:2">
      <c r="A151" s="189">
        <f t="shared" si="4"/>
        <v>47907</v>
      </c>
      <c r="B151" s="190">
        <f t="shared" si="5"/>
        <v>50</v>
      </c>
    </row>
    <row r="152" spans="1:2">
      <c r="A152" s="189">
        <f t="shared" si="4"/>
        <v>47938</v>
      </c>
      <c r="B152" s="190">
        <f t="shared" si="5"/>
        <v>50</v>
      </c>
    </row>
    <row r="153" spans="1:2">
      <c r="A153" s="189">
        <f t="shared" si="4"/>
        <v>47968</v>
      </c>
      <c r="B153" s="190">
        <f t="shared" si="5"/>
        <v>51</v>
      </c>
    </row>
    <row r="154" spans="1:2">
      <c r="A154" s="189">
        <f t="shared" si="4"/>
        <v>47999</v>
      </c>
      <c r="B154" s="190">
        <f t="shared" si="5"/>
        <v>51</v>
      </c>
    </row>
    <row r="155" spans="1:2">
      <c r="A155" s="189">
        <f t="shared" si="4"/>
        <v>48029</v>
      </c>
      <c r="B155" s="190">
        <f t="shared" si="5"/>
        <v>51</v>
      </c>
    </row>
    <row r="156" spans="1:2">
      <c r="A156" s="189">
        <f t="shared" si="4"/>
        <v>48060</v>
      </c>
      <c r="B156" s="190">
        <f t="shared" si="5"/>
        <v>52</v>
      </c>
    </row>
    <row r="157" spans="1:2">
      <c r="A157" s="189">
        <f t="shared" si="4"/>
        <v>48091</v>
      </c>
      <c r="B157" s="190">
        <f t="shared" si="5"/>
        <v>52</v>
      </c>
    </row>
    <row r="158" spans="1:2">
      <c r="A158" s="189">
        <f t="shared" si="4"/>
        <v>48121</v>
      </c>
      <c r="B158" s="190">
        <f t="shared" si="5"/>
        <v>52</v>
      </c>
    </row>
    <row r="159" spans="1:2">
      <c r="A159" s="189">
        <f t="shared" si="4"/>
        <v>48152</v>
      </c>
      <c r="B159" s="190">
        <f t="shared" si="5"/>
        <v>53</v>
      </c>
    </row>
    <row r="160" spans="1:2">
      <c r="A160" s="189">
        <f t="shared" si="4"/>
        <v>48182</v>
      </c>
      <c r="B160" s="190">
        <f t="shared" si="5"/>
        <v>53</v>
      </c>
    </row>
    <row r="161" spans="1:2">
      <c r="A161" s="189">
        <f t="shared" si="4"/>
        <v>48213</v>
      </c>
      <c r="B161" s="190">
        <f t="shared" si="5"/>
        <v>53</v>
      </c>
    </row>
    <row r="162" spans="1:2">
      <c r="A162" s="189">
        <f t="shared" si="4"/>
        <v>48244</v>
      </c>
      <c r="B162" s="190">
        <f t="shared" si="5"/>
        <v>54</v>
      </c>
    </row>
    <row r="163" spans="1:2">
      <c r="A163" s="189">
        <f t="shared" si="4"/>
        <v>48273</v>
      </c>
      <c r="B163" s="190">
        <f t="shared" si="5"/>
        <v>54</v>
      </c>
    </row>
    <row r="164" spans="1:2">
      <c r="A164" s="189">
        <f t="shared" si="4"/>
        <v>48304</v>
      </c>
      <c r="B164" s="190">
        <f t="shared" si="5"/>
        <v>54</v>
      </c>
    </row>
    <row r="165" spans="1:2">
      <c r="A165" s="189">
        <f t="shared" si="4"/>
        <v>48334</v>
      </c>
      <c r="B165" s="190">
        <f t="shared" si="5"/>
        <v>55</v>
      </c>
    </row>
    <row r="166" spans="1:2">
      <c r="A166" s="189">
        <f t="shared" si="4"/>
        <v>48365</v>
      </c>
      <c r="B166" s="190">
        <f t="shared" si="5"/>
        <v>55</v>
      </c>
    </row>
    <row r="167" spans="1:2">
      <c r="A167" s="189">
        <f t="shared" si="4"/>
        <v>48395</v>
      </c>
      <c r="B167" s="190">
        <f t="shared" si="5"/>
        <v>55</v>
      </c>
    </row>
    <row r="168" spans="1:2">
      <c r="A168" s="189">
        <f t="shared" si="4"/>
        <v>48426</v>
      </c>
      <c r="B168" s="190">
        <f t="shared" si="5"/>
        <v>56</v>
      </c>
    </row>
    <row r="169" spans="1:2">
      <c r="A169" s="189">
        <f t="shared" si="4"/>
        <v>48457</v>
      </c>
      <c r="B169" s="190">
        <f t="shared" si="5"/>
        <v>56</v>
      </c>
    </row>
    <row r="170" spans="1:2">
      <c r="A170" s="189">
        <f t="shared" si="4"/>
        <v>48487</v>
      </c>
      <c r="B170" s="190">
        <f t="shared" si="5"/>
        <v>56</v>
      </c>
    </row>
    <row r="171" spans="1:2">
      <c r="A171" s="189">
        <f t="shared" si="4"/>
        <v>48518</v>
      </c>
      <c r="B171" s="190">
        <f t="shared" si="5"/>
        <v>57</v>
      </c>
    </row>
    <row r="172" spans="1:2">
      <c r="A172" s="189">
        <f t="shared" si="4"/>
        <v>48548</v>
      </c>
      <c r="B172" s="190">
        <f t="shared" si="5"/>
        <v>57</v>
      </c>
    </row>
    <row r="173" spans="1:2">
      <c r="A173" s="189">
        <f t="shared" si="4"/>
        <v>48579</v>
      </c>
      <c r="B173" s="190">
        <f t="shared" si="5"/>
        <v>57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C000"/>
  </sheetPr>
  <dimension ref="A2:EF145"/>
  <sheetViews>
    <sheetView showGridLines="0" workbookViewId="0">
      <pane xSplit="9" ySplit="14" topLeftCell="K15" activePane="bottomRight" state="frozen"/>
      <selection pane="topRight"/>
      <selection pane="bottomLeft"/>
      <selection pane="bottomRight" activeCell="L22" sqref="L22"/>
    </sheetView>
  </sheetViews>
  <sheetFormatPr defaultColWidth="0" defaultRowHeight="11.25" outlineLevelRow="1" outlineLevelCol="1"/>
  <cols>
    <col min="1" max="1" width="2.42578125" style="119" customWidth="1" outlineLevel="1"/>
    <col min="2" max="2" width="2.42578125" style="119" customWidth="1"/>
    <col min="3" max="3" width="29.42578125" style="119" customWidth="1"/>
    <col min="4" max="4" width="13.28515625" style="119" customWidth="1" outlineLevel="1"/>
    <col min="5" max="5" width="14" style="119" customWidth="1" outlineLevel="1"/>
    <col min="6" max="6" width="12.28515625" style="119" customWidth="1" outlineLevel="1"/>
    <col min="7" max="7" width="12.7109375" style="119" customWidth="1" outlineLevel="1"/>
    <col min="8" max="8" width="10.28515625" style="119" customWidth="1" outlineLevel="1"/>
    <col min="9" max="9" width="10.5703125" style="119" customWidth="1" outlineLevel="1"/>
    <col min="10" max="10" width="11.85546875" style="119" customWidth="1"/>
    <col min="11" max="47" width="11" style="119" customWidth="1"/>
    <col min="48" max="49" width="9.140625" style="119" customWidth="1"/>
    <col min="50" max="136" width="0" style="119" hidden="1" customWidth="1"/>
    <col min="137" max="16384" width="9.140625" style="119" hidden="1"/>
  </cols>
  <sheetData>
    <row r="2" spans="1:47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5">
        <f>I3</f>
        <v>43373</v>
      </c>
      <c r="L2" s="265">
        <f>EOMONTH(K2,1)</f>
        <v>43404</v>
      </c>
      <c r="M2" s="265">
        <f t="shared" ref="M2:AU2" si="0">EOMONTH(L2,1)</f>
        <v>43434</v>
      </c>
      <c r="N2" s="265">
        <f t="shared" si="0"/>
        <v>43465</v>
      </c>
      <c r="O2" s="265">
        <f t="shared" si="0"/>
        <v>43496</v>
      </c>
      <c r="P2" s="265">
        <f t="shared" si="0"/>
        <v>43524</v>
      </c>
      <c r="Q2" s="265">
        <f t="shared" si="0"/>
        <v>43555</v>
      </c>
      <c r="R2" s="265">
        <f t="shared" si="0"/>
        <v>43585</v>
      </c>
      <c r="S2" s="265">
        <f t="shared" si="0"/>
        <v>43616</v>
      </c>
      <c r="T2" s="265">
        <f t="shared" si="0"/>
        <v>43646</v>
      </c>
      <c r="U2" s="265">
        <f t="shared" si="0"/>
        <v>43677</v>
      </c>
      <c r="V2" s="265">
        <f t="shared" si="0"/>
        <v>43708</v>
      </c>
      <c r="W2" s="265">
        <f t="shared" si="0"/>
        <v>43738</v>
      </c>
      <c r="X2" s="265">
        <f t="shared" si="0"/>
        <v>43769</v>
      </c>
      <c r="Y2" s="265">
        <f t="shared" si="0"/>
        <v>43799</v>
      </c>
      <c r="Z2" s="265">
        <f t="shared" si="0"/>
        <v>43830</v>
      </c>
      <c r="AA2" s="265">
        <f t="shared" si="0"/>
        <v>43861</v>
      </c>
      <c r="AB2" s="265">
        <f t="shared" si="0"/>
        <v>43890</v>
      </c>
      <c r="AC2" s="265">
        <f t="shared" si="0"/>
        <v>43921</v>
      </c>
      <c r="AD2" s="265">
        <f t="shared" si="0"/>
        <v>43951</v>
      </c>
      <c r="AE2" s="265">
        <f t="shared" si="0"/>
        <v>43982</v>
      </c>
      <c r="AF2" s="265">
        <f t="shared" si="0"/>
        <v>44012</v>
      </c>
      <c r="AG2" s="265">
        <f t="shared" si="0"/>
        <v>44043</v>
      </c>
      <c r="AH2" s="265">
        <f t="shared" si="0"/>
        <v>44074</v>
      </c>
      <c r="AI2" s="265">
        <f t="shared" si="0"/>
        <v>44104</v>
      </c>
      <c r="AJ2" s="265">
        <f t="shared" si="0"/>
        <v>44135</v>
      </c>
      <c r="AK2" s="265">
        <f t="shared" si="0"/>
        <v>44165</v>
      </c>
      <c r="AL2" s="265">
        <f t="shared" si="0"/>
        <v>44196</v>
      </c>
      <c r="AM2" s="265">
        <f t="shared" si="0"/>
        <v>44227</v>
      </c>
      <c r="AN2" s="265">
        <f t="shared" si="0"/>
        <v>44255</v>
      </c>
      <c r="AO2" s="265">
        <f t="shared" si="0"/>
        <v>44286</v>
      </c>
      <c r="AP2" s="265">
        <f t="shared" si="0"/>
        <v>44316</v>
      </c>
      <c r="AQ2" s="265">
        <f t="shared" si="0"/>
        <v>44347</v>
      </c>
      <c r="AR2" s="265">
        <f t="shared" si="0"/>
        <v>44377</v>
      </c>
      <c r="AS2" s="265">
        <f t="shared" si="0"/>
        <v>44408</v>
      </c>
      <c r="AT2" s="265">
        <f t="shared" si="0"/>
        <v>44439</v>
      </c>
      <c r="AU2" s="265">
        <f t="shared" si="0"/>
        <v>44469</v>
      </c>
    </row>
    <row r="3" spans="1:47">
      <c r="A3" s="266"/>
      <c r="B3" s="266"/>
      <c r="C3" s="266"/>
      <c r="D3" s="266"/>
      <c r="E3" s="266"/>
      <c r="F3" s="266"/>
      <c r="G3" s="266"/>
      <c r="H3" s="266" t="s">
        <v>56</v>
      </c>
      <c r="I3" s="285">
        <f>'A&amp;R'!H5</f>
        <v>43373</v>
      </c>
      <c r="J3" s="266"/>
      <c r="K3" s="267">
        <f t="shared" ref="K3:AU3" si="1">YEAR(K2)</f>
        <v>2018</v>
      </c>
      <c r="L3" s="267">
        <f t="shared" si="1"/>
        <v>2018</v>
      </c>
      <c r="M3" s="267">
        <f t="shared" si="1"/>
        <v>2018</v>
      </c>
      <c r="N3" s="267">
        <f t="shared" si="1"/>
        <v>2018</v>
      </c>
      <c r="O3" s="267">
        <f t="shared" si="1"/>
        <v>2019</v>
      </c>
      <c r="P3" s="267">
        <f t="shared" si="1"/>
        <v>2019</v>
      </c>
      <c r="Q3" s="267">
        <f t="shared" si="1"/>
        <v>2019</v>
      </c>
      <c r="R3" s="267">
        <f t="shared" si="1"/>
        <v>2019</v>
      </c>
      <c r="S3" s="267">
        <f t="shared" si="1"/>
        <v>2019</v>
      </c>
      <c r="T3" s="267">
        <f t="shared" si="1"/>
        <v>2019</v>
      </c>
      <c r="U3" s="267">
        <f t="shared" si="1"/>
        <v>2019</v>
      </c>
      <c r="V3" s="267">
        <f t="shared" si="1"/>
        <v>2019</v>
      </c>
      <c r="W3" s="267">
        <f t="shared" si="1"/>
        <v>2019</v>
      </c>
      <c r="X3" s="267">
        <f t="shared" si="1"/>
        <v>2019</v>
      </c>
      <c r="Y3" s="267">
        <f t="shared" si="1"/>
        <v>2019</v>
      </c>
      <c r="Z3" s="267">
        <f t="shared" si="1"/>
        <v>2019</v>
      </c>
      <c r="AA3" s="267">
        <f t="shared" si="1"/>
        <v>2020</v>
      </c>
      <c r="AB3" s="267">
        <f t="shared" si="1"/>
        <v>2020</v>
      </c>
      <c r="AC3" s="267">
        <f t="shared" si="1"/>
        <v>2020</v>
      </c>
      <c r="AD3" s="267">
        <f t="shared" si="1"/>
        <v>2020</v>
      </c>
      <c r="AE3" s="267">
        <f t="shared" si="1"/>
        <v>2020</v>
      </c>
      <c r="AF3" s="267">
        <f t="shared" si="1"/>
        <v>2020</v>
      </c>
      <c r="AG3" s="267">
        <f t="shared" si="1"/>
        <v>2020</v>
      </c>
      <c r="AH3" s="267">
        <f t="shared" si="1"/>
        <v>2020</v>
      </c>
      <c r="AI3" s="267">
        <f t="shared" si="1"/>
        <v>2020</v>
      </c>
      <c r="AJ3" s="267">
        <f t="shared" si="1"/>
        <v>2020</v>
      </c>
      <c r="AK3" s="267">
        <f t="shared" si="1"/>
        <v>2020</v>
      </c>
      <c r="AL3" s="267">
        <f t="shared" si="1"/>
        <v>2020</v>
      </c>
      <c r="AM3" s="267">
        <f t="shared" si="1"/>
        <v>2021</v>
      </c>
      <c r="AN3" s="267">
        <f t="shared" si="1"/>
        <v>2021</v>
      </c>
      <c r="AO3" s="267">
        <f t="shared" si="1"/>
        <v>2021</v>
      </c>
      <c r="AP3" s="267">
        <f t="shared" si="1"/>
        <v>2021</v>
      </c>
      <c r="AQ3" s="267">
        <f t="shared" si="1"/>
        <v>2021</v>
      </c>
      <c r="AR3" s="267">
        <f t="shared" si="1"/>
        <v>2021</v>
      </c>
      <c r="AS3" s="267">
        <f t="shared" si="1"/>
        <v>2021</v>
      </c>
      <c r="AT3" s="267">
        <f t="shared" si="1"/>
        <v>2021</v>
      </c>
      <c r="AU3" s="267">
        <f t="shared" si="1"/>
        <v>2021</v>
      </c>
    </row>
    <row r="4" spans="1:47">
      <c r="A4" s="266"/>
      <c r="B4" s="266"/>
      <c r="C4" s="266"/>
      <c r="D4" s="266"/>
      <c r="E4" s="266"/>
      <c r="F4" s="266"/>
      <c r="G4" s="266"/>
      <c r="H4" s="266"/>
      <c r="I4" s="268">
        <f>EOMONTH(I3,0)</f>
        <v>43373</v>
      </c>
      <c r="J4" s="266"/>
      <c r="K4" s="269">
        <f t="shared" ref="K4:AU4" si="2">MONTH(K2)</f>
        <v>9</v>
      </c>
      <c r="L4" s="269">
        <f t="shared" si="2"/>
        <v>10</v>
      </c>
      <c r="M4" s="269">
        <f t="shared" si="2"/>
        <v>11</v>
      </c>
      <c r="N4" s="269">
        <f t="shared" si="2"/>
        <v>12</v>
      </c>
      <c r="O4" s="269">
        <f t="shared" si="2"/>
        <v>1</v>
      </c>
      <c r="P4" s="269">
        <f t="shared" si="2"/>
        <v>2</v>
      </c>
      <c r="Q4" s="269">
        <f t="shared" si="2"/>
        <v>3</v>
      </c>
      <c r="R4" s="269">
        <f t="shared" si="2"/>
        <v>4</v>
      </c>
      <c r="S4" s="269">
        <f t="shared" si="2"/>
        <v>5</v>
      </c>
      <c r="T4" s="269">
        <f t="shared" si="2"/>
        <v>6</v>
      </c>
      <c r="U4" s="269">
        <f t="shared" si="2"/>
        <v>7</v>
      </c>
      <c r="V4" s="269">
        <f t="shared" si="2"/>
        <v>8</v>
      </c>
      <c r="W4" s="269">
        <f t="shared" si="2"/>
        <v>9</v>
      </c>
      <c r="X4" s="269">
        <f t="shared" si="2"/>
        <v>10</v>
      </c>
      <c r="Y4" s="269">
        <f t="shared" si="2"/>
        <v>11</v>
      </c>
      <c r="Z4" s="269">
        <f t="shared" si="2"/>
        <v>12</v>
      </c>
      <c r="AA4" s="269">
        <f t="shared" si="2"/>
        <v>1</v>
      </c>
      <c r="AB4" s="269">
        <f t="shared" si="2"/>
        <v>2</v>
      </c>
      <c r="AC4" s="269">
        <f t="shared" si="2"/>
        <v>3</v>
      </c>
      <c r="AD4" s="269">
        <f t="shared" si="2"/>
        <v>4</v>
      </c>
      <c r="AE4" s="269">
        <f t="shared" si="2"/>
        <v>5</v>
      </c>
      <c r="AF4" s="269">
        <f t="shared" si="2"/>
        <v>6</v>
      </c>
      <c r="AG4" s="269">
        <f t="shared" si="2"/>
        <v>7</v>
      </c>
      <c r="AH4" s="269">
        <f t="shared" si="2"/>
        <v>8</v>
      </c>
      <c r="AI4" s="269">
        <f t="shared" si="2"/>
        <v>9</v>
      </c>
      <c r="AJ4" s="269">
        <f t="shared" si="2"/>
        <v>10</v>
      </c>
      <c r="AK4" s="269">
        <f t="shared" si="2"/>
        <v>11</v>
      </c>
      <c r="AL4" s="269">
        <f t="shared" si="2"/>
        <v>12</v>
      </c>
      <c r="AM4" s="269">
        <f t="shared" si="2"/>
        <v>1</v>
      </c>
      <c r="AN4" s="269">
        <f t="shared" si="2"/>
        <v>2</v>
      </c>
      <c r="AO4" s="269">
        <f t="shared" si="2"/>
        <v>3</v>
      </c>
      <c r="AP4" s="269">
        <f t="shared" si="2"/>
        <v>4</v>
      </c>
      <c r="AQ4" s="269">
        <f t="shared" si="2"/>
        <v>5</v>
      </c>
      <c r="AR4" s="269">
        <f t="shared" si="2"/>
        <v>6</v>
      </c>
      <c r="AS4" s="269">
        <f t="shared" si="2"/>
        <v>7</v>
      </c>
      <c r="AT4" s="269">
        <f t="shared" si="2"/>
        <v>8</v>
      </c>
      <c r="AU4" s="269">
        <f t="shared" si="2"/>
        <v>9</v>
      </c>
    </row>
    <row r="5" spans="1:47">
      <c r="A5" s="266"/>
      <c r="B5" s="266"/>
      <c r="C5" s="266"/>
      <c r="D5" s="266"/>
      <c r="E5" s="266"/>
      <c r="F5" s="266"/>
      <c r="G5" s="266"/>
      <c r="H5" s="266" t="s">
        <v>57</v>
      </c>
      <c r="I5" s="286">
        <f>'A&amp;R'!H6</f>
        <v>43373</v>
      </c>
      <c r="J5" s="266"/>
      <c r="K5" s="270">
        <v>0</v>
      </c>
      <c r="L5" s="270">
        <f t="shared" ref="L5:AU5" si="3">INT((L$8-1)/12)+1</f>
        <v>1</v>
      </c>
      <c r="M5" s="270">
        <f t="shared" si="3"/>
        <v>1</v>
      </c>
      <c r="N5" s="270">
        <f t="shared" si="3"/>
        <v>1</v>
      </c>
      <c r="O5" s="270">
        <f t="shared" si="3"/>
        <v>1</v>
      </c>
      <c r="P5" s="270">
        <f t="shared" si="3"/>
        <v>1</v>
      </c>
      <c r="Q5" s="270">
        <f t="shared" si="3"/>
        <v>1</v>
      </c>
      <c r="R5" s="270">
        <f t="shared" si="3"/>
        <v>1</v>
      </c>
      <c r="S5" s="270">
        <f t="shared" si="3"/>
        <v>1</v>
      </c>
      <c r="T5" s="270">
        <f t="shared" si="3"/>
        <v>1</v>
      </c>
      <c r="U5" s="270">
        <f t="shared" si="3"/>
        <v>1</v>
      </c>
      <c r="V5" s="270">
        <f t="shared" si="3"/>
        <v>1</v>
      </c>
      <c r="W5" s="270">
        <f t="shared" si="3"/>
        <v>1</v>
      </c>
      <c r="X5" s="270">
        <f t="shared" si="3"/>
        <v>2</v>
      </c>
      <c r="Y5" s="270">
        <f t="shared" si="3"/>
        <v>2</v>
      </c>
      <c r="Z5" s="270">
        <f t="shared" si="3"/>
        <v>2</v>
      </c>
      <c r="AA5" s="270">
        <f t="shared" si="3"/>
        <v>2</v>
      </c>
      <c r="AB5" s="270">
        <f t="shared" si="3"/>
        <v>2</v>
      </c>
      <c r="AC5" s="270">
        <f t="shared" si="3"/>
        <v>2</v>
      </c>
      <c r="AD5" s="270">
        <f t="shared" si="3"/>
        <v>2</v>
      </c>
      <c r="AE5" s="270">
        <f t="shared" si="3"/>
        <v>2</v>
      </c>
      <c r="AF5" s="270">
        <f t="shared" si="3"/>
        <v>2</v>
      </c>
      <c r="AG5" s="270">
        <f t="shared" si="3"/>
        <v>2</v>
      </c>
      <c r="AH5" s="270">
        <f t="shared" si="3"/>
        <v>2</v>
      </c>
      <c r="AI5" s="270">
        <f t="shared" si="3"/>
        <v>2</v>
      </c>
      <c r="AJ5" s="270">
        <f t="shared" si="3"/>
        <v>3</v>
      </c>
      <c r="AK5" s="270">
        <f t="shared" si="3"/>
        <v>3</v>
      </c>
      <c r="AL5" s="270">
        <f t="shared" si="3"/>
        <v>3</v>
      </c>
      <c r="AM5" s="270">
        <f t="shared" si="3"/>
        <v>3</v>
      </c>
      <c r="AN5" s="270">
        <f t="shared" si="3"/>
        <v>3</v>
      </c>
      <c r="AO5" s="270">
        <f t="shared" si="3"/>
        <v>3</v>
      </c>
      <c r="AP5" s="270">
        <f t="shared" si="3"/>
        <v>3</v>
      </c>
      <c r="AQ5" s="270">
        <f t="shared" si="3"/>
        <v>3</v>
      </c>
      <c r="AR5" s="270">
        <f t="shared" si="3"/>
        <v>3</v>
      </c>
      <c r="AS5" s="270">
        <f t="shared" si="3"/>
        <v>3</v>
      </c>
      <c r="AT5" s="270">
        <f t="shared" si="3"/>
        <v>3</v>
      </c>
      <c r="AU5" s="270">
        <f t="shared" si="3"/>
        <v>3</v>
      </c>
    </row>
    <row r="6" spans="1:47">
      <c r="A6" s="266"/>
      <c r="B6" s="266"/>
      <c r="C6" s="266"/>
      <c r="D6" s="266"/>
      <c r="E6" s="266"/>
      <c r="F6" s="266"/>
      <c r="G6" s="266"/>
      <c r="H6" s="266" t="s">
        <v>58</v>
      </c>
      <c r="I6" s="286">
        <f>'A&amp;R'!$H$8</f>
        <v>44469</v>
      </c>
      <c r="J6" s="266"/>
      <c r="K6" s="271">
        <v>0</v>
      </c>
      <c r="L6" s="271">
        <f t="shared" ref="L6:AU6" si="4">INT((L$8-1)/6)+1</f>
        <v>1</v>
      </c>
      <c r="M6" s="271">
        <f t="shared" si="4"/>
        <v>1</v>
      </c>
      <c r="N6" s="271">
        <f t="shared" si="4"/>
        <v>1</v>
      </c>
      <c r="O6" s="271">
        <f t="shared" si="4"/>
        <v>1</v>
      </c>
      <c r="P6" s="271">
        <f t="shared" si="4"/>
        <v>1</v>
      </c>
      <c r="Q6" s="271">
        <f t="shared" si="4"/>
        <v>1</v>
      </c>
      <c r="R6" s="271">
        <f t="shared" si="4"/>
        <v>2</v>
      </c>
      <c r="S6" s="271">
        <f t="shared" si="4"/>
        <v>2</v>
      </c>
      <c r="T6" s="271">
        <f t="shared" si="4"/>
        <v>2</v>
      </c>
      <c r="U6" s="271">
        <f t="shared" si="4"/>
        <v>2</v>
      </c>
      <c r="V6" s="271">
        <f t="shared" si="4"/>
        <v>2</v>
      </c>
      <c r="W6" s="271">
        <f t="shared" si="4"/>
        <v>2</v>
      </c>
      <c r="X6" s="271">
        <f t="shared" si="4"/>
        <v>3</v>
      </c>
      <c r="Y6" s="271">
        <f t="shared" si="4"/>
        <v>3</v>
      </c>
      <c r="Z6" s="271">
        <f t="shared" si="4"/>
        <v>3</v>
      </c>
      <c r="AA6" s="271">
        <f t="shared" si="4"/>
        <v>3</v>
      </c>
      <c r="AB6" s="271">
        <f t="shared" si="4"/>
        <v>3</v>
      </c>
      <c r="AC6" s="271">
        <f t="shared" si="4"/>
        <v>3</v>
      </c>
      <c r="AD6" s="271">
        <f t="shared" si="4"/>
        <v>4</v>
      </c>
      <c r="AE6" s="271">
        <f t="shared" si="4"/>
        <v>4</v>
      </c>
      <c r="AF6" s="271">
        <f t="shared" si="4"/>
        <v>4</v>
      </c>
      <c r="AG6" s="271">
        <f t="shared" si="4"/>
        <v>4</v>
      </c>
      <c r="AH6" s="271">
        <f t="shared" si="4"/>
        <v>4</v>
      </c>
      <c r="AI6" s="271">
        <f t="shared" si="4"/>
        <v>4</v>
      </c>
      <c r="AJ6" s="271">
        <f t="shared" si="4"/>
        <v>5</v>
      </c>
      <c r="AK6" s="271">
        <f t="shared" si="4"/>
        <v>5</v>
      </c>
      <c r="AL6" s="271">
        <f t="shared" si="4"/>
        <v>5</v>
      </c>
      <c r="AM6" s="271">
        <f t="shared" si="4"/>
        <v>5</v>
      </c>
      <c r="AN6" s="271">
        <f t="shared" si="4"/>
        <v>5</v>
      </c>
      <c r="AO6" s="271">
        <f t="shared" si="4"/>
        <v>5</v>
      </c>
      <c r="AP6" s="271">
        <f t="shared" si="4"/>
        <v>6</v>
      </c>
      <c r="AQ6" s="271">
        <f t="shared" si="4"/>
        <v>6</v>
      </c>
      <c r="AR6" s="271">
        <f t="shared" si="4"/>
        <v>6</v>
      </c>
      <c r="AS6" s="271">
        <f t="shared" si="4"/>
        <v>6</v>
      </c>
      <c r="AT6" s="271">
        <f t="shared" si="4"/>
        <v>6</v>
      </c>
      <c r="AU6" s="271">
        <f t="shared" si="4"/>
        <v>6</v>
      </c>
    </row>
    <row r="7" spans="1:47">
      <c r="A7" s="266"/>
      <c r="B7" s="266"/>
      <c r="C7" s="266"/>
      <c r="D7" s="266"/>
      <c r="E7" s="266"/>
      <c r="F7" s="266"/>
      <c r="G7" s="266"/>
      <c r="H7" s="266" t="s">
        <v>59</v>
      </c>
      <c r="I7" s="286">
        <f>'A&amp;R'!H33</f>
        <v>44469</v>
      </c>
      <c r="J7" s="266"/>
      <c r="K7" s="272">
        <v>0</v>
      </c>
      <c r="L7" s="272">
        <f t="shared" ref="L7:AU7" si="5">INT((L$8-1)/3)+1</f>
        <v>1</v>
      </c>
      <c r="M7" s="272">
        <f t="shared" si="5"/>
        <v>1</v>
      </c>
      <c r="N7" s="272">
        <f t="shared" si="5"/>
        <v>1</v>
      </c>
      <c r="O7" s="272">
        <f t="shared" si="5"/>
        <v>2</v>
      </c>
      <c r="P7" s="272">
        <f t="shared" si="5"/>
        <v>2</v>
      </c>
      <c r="Q7" s="272">
        <f t="shared" si="5"/>
        <v>2</v>
      </c>
      <c r="R7" s="272">
        <f t="shared" si="5"/>
        <v>3</v>
      </c>
      <c r="S7" s="272">
        <f t="shared" si="5"/>
        <v>3</v>
      </c>
      <c r="T7" s="272">
        <f t="shared" si="5"/>
        <v>3</v>
      </c>
      <c r="U7" s="272">
        <f t="shared" si="5"/>
        <v>4</v>
      </c>
      <c r="V7" s="272">
        <f t="shared" si="5"/>
        <v>4</v>
      </c>
      <c r="W7" s="272">
        <f t="shared" si="5"/>
        <v>4</v>
      </c>
      <c r="X7" s="272">
        <f t="shared" si="5"/>
        <v>5</v>
      </c>
      <c r="Y7" s="272">
        <f t="shared" si="5"/>
        <v>5</v>
      </c>
      <c r="Z7" s="272">
        <f t="shared" si="5"/>
        <v>5</v>
      </c>
      <c r="AA7" s="272">
        <f t="shared" si="5"/>
        <v>6</v>
      </c>
      <c r="AB7" s="272">
        <f t="shared" si="5"/>
        <v>6</v>
      </c>
      <c r="AC7" s="272">
        <f t="shared" si="5"/>
        <v>6</v>
      </c>
      <c r="AD7" s="272">
        <f t="shared" si="5"/>
        <v>7</v>
      </c>
      <c r="AE7" s="272">
        <f t="shared" si="5"/>
        <v>7</v>
      </c>
      <c r="AF7" s="272">
        <f t="shared" si="5"/>
        <v>7</v>
      </c>
      <c r="AG7" s="272">
        <f t="shared" si="5"/>
        <v>8</v>
      </c>
      <c r="AH7" s="272">
        <f t="shared" si="5"/>
        <v>8</v>
      </c>
      <c r="AI7" s="272">
        <f t="shared" si="5"/>
        <v>8</v>
      </c>
      <c r="AJ7" s="272">
        <f t="shared" si="5"/>
        <v>9</v>
      </c>
      <c r="AK7" s="272">
        <f t="shared" si="5"/>
        <v>9</v>
      </c>
      <c r="AL7" s="272">
        <f t="shared" si="5"/>
        <v>9</v>
      </c>
      <c r="AM7" s="272">
        <f t="shared" si="5"/>
        <v>10</v>
      </c>
      <c r="AN7" s="272">
        <f t="shared" si="5"/>
        <v>10</v>
      </c>
      <c r="AO7" s="272">
        <f t="shared" si="5"/>
        <v>10</v>
      </c>
      <c r="AP7" s="272">
        <f t="shared" si="5"/>
        <v>11</v>
      </c>
      <c r="AQ7" s="272">
        <f t="shared" si="5"/>
        <v>11</v>
      </c>
      <c r="AR7" s="272">
        <f t="shared" si="5"/>
        <v>11</v>
      </c>
      <c r="AS7" s="272">
        <f t="shared" si="5"/>
        <v>12</v>
      </c>
      <c r="AT7" s="272">
        <f t="shared" si="5"/>
        <v>12</v>
      </c>
      <c r="AU7" s="272">
        <f t="shared" si="5"/>
        <v>12</v>
      </c>
    </row>
    <row r="8" spans="1:47">
      <c r="A8" s="273"/>
      <c r="B8" s="273"/>
      <c r="C8" s="273"/>
      <c r="D8" s="273"/>
      <c r="E8" s="273"/>
      <c r="F8" s="273"/>
      <c r="G8" s="273"/>
      <c r="H8" s="273"/>
      <c r="I8" s="273"/>
      <c r="J8" s="273" t="s">
        <v>60</v>
      </c>
      <c r="K8" s="274">
        <v>0</v>
      </c>
      <c r="L8" s="274">
        <f>K8+1</f>
        <v>1</v>
      </c>
      <c r="M8" s="274">
        <f t="shared" ref="M8:AU8" si="6">L8+1</f>
        <v>2</v>
      </c>
      <c r="N8" s="274">
        <f t="shared" si="6"/>
        <v>3</v>
      </c>
      <c r="O8" s="274">
        <f t="shared" si="6"/>
        <v>4</v>
      </c>
      <c r="P8" s="274">
        <f t="shared" si="6"/>
        <v>5</v>
      </c>
      <c r="Q8" s="274">
        <f t="shared" si="6"/>
        <v>6</v>
      </c>
      <c r="R8" s="274">
        <f t="shared" si="6"/>
        <v>7</v>
      </c>
      <c r="S8" s="274">
        <f t="shared" si="6"/>
        <v>8</v>
      </c>
      <c r="T8" s="274">
        <f t="shared" si="6"/>
        <v>9</v>
      </c>
      <c r="U8" s="274">
        <f t="shared" si="6"/>
        <v>10</v>
      </c>
      <c r="V8" s="274">
        <f t="shared" si="6"/>
        <v>11</v>
      </c>
      <c r="W8" s="274">
        <f t="shared" si="6"/>
        <v>12</v>
      </c>
      <c r="X8" s="274">
        <f t="shared" si="6"/>
        <v>13</v>
      </c>
      <c r="Y8" s="274">
        <f t="shared" si="6"/>
        <v>14</v>
      </c>
      <c r="Z8" s="274">
        <f t="shared" si="6"/>
        <v>15</v>
      </c>
      <c r="AA8" s="274">
        <f t="shared" si="6"/>
        <v>16</v>
      </c>
      <c r="AB8" s="274">
        <f t="shared" si="6"/>
        <v>17</v>
      </c>
      <c r="AC8" s="274">
        <f t="shared" si="6"/>
        <v>18</v>
      </c>
      <c r="AD8" s="274">
        <f t="shared" si="6"/>
        <v>19</v>
      </c>
      <c r="AE8" s="274">
        <f t="shared" si="6"/>
        <v>20</v>
      </c>
      <c r="AF8" s="274">
        <f t="shared" si="6"/>
        <v>21</v>
      </c>
      <c r="AG8" s="274">
        <f t="shared" si="6"/>
        <v>22</v>
      </c>
      <c r="AH8" s="274">
        <f t="shared" si="6"/>
        <v>23</v>
      </c>
      <c r="AI8" s="274">
        <f t="shared" si="6"/>
        <v>24</v>
      </c>
      <c r="AJ8" s="274">
        <f t="shared" si="6"/>
        <v>25</v>
      </c>
      <c r="AK8" s="274">
        <f t="shared" si="6"/>
        <v>26</v>
      </c>
      <c r="AL8" s="274">
        <f t="shared" si="6"/>
        <v>27</v>
      </c>
      <c r="AM8" s="274">
        <f t="shared" si="6"/>
        <v>28</v>
      </c>
      <c r="AN8" s="274">
        <f t="shared" si="6"/>
        <v>29</v>
      </c>
      <c r="AO8" s="274">
        <f t="shared" si="6"/>
        <v>30</v>
      </c>
      <c r="AP8" s="274">
        <f t="shared" si="6"/>
        <v>31</v>
      </c>
      <c r="AQ8" s="274">
        <f t="shared" si="6"/>
        <v>32</v>
      </c>
      <c r="AR8" s="274">
        <f t="shared" si="6"/>
        <v>33</v>
      </c>
      <c r="AS8" s="274">
        <f t="shared" si="6"/>
        <v>34</v>
      </c>
      <c r="AT8" s="274">
        <f t="shared" si="6"/>
        <v>35</v>
      </c>
      <c r="AU8" s="274">
        <f t="shared" si="6"/>
        <v>36</v>
      </c>
    </row>
    <row r="9" spans="1:47">
      <c r="A9" s="275"/>
      <c r="B9" s="275"/>
      <c r="C9" s="275"/>
      <c r="D9" s="275"/>
      <c r="E9" s="275"/>
      <c r="F9" s="275"/>
      <c r="G9" s="275"/>
      <c r="H9" s="275"/>
      <c r="I9" s="275"/>
      <c r="J9" s="276" t="s">
        <v>61</v>
      </c>
      <c r="K9" s="277" t="b">
        <f>$I$6&gt;=K$14</f>
        <v>1</v>
      </c>
      <c r="L9" s="277" t="b">
        <f t="shared" ref="L9:AU9" si="7">$I$6&gt;=L$14</f>
        <v>1</v>
      </c>
      <c r="M9" s="277" t="b">
        <f t="shared" si="7"/>
        <v>1</v>
      </c>
      <c r="N9" s="277" t="b">
        <f t="shared" si="7"/>
        <v>1</v>
      </c>
      <c r="O9" s="277" t="b">
        <f t="shared" si="7"/>
        <v>1</v>
      </c>
      <c r="P9" s="277" t="b">
        <f t="shared" si="7"/>
        <v>1</v>
      </c>
      <c r="Q9" s="277" t="b">
        <f t="shared" si="7"/>
        <v>1</v>
      </c>
      <c r="R9" s="277" t="b">
        <f t="shared" si="7"/>
        <v>1</v>
      </c>
      <c r="S9" s="277" t="b">
        <f t="shared" si="7"/>
        <v>1</v>
      </c>
      <c r="T9" s="277" t="b">
        <f t="shared" si="7"/>
        <v>1</v>
      </c>
      <c r="U9" s="277" t="b">
        <f t="shared" si="7"/>
        <v>1</v>
      </c>
      <c r="V9" s="277" t="b">
        <f t="shared" si="7"/>
        <v>1</v>
      </c>
      <c r="W9" s="277" t="b">
        <f t="shared" si="7"/>
        <v>1</v>
      </c>
      <c r="X9" s="277" t="b">
        <f t="shared" si="7"/>
        <v>1</v>
      </c>
      <c r="Y9" s="277" t="b">
        <f t="shared" si="7"/>
        <v>1</v>
      </c>
      <c r="Z9" s="277" t="b">
        <f t="shared" si="7"/>
        <v>1</v>
      </c>
      <c r="AA9" s="277" t="b">
        <f t="shared" si="7"/>
        <v>1</v>
      </c>
      <c r="AB9" s="277" t="b">
        <f t="shared" si="7"/>
        <v>1</v>
      </c>
      <c r="AC9" s="277" t="b">
        <f t="shared" si="7"/>
        <v>1</v>
      </c>
      <c r="AD9" s="277" t="b">
        <f t="shared" si="7"/>
        <v>1</v>
      </c>
      <c r="AE9" s="277" t="b">
        <f t="shared" si="7"/>
        <v>1</v>
      </c>
      <c r="AF9" s="277" t="b">
        <f t="shared" si="7"/>
        <v>1</v>
      </c>
      <c r="AG9" s="277" t="b">
        <f t="shared" si="7"/>
        <v>1</v>
      </c>
      <c r="AH9" s="277" t="b">
        <f t="shared" si="7"/>
        <v>1</v>
      </c>
      <c r="AI9" s="277" t="b">
        <f t="shared" si="7"/>
        <v>1</v>
      </c>
      <c r="AJ9" s="277" t="b">
        <f t="shared" si="7"/>
        <v>1</v>
      </c>
      <c r="AK9" s="277" t="b">
        <f t="shared" si="7"/>
        <v>1</v>
      </c>
      <c r="AL9" s="277" t="b">
        <f t="shared" si="7"/>
        <v>1</v>
      </c>
      <c r="AM9" s="277" t="b">
        <f t="shared" si="7"/>
        <v>1</v>
      </c>
      <c r="AN9" s="277" t="b">
        <f t="shared" si="7"/>
        <v>1</v>
      </c>
      <c r="AO9" s="277" t="b">
        <f t="shared" si="7"/>
        <v>1</v>
      </c>
      <c r="AP9" s="277" t="b">
        <f t="shared" si="7"/>
        <v>1</v>
      </c>
      <c r="AQ9" s="277" t="b">
        <f t="shared" si="7"/>
        <v>1</v>
      </c>
      <c r="AR9" s="277" t="b">
        <f t="shared" si="7"/>
        <v>1</v>
      </c>
      <c r="AS9" s="277" t="b">
        <f t="shared" si="7"/>
        <v>1</v>
      </c>
      <c r="AT9" s="277" t="b">
        <f t="shared" si="7"/>
        <v>1</v>
      </c>
      <c r="AU9" s="277" t="b">
        <f t="shared" si="7"/>
        <v>1</v>
      </c>
    </row>
    <row r="10" spans="1:47">
      <c r="A10" s="275"/>
      <c r="B10" s="275"/>
      <c r="C10" s="275"/>
      <c r="D10" s="275"/>
      <c r="E10" s="275"/>
      <c r="F10" s="275"/>
      <c r="G10" s="275"/>
      <c r="H10" s="275"/>
      <c r="I10" s="275"/>
      <c r="J10" s="276" t="s">
        <v>117</v>
      </c>
      <c r="K10" s="278">
        <f>INT((K11-1)/4)+1</f>
        <v>0</v>
      </c>
      <c r="L10" s="278">
        <f>INT((L11-1)/4)+1</f>
        <v>1</v>
      </c>
      <c r="M10" s="278">
        <f t="shared" ref="M10:AA10" si="8">INT((M11-1)/4)+1</f>
        <v>1</v>
      </c>
      <c r="N10" s="278">
        <f t="shared" si="8"/>
        <v>1</v>
      </c>
      <c r="O10" s="278">
        <f t="shared" si="8"/>
        <v>1</v>
      </c>
      <c r="P10" s="278">
        <f t="shared" si="8"/>
        <v>1</v>
      </c>
      <c r="Q10" s="278">
        <f t="shared" si="8"/>
        <v>1</v>
      </c>
      <c r="R10" s="278">
        <f t="shared" si="8"/>
        <v>1</v>
      </c>
      <c r="S10" s="278">
        <f t="shared" si="8"/>
        <v>1</v>
      </c>
      <c r="T10" s="278">
        <f t="shared" si="8"/>
        <v>1</v>
      </c>
      <c r="U10" s="278">
        <f t="shared" si="8"/>
        <v>1</v>
      </c>
      <c r="V10" s="278">
        <f t="shared" si="8"/>
        <v>1</v>
      </c>
      <c r="W10" s="278">
        <f t="shared" si="8"/>
        <v>1</v>
      </c>
      <c r="X10" s="278">
        <f t="shared" si="8"/>
        <v>2</v>
      </c>
      <c r="Y10" s="278">
        <f t="shared" si="8"/>
        <v>2</v>
      </c>
      <c r="Z10" s="278">
        <f t="shared" si="8"/>
        <v>2</v>
      </c>
      <c r="AA10" s="278">
        <f t="shared" si="8"/>
        <v>2</v>
      </c>
      <c r="AB10" s="278">
        <f t="shared" ref="AB10" si="9">INT((AB11-1)/4)+1</f>
        <v>2</v>
      </c>
      <c r="AC10" s="278">
        <f t="shared" ref="AC10" si="10">INT((AC11-1)/4)+1</f>
        <v>2</v>
      </c>
      <c r="AD10" s="278">
        <f t="shared" ref="AD10" si="11">INT((AD11-1)/4)+1</f>
        <v>2</v>
      </c>
      <c r="AE10" s="278">
        <f t="shared" ref="AE10" si="12">INT((AE11-1)/4)+1</f>
        <v>2</v>
      </c>
      <c r="AF10" s="278">
        <f t="shared" ref="AF10" si="13">INT((AF11-1)/4)+1</f>
        <v>2</v>
      </c>
      <c r="AG10" s="278">
        <f t="shared" ref="AG10" si="14">INT((AG11-1)/4)+1</f>
        <v>2</v>
      </c>
      <c r="AH10" s="278">
        <f t="shared" ref="AH10" si="15">INT((AH11-1)/4)+1</f>
        <v>2</v>
      </c>
      <c r="AI10" s="278">
        <f t="shared" ref="AI10" si="16">INT((AI11-1)/4)+1</f>
        <v>2</v>
      </c>
      <c r="AJ10" s="278">
        <f t="shared" ref="AJ10" si="17">INT((AJ11-1)/4)+1</f>
        <v>3</v>
      </c>
      <c r="AK10" s="278">
        <f t="shared" ref="AK10" si="18">INT((AK11-1)/4)+1</f>
        <v>3</v>
      </c>
      <c r="AL10" s="278">
        <f t="shared" ref="AL10" si="19">INT((AL11-1)/4)+1</f>
        <v>3</v>
      </c>
      <c r="AM10" s="278">
        <f t="shared" ref="AM10" si="20">INT((AM11-1)/4)+1</f>
        <v>3</v>
      </c>
      <c r="AN10" s="278">
        <f t="shared" ref="AN10" si="21">INT((AN11-1)/4)+1</f>
        <v>3</v>
      </c>
      <c r="AO10" s="278">
        <f t="shared" ref="AO10" si="22">INT((AO11-1)/4)+1</f>
        <v>3</v>
      </c>
      <c r="AP10" s="278">
        <f t="shared" ref="AP10" si="23">INT((AP11-1)/4)+1</f>
        <v>3</v>
      </c>
      <c r="AQ10" s="278">
        <f t="shared" ref="AQ10" si="24">INT((AQ11-1)/4)+1</f>
        <v>3</v>
      </c>
      <c r="AR10" s="278">
        <f t="shared" ref="AR10" si="25">INT((AR11-1)/4)+1</f>
        <v>3</v>
      </c>
      <c r="AS10" s="278">
        <f t="shared" ref="AS10" si="26">INT((AS11-1)/4)+1</f>
        <v>3</v>
      </c>
      <c r="AT10" s="278">
        <f t="shared" ref="AT10" si="27">INT((AT11-1)/4)+1</f>
        <v>3</v>
      </c>
      <c r="AU10" s="278">
        <f t="shared" ref="AU10" si="28">INT((AU11-1)/4)+1</f>
        <v>3</v>
      </c>
    </row>
    <row r="11" spans="1:47">
      <c r="A11" s="275"/>
      <c r="B11" s="275"/>
      <c r="C11" s="275"/>
      <c r="D11" s="275"/>
      <c r="E11" s="275"/>
      <c r="F11" s="275"/>
      <c r="G11" s="275"/>
      <c r="H11" s="275"/>
      <c r="I11" s="279" t="s">
        <v>118</v>
      </c>
      <c r="J11" s="276" t="s">
        <v>114</v>
      </c>
      <c r="K11" s="280">
        <f>VLOOKUP(K2,preiod!$A:$B,2,FALSE)</f>
        <v>0</v>
      </c>
      <c r="L11" s="280">
        <f>VLOOKUP(L2,preiod!$A:$B,2,FALSE)</f>
        <v>1</v>
      </c>
      <c r="M11" s="280">
        <f>VLOOKUP(M2,preiod!$A:$B,2,FALSE)</f>
        <v>1</v>
      </c>
      <c r="N11" s="280">
        <f>VLOOKUP(N2,preiod!$A:$B,2,FALSE)</f>
        <v>1</v>
      </c>
      <c r="O11" s="280">
        <f>VLOOKUP(O2,preiod!$A:$B,2,FALSE)</f>
        <v>2</v>
      </c>
      <c r="P11" s="280">
        <f>VLOOKUP(P2,preiod!$A:$B,2,FALSE)</f>
        <v>2</v>
      </c>
      <c r="Q11" s="280">
        <f>VLOOKUP(Q2,preiod!$A:$B,2,FALSE)</f>
        <v>2</v>
      </c>
      <c r="R11" s="280">
        <f>VLOOKUP(R2,preiod!$A:$B,2,FALSE)</f>
        <v>3</v>
      </c>
      <c r="S11" s="280">
        <f>VLOOKUP(S2,preiod!$A:$B,2,FALSE)</f>
        <v>3</v>
      </c>
      <c r="T11" s="280">
        <f>VLOOKUP(T2,preiod!$A:$B,2,FALSE)</f>
        <v>3</v>
      </c>
      <c r="U11" s="280">
        <f>VLOOKUP(U2,preiod!$A:$B,2,FALSE)</f>
        <v>4</v>
      </c>
      <c r="V11" s="280">
        <f>VLOOKUP(V2,preiod!$A:$B,2,FALSE)</f>
        <v>4</v>
      </c>
      <c r="W11" s="280">
        <f>VLOOKUP(W2,preiod!$A:$B,2,FALSE)</f>
        <v>4</v>
      </c>
      <c r="X11" s="280">
        <f>VLOOKUP(X2,preiod!$A:$B,2,FALSE)</f>
        <v>5</v>
      </c>
      <c r="Y11" s="280">
        <f>VLOOKUP(Y2,preiod!$A:$B,2,FALSE)</f>
        <v>5</v>
      </c>
      <c r="Z11" s="280">
        <f>VLOOKUP(Z2,preiod!$A:$B,2,FALSE)</f>
        <v>5</v>
      </c>
      <c r="AA11" s="280">
        <f>VLOOKUP(AA2,preiod!$A:$B,2,FALSE)</f>
        <v>6</v>
      </c>
      <c r="AB11" s="280">
        <f>VLOOKUP(AB2,preiod!$A:$B,2,FALSE)</f>
        <v>6</v>
      </c>
      <c r="AC11" s="280">
        <f>VLOOKUP(AC2,preiod!$A:$B,2,FALSE)</f>
        <v>6</v>
      </c>
      <c r="AD11" s="280">
        <f>VLOOKUP(AD2,preiod!$A:$B,2,FALSE)</f>
        <v>7</v>
      </c>
      <c r="AE11" s="280">
        <f>VLOOKUP(AE2,preiod!$A:$B,2,FALSE)</f>
        <v>7</v>
      </c>
      <c r="AF11" s="280">
        <f>VLOOKUP(AF2,preiod!$A:$B,2,FALSE)</f>
        <v>7</v>
      </c>
      <c r="AG11" s="280">
        <f>VLOOKUP(AG2,preiod!$A:$B,2,FALSE)</f>
        <v>8</v>
      </c>
      <c r="AH11" s="280">
        <f>VLOOKUP(AH2,preiod!$A:$B,2,FALSE)</f>
        <v>8</v>
      </c>
      <c r="AI11" s="280">
        <f>VLOOKUP(AI2,preiod!$A:$B,2,FALSE)</f>
        <v>8</v>
      </c>
      <c r="AJ11" s="280">
        <f>VLOOKUP(AJ2,preiod!$A:$B,2,FALSE)</f>
        <v>9</v>
      </c>
      <c r="AK11" s="280">
        <f>VLOOKUP(AK2,preiod!$A:$B,2,FALSE)</f>
        <v>9</v>
      </c>
      <c r="AL11" s="280">
        <f>VLOOKUP(AL2,preiod!$A:$B,2,FALSE)</f>
        <v>9</v>
      </c>
      <c r="AM11" s="280">
        <f>VLOOKUP(AM2,preiod!$A:$B,2,FALSE)</f>
        <v>10</v>
      </c>
      <c r="AN11" s="280">
        <f>VLOOKUP(AN2,preiod!$A:$B,2,FALSE)</f>
        <v>10</v>
      </c>
      <c r="AO11" s="280">
        <f>VLOOKUP(AO2,preiod!$A:$B,2,FALSE)</f>
        <v>10</v>
      </c>
      <c r="AP11" s="280">
        <f>VLOOKUP(AP2,preiod!$A:$B,2,FALSE)</f>
        <v>11</v>
      </c>
      <c r="AQ11" s="280">
        <f>VLOOKUP(AQ2,preiod!$A:$B,2,FALSE)</f>
        <v>11</v>
      </c>
      <c r="AR11" s="280">
        <f>VLOOKUP(AR2,preiod!$A:$B,2,FALSE)</f>
        <v>11</v>
      </c>
      <c r="AS11" s="280">
        <f>VLOOKUP(AS2,preiod!$A:$B,2,FALSE)</f>
        <v>12</v>
      </c>
      <c r="AT11" s="280">
        <f>VLOOKUP(AT2,preiod!$A:$B,2,FALSE)</f>
        <v>12</v>
      </c>
      <c r="AU11" s="280">
        <f>VLOOKUP(AU2,preiod!$A:$B,2,FALSE)</f>
        <v>12</v>
      </c>
    </row>
    <row r="12" spans="1:47">
      <c r="A12" s="275"/>
      <c r="B12" s="275"/>
      <c r="C12" s="275"/>
      <c r="D12" s="275"/>
      <c r="E12" s="275"/>
      <c r="F12" s="275"/>
      <c r="G12" s="275"/>
      <c r="H12" s="276" t="s">
        <v>62</v>
      </c>
      <c r="I12" s="287">
        <f>IF('A&amp;R'!H34=31,0,'A&amp;R'!H34)</f>
        <v>30</v>
      </c>
      <c r="J12" s="276" t="s">
        <v>281</v>
      </c>
      <c r="K12" s="281">
        <f>I5</f>
        <v>43373</v>
      </c>
      <c r="L12" s="281">
        <f t="shared" ref="L12" si="29">L2</f>
        <v>43404</v>
      </c>
      <c r="M12" s="281">
        <f t="shared" ref="M12:AU12" si="30">M2</f>
        <v>43434</v>
      </c>
      <c r="N12" s="281">
        <f t="shared" si="30"/>
        <v>43465</v>
      </c>
      <c r="O12" s="281">
        <f t="shared" si="30"/>
        <v>43496</v>
      </c>
      <c r="P12" s="281">
        <f t="shared" si="30"/>
        <v>43524</v>
      </c>
      <c r="Q12" s="281">
        <f t="shared" si="30"/>
        <v>43555</v>
      </c>
      <c r="R12" s="281">
        <f t="shared" si="30"/>
        <v>43585</v>
      </c>
      <c r="S12" s="281">
        <f t="shared" si="30"/>
        <v>43616</v>
      </c>
      <c r="T12" s="281">
        <f t="shared" si="30"/>
        <v>43646</v>
      </c>
      <c r="U12" s="281">
        <f t="shared" si="30"/>
        <v>43677</v>
      </c>
      <c r="V12" s="281">
        <f t="shared" si="30"/>
        <v>43708</v>
      </c>
      <c r="W12" s="281">
        <f t="shared" si="30"/>
        <v>43738</v>
      </c>
      <c r="X12" s="281">
        <f t="shared" si="30"/>
        <v>43769</v>
      </c>
      <c r="Y12" s="281">
        <f t="shared" si="30"/>
        <v>43799</v>
      </c>
      <c r="Z12" s="281">
        <f t="shared" si="30"/>
        <v>43830</v>
      </c>
      <c r="AA12" s="281">
        <f t="shared" si="30"/>
        <v>43861</v>
      </c>
      <c r="AB12" s="281">
        <f t="shared" si="30"/>
        <v>43890</v>
      </c>
      <c r="AC12" s="281">
        <f t="shared" si="30"/>
        <v>43921</v>
      </c>
      <c r="AD12" s="281">
        <f t="shared" si="30"/>
        <v>43951</v>
      </c>
      <c r="AE12" s="281">
        <f t="shared" si="30"/>
        <v>43982</v>
      </c>
      <c r="AF12" s="281">
        <f t="shared" si="30"/>
        <v>44012</v>
      </c>
      <c r="AG12" s="281">
        <f t="shared" si="30"/>
        <v>44043</v>
      </c>
      <c r="AH12" s="281">
        <f t="shared" si="30"/>
        <v>44074</v>
      </c>
      <c r="AI12" s="281">
        <f t="shared" si="30"/>
        <v>44104</v>
      </c>
      <c r="AJ12" s="281">
        <f t="shared" si="30"/>
        <v>44135</v>
      </c>
      <c r="AK12" s="281">
        <f t="shared" si="30"/>
        <v>44165</v>
      </c>
      <c r="AL12" s="281">
        <f t="shared" si="30"/>
        <v>44196</v>
      </c>
      <c r="AM12" s="281">
        <f t="shared" si="30"/>
        <v>44227</v>
      </c>
      <c r="AN12" s="281">
        <f t="shared" si="30"/>
        <v>44255</v>
      </c>
      <c r="AO12" s="281">
        <f t="shared" si="30"/>
        <v>44286</v>
      </c>
      <c r="AP12" s="281">
        <f t="shared" si="30"/>
        <v>44316</v>
      </c>
      <c r="AQ12" s="281">
        <f t="shared" si="30"/>
        <v>44347</v>
      </c>
      <c r="AR12" s="281">
        <f t="shared" si="30"/>
        <v>44377</v>
      </c>
      <c r="AS12" s="281">
        <f t="shared" si="30"/>
        <v>44408</v>
      </c>
      <c r="AT12" s="281">
        <f t="shared" si="30"/>
        <v>44439</v>
      </c>
      <c r="AU12" s="281">
        <f t="shared" si="30"/>
        <v>44469</v>
      </c>
    </row>
    <row r="13" spans="1:47">
      <c r="A13" s="275"/>
      <c r="B13" s="275"/>
      <c r="C13" s="275"/>
      <c r="D13" s="275"/>
      <c r="E13" s="275"/>
      <c r="F13" s="275"/>
      <c r="G13" s="275"/>
      <c r="H13" s="276" t="s">
        <v>63</v>
      </c>
      <c r="I13" s="287">
        <f>I12</f>
        <v>30</v>
      </c>
      <c r="J13" s="276" t="s">
        <v>282</v>
      </c>
      <c r="K13" s="281">
        <f>K12</f>
        <v>43373</v>
      </c>
      <c r="L13" s="281">
        <f t="shared" ref="L13" si="31">L12</f>
        <v>43404</v>
      </c>
      <c r="M13" s="281">
        <f t="shared" ref="M13" si="32">M12</f>
        <v>43434</v>
      </c>
      <c r="N13" s="281">
        <f t="shared" ref="N13" si="33">N12</f>
        <v>43465</v>
      </c>
      <c r="O13" s="281">
        <f t="shared" ref="O13" si="34">O12</f>
        <v>43496</v>
      </c>
      <c r="P13" s="281">
        <f t="shared" ref="P13" si="35">P12</f>
        <v>43524</v>
      </c>
      <c r="Q13" s="281">
        <f t="shared" ref="Q13" si="36">Q12</f>
        <v>43555</v>
      </c>
      <c r="R13" s="281">
        <f t="shared" ref="R13" si="37">R12</f>
        <v>43585</v>
      </c>
      <c r="S13" s="281">
        <f t="shared" ref="S13" si="38">S12</f>
        <v>43616</v>
      </c>
      <c r="T13" s="281">
        <f t="shared" ref="T13" si="39">T12</f>
        <v>43646</v>
      </c>
      <c r="U13" s="281">
        <f t="shared" ref="U13" si="40">U12</f>
        <v>43677</v>
      </c>
      <c r="V13" s="281">
        <f t="shared" ref="V13" si="41">V12</f>
        <v>43708</v>
      </c>
      <c r="W13" s="281">
        <f t="shared" ref="W13" si="42">W12</f>
        <v>43738</v>
      </c>
      <c r="X13" s="281">
        <f t="shared" ref="X13" si="43">X12</f>
        <v>43769</v>
      </c>
      <c r="Y13" s="281">
        <f t="shared" ref="Y13" si="44">Y12</f>
        <v>43799</v>
      </c>
      <c r="Z13" s="281">
        <f t="shared" ref="Z13" si="45">Z12</f>
        <v>43830</v>
      </c>
      <c r="AA13" s="281">
        <f t="shared" ref="AA13" si="46">AA12</f>
        <v>43861</v>
      </c>
      <c r="AB13" s="281">
        <f t="shared" ref="AB13" si="47">AB12</f>
        <v>43890</v>
      </c>
      <c r="AC13" s="281">
        <f t="shared" ref="AC13" si="48">AC12</f>
        <v>43921</v>
      </c>
      <c r="AD13" s="281">
        <f t="shared" ref="AD13" si="49">AD12</f>
        <v>43951</v>
      </c>
      <c r="AE13" s="281">
        <f t="shared" ref="AE13" si="50">AE12</f>
        <v>43982</v>
      </c>
      <c r="AF13" s="281">
        <f t="shared" ref="AF13" si="51">AF12</f>
        <v>44012</v>
      </c>
      <c r="AG13" s="281">
        <f t="shared" ref="AG13" si="52">AG12</f>
        <v>44043</v>
      </c>
      <c r="AH13" s="281">
        <f t="shared" ref="AH13" si="53">AH12</f>
        <v>44074</v>
      </c>
      <c r="AI13" s="281">
        <f t="shared" ref="AI13" si="54">AI12</f>
        <v>44104</v>
      </c>
      <c r="AJ13" s="281">
        <f t="shared" ref="AJ13" si="55">AJ12</f>
        <v>44135</v>
      </c>
      <c r="AK13" s="281">
        <f t="shared" ref="AK13" si="56">AK12</f>
        <v>44165</v>
      </c>
      <c r="AL13" s="281">
        <f t="shared" ref="AL13" si="57">AL12</f>
        <v>44196</v>
      </c>
      <c r="AM13" s="281">
        <f t="shared" ref="AM13" si="58">AM12</f>
        <v>44227</v>
      </c>
      <c r="AN13" s="281">
        <f t="shared" ref="AN13" si="59">AN12</f>
        <v>44255</v>
      </c>
      <c r="AO13" s="281">
        <f t="shared" ref="AO13" si="60">AO12</f>
        <v>44286</v>
      </c>
      <c r="AP13" s="281">
        <f t="shared" ref="AP13" si="61">AP12</f>
        <v>44316</v>
      </c>
      <c r="AQ13" s="281">
        <f t="shared" ref="AQ13" si="62">AQ12</f>
        <v>44347</v>
      </c>
      <c r="AR13" s="281">
        <f t="shared" ref="AR13" si="63">AR12</f>
        <v>44377</v>
      </c>
      <c r="AS13" s="281">
        <f t="shared" ref="AS13" si="64">AS12</f>
        <v>44408</v>
      </c>
      <c r="AT13" s="281">
        <f t="shared" ref="AT13" si="65">AT12</f>
        <v>44439</v>
      </c>
      <c r="AU13" s="281">
        <f t="shared" ref="AU13" si="66">AU12</f>
        <v>44469</v>
      </c>
    </row>
    <row r="14" spans="1:47">
      <c r="A14" s="273"/>
      <c r="B14" s="273"/>
      <c r="C14" s="273"/>
      <c r="D14" s="273"/>
      <c r="E14" s="273"/>
      <c r="F14" s="273"/>
      <c r="G14" s="273"/>
      <c r="H14" s="282" t="s">
        <v>64</v>
      </c>
      <c r="I14" s="288">
        <f>I12+'A&amp;R'!H35</f>
        <v>30</v>
      </c>
      <c r="J14" s="282" t="s">
        <v>283</v>
      </c>
      <c r="K14" s="283">
        <f>I3</f>
        <v>43373</v>
      </c>
      <c r="L14" s="283">
        <f t="shared" ref="L14" si="67">L2</f>
        <v>43404</v>
      </c>
      <c r="M14" s="283">
        <f t="shared" ref="M14:AU14" si="68">M2</f>
        <v>43434</v>
      </c>
      <c r="N14" s="283">
        <f t="shared" si="68"/>
        <v>43465</v>
      </c>
      <c r="O14" s="283">
        <f t="shared" si="68"/>
        <v>43496</v>
      </c>
      <c r="P14" s="283">
        <f t="shared" si="68"/>
        <v>43524</v>
      </c>
      <c r="Q14" s="283">
        <f t="shared" si="68"/>
        <v>43555</v>
      </c>
      <c r="R14" s="283">
        <f t="shared" si="68"/>
        <v>43585</v>
      </c>
      <c r="S14" s="283">
        <f t="shared" si="68"/>
        <v>43616</v>
      </c>
      <c r="T14" s="283">
        <f t="shared" si="68"/>
        <v>43646</v>
      </c>
      <c r="U14" s="283">
        <f t="shared" si="68"/>
        <v>43677</v>
      </c>
      <c r="V14" s="283">
        <f t="shared" si="68"/>
        <v>43708</v>
      </c>
      <c r="W14" s="283">
        <f t="shared" si="68"/>
        <v>43738</v>
      </c>
      <c r="X14" s="283">
        <f t="shared" si="68"/>
        <v>43769</v>
      </c>
      <c r="Y14" s="283">
        <f t="shared" si="68"/>
        <v>43799</v>
      </c>
      <c r="Z14" s="283">
        <f t="shared" si="68"/>
        <v>43830</v>
      </c>
      <c r="AA14" s="283">
        <f t="shared" si="68"/>
        <v>43861</v>
      </c>
      <c r="AB14" s="283">
        <f t="shared" si="68"/>
        <v>43890</v>
      </c>
      <c r="AC14" s="283">
        <f t="shared" si="68"/>
        <v>43921</v>
      </c>
      <c r="AD14" s="283">
        <f t="shared" si="68"/>
        <v>43951</v>
      </c>
      <c r="AE14" s="283">
        <f t="shared" si="68"/>
        <v>43982</v>
      </c>
      <c r="AF14" s="283">
        <f t="shared" si="68"/>
        <v>44012</v>
      </c>
      <c r="AG14" s="283">
        <f t="shared" si="68"/>
        <v>44043</v>
      </c>
      <c r="AH14" s="283">
        <f t="shared" si="68"/>
        <v>44074</v>
      </c>
      <c r="AI14" s="283">
        <f t="shared" si="68"/>
        <v>44104</v>
      </c>
      <c r="AJ14" s="283">
        <f t="shared" si="68"/>
        <v>44135</v>
      </c>
      <c r="AK14" s="283">
        <f t="shared" si="68"/>
        <v>44165</v>
      </c>
      <c r="AL14" s="283">
        <f t="shared" si="68"/>
        <v>44196</v>
      </c>
      <c r="AM14" s="283">
        <f t="shared" si="68"/>
        <v>44227</v>
      </c>
      <c r="AN14" s="283">
        <f t="shared" si="68"/>
        <v>44255</v>
      </c>
      <c r="AO14" s="283">
        <f t="shared" si="68"/>
        <v>44286</v>
      </c>
      <c r="AP14" s="283">
        <f t="shared" si="68"/>
        <v>44316</v>
      </c>
      <c r="AQ14" s="283">
        <f t="shared" si="68"/>
        <v>44347</v>
      </c>
      <c r="AR14" s="283">
        <f t="shared" si="68"/>
        <v>44377</v>
      </c>
      <c r="AS14" s="283">
        <f t="shared" si="68"/>
        <v>44408</v>
      </c>
      <c r="AT14" s="283">
        <f t="shared" si="68"/>
        <v>44439</v>
      </c>
      <c r="AU14" s="283">
        <f t="shared" si="68"/>
        <v>44469</v>
      </c>
    </row>
    <row r="15" spans="1:47">
      <c r="D15" s="192"/>
      <c r="E15" s="192"/>
    </row>
    <row r="16" spans="1:47">
      <c r="B16" s="284" t="str">
        <f>'A&amp;R'!R5</f>
        <v>1. 담보자산 운영실적 추정 (AUD)</v>
      </c>
      <c r="C16" s="284"/>
      <c r="D16" s="232" t="s">
        <v>120</v>
      </c>
      <c r="J16" s="485">
        <v>1</v>
      </c>
    </row>
    <row r="17" spans="1:47">
      <c r="A17" s="119">
        <f>ROW()</f>
        <v>17</v>
      </c>
      <c r="C17" s="193" t="s">
        <v>122</v>
      </c>
      <c r="D17" s="194"/>
      <c r="E17" s="194"/>
      <c r="F17" s="194"/>
      <c r="G17" s="195"/>
      <c r="H17" s="195"/>
      <c r="I17" s="194"/>
      <c r="J17" s="126">
        <f t="shared" ref="J17:J32" si="69">SUM(K17:AU17)</f>
        <v>17502508.700314686</v>
      </c>
      <c r="K17" s="195"/>
      <c r="L17" s="195">
        <f>'Property(M)'!AU16</f>
        <v>474934.14847588539</v>
      </c>
      <c r="M17" s="195">
        <f>'Property(M)'!AV16</f>
        <v>475185.19264288543</v>
      </c>
      <c r="N17" s="195">
        <f>'Property(M)'!AW16</f>
        <v>470643.18597588543</v>
      </c>
      <c r="O17" s="195">
        <f>'Property(M)'!AX16</f>
        <v>470643.18597588543</v>
      </c>
      <c r="P17" s="195">
        <f>'Property(M)'!AY16</f>
        <v>470643.18597588543</v>
      </c>
      <c r="Q17" s="195">
        <f>'Property(M)'!AZ16</f>
        <v>470643.18597588543</v>
      </c>
      <c r="R17" s="195">
        <f>'Property(M)'!BA16</f>
        <v>470643.18597588543</v>
      </c>
      <c r="S17" s="195">
        <f>'Property(M)'!BB16</f>
        <v>470643.18597588543</v>
      </c>
      <c r="T17" s="195">
        <f>'Property(M)'!BC16</f>
        <v>475111.78035488538</v>
      </c>
      <c r="U17" s="195">
        <f>'Property(M)'!BD16</f>
        <v>474310.64275021874</v>
      </c>
      <c r="V17" s="195">
        <f>'Property(M)'!BE16</f>
        <v>474310.64275021874</v>
      </c>
      <c r="W17" s="195">
        <f>'Property(M)'!BF16</f>
        <v>474310.64275021874</v>
      </c>
      <c r="X17" s="195">
        <f>'Property(M)'!BG16</f>
        <v>490067.72170246218</v>
      </c>
      <c r="Y17" s="195">
        <f>'Property(M)'!BH16</f>
        <v>490067.72170246218</v>
      </c>
      <c r="Z17" s="195">
        <f>'Property(M)'!BI16</f>
        <v>490067.72170246218</v>
      </c>
      <c r="AA17" s="195">
        <f>'Property(M)'!BJ16</f>
        <v>490067.72170246218</v>
      </c>
      <c r="AB17" s="195">
        <f>'Property(M)'!BK16</f>
        <v>490067.72170246218</v>
      </c>
      <c r="AC17" s="195">
        <f>'Property(M)'!BL16</f>
        <v>490067.72170246218</v>
      </c>
      <c r="AD17" s="195">
        <f>'Property(M)'!BM16</f>
        <v>490067.72170246218</v>
      </c>
      <c r="AE17" s="195">
        <f>'Property(M)'!BN16</f>
        <v>490067.72170246218</v>
      </c>
      <c r="AF17" s="195">
        <f>'Property(M)'!BO16</f>
        <v>490067.72170246218</v>
      </c>
      <c r="AG17" s="195">
        <f>'Property(M)'!BP16</f>
        <v>481612.11323971214</v>
      </c>
      <c r="AH17" s="195">
        <f>'Property(M)'!BQ16</f>
        <v>481612.11323971214</v>
      </c>
      <c r="AI17" s="195">
        <f>'Property(M)'!BR16</f>
        <v>481612.11323971214</v>
      </c>
      <c r="AJ17" s="195">
        <f>'Property(M)'!BS16</f>
        <v>497920.05830781406</v>
      </c>
      <c r="AK17" s="195">
        <f>'Property(M)'!BT16</f>
        <v>497920.05830781406</v>
      </c>
      <c r="AL17" s="195">
        <f>'Property(M)'!BU16</f>
        <v>497920.05830781406</v>
      </c>
      <c r="AM17" s="195">
        <f>'Property(M)'!BV16</f>
        <v>497920.05830781406</v>
      </c>
      <c r="AN17" s="195">
        <f>'Property(M)'!BW16</f>
        <v>497920.05830781406</v>
      </c>
      <c r="AO17" s="195">
        <f>'Property(M)'!BX16</f>
        <v>497920.05830781406</v>
      </c>
      <c r="AP17" s="195">
        <f>'Property(M)'!BY16</f>
        <v>497920.05830781406</v>
      </c>
      <c r="AQ17" s="195">
        <f>'Property(M)'!BZ16</f>
        <v>497920.05830781406</v>
      </c>
      <c r="AR17" s="195">
        <f>'Property(M)'!CA16</f>
        <v>497920.05830781406</v>
      </c>
      <c r="AS17" s="195">
        <f>'Property(M)'!CB16</f>
        <v>497920.05830781406</v>
      </c>
      <c r="AT17" s="195">
        <f>'Property(M)'!CC16</f>
        <v>497920.05830781406</v>
      </c>
      <c r="AU17" s="195">
        <f>'Property(M)'!CD16</f>
        <v>497920.05830781406</v>
      </c>
    </row>
    <row r="18" spans="1:47">
      <c r="A18" s="119">
        <f>ROW()</f>
        <v>18</v>
      </c>
      <c r="C18" s="196" t="s">
        <v>129</v>
      </c>
      <c r="D18" s="197"/>
      <c r="E18" s="197"/>
      <c r="F18" s="197"/>
      <c r="G18" s="198"/>
      <c r="H18" s="198"/>
      <c r="I18" s="197"/>
      <c r="J18" s="129">
        <f t="shared" si="69"/>
        <v>229919.47997044525</v>
      </c>
      <c r="K18" s="198"/>
      <c r="L18" s="198">
        <f>'Property(M)'!AU17</f>
        <v>5779.3726900000001</v>
      </c>
      <c r="M18" s="198">
        <f>'Property(M)'!AV17</f>
        <v>5779.3726900000001</v>
      </c>
      <c r="N18" s="198">
        <f>'Property(M)'!AW17</f>
        <v>5779.3726900000001</v>
      </c>
      <c r="O18" s="198">
        <f>'Property(M)'!AX17</f>
        <v>5779.3726900000001</v>
      </c>
      <c r="P18" s="198">
        <f>'Property(M)'!AY17</f>
        <v>5779.3726900000001</v>
      </c>
      <c r="Q18" s="198">
        <f>'Property(M)'!AZ17</f>
        <v>5779.3726900000001</v>
      </c>
      <c r="R18" s="198">
        <f>'Property(M)'!BA17</f>
        <v>5779.3726900000001</v>
      </c>
      <c r="S18" s="198">
        <f>'Property(M)'!BB17</f>
        <v>5779.3726900000001</v>
      </c>
      <c r="T18" s="198">
        <f>'Property(M)'!BC17</f>
        <v>5779.3726900000001</v>
      </c>
      <c r="U18" s="198">
        <f>'Property(M)'!BD17</f>
        <v>6362.3114415833334</v>
      </c>
      <c r="V18" s="198">
        <f>'Property(M)'!BE17</f>
        <v>6362.3114415833334</v>
      </c>
      <c r="W18" s="198">
        <f>'Property(M)'!BF17</f>
        <v>6362.3114415833334</v>
      </c>
      <c r="X18" s="198">
        <f>'Property(M)'!BG17</f>
        <v>6362.3114415833334</v>
      </c>
      <c r="Y18" s="198">
        <f>'Property(M)'!BH17</f>
        <v>6362.3114415833334</v>
      </c>
      <c r="Z18" s="198">
        <f>'Property(M)'!BI17</f>
        <v>6362.3114415833334</v>
      </c>
      <c r="AA18" s="198">
        <f>'Property(M)'!BJ17</f>
        <v>6362.3114415833334</v>
      </c>
      <c r="AB18" s="198">
        <f>'Property(M)'!BK17</f>
        <v>6362.3114415833334</v>
      </c>
      <c r="AC18" s="198">
        <f>'Property(M)'!BL17</f>
        <v>6362.3114415833334</v>
      </c>
      <c r="AD18" s="198">
        <f>'Property(M)'!BM17</f>
        <v>6362.3114415833334</v>
      </c>
      <c r="AE18" s="198">
        <f>'Property(M)'!BN17</f>
        <v>6362.3114415833334</v>
      </c>
      <c r="AF18" s="198">
        <f>'Property(M)'!BO17</f>
        <v>6362.3114415833334</v>
      </c>
      <c r="AG18" s="198">
        <f>'Property(M)'!BP17</f>
        <v>6699.4842790000002</v>
      </c>
      <c r="AH18" s="198">
        <f>'Property(M)'!BQ17</f>
        <v>6699.4842790000002</v>
      </c>
      <c r="AI18" s="198">
        <f>'Property(M)'!BR17</f>
        <v>6699.4842790000002</v>
      </c>
      <c r="AJ18" s="198">
        <f>'Property(M)'!BS17</f>
        <v>6699.4842790000002</v>
      </c>
      <c r="AK18" s="198">
        <f>'Property(M)'!BT17</f>
        <v>6699.4842790000002</v>
      </c>
      <c r="AL18" s="198">
        <f>'Property(M)'!BU17</f>
        <v>6699.4842790000002</v>
      </c>
      <c r="AM18" s="198">
        <f>'Property(M)'!BV17</f>
        <v>6699.4842790000002</v>
      </c>
      <c r="AN18" s="198">
        <f>'Property(M)'!BW17</f>
        <v>6699.4842790000002</v>
      </c>
      <c r="AO18" s="198">
        <f>'Property(M)'!BX17</f>
        <v>6699.4842790000002</v>
      </c>
      <c r="AP18" s="198">
        <f>'Property(M)'!BY17</f>
        <v>6699.4842790000002</v>
      </c>
      <c r="AQ18" s="198">
        <f>'Property(M)'!BZ17</f>
        <v>6699.4842790000002</v>
      </c>
      <c r="AR18" s="198">
        <f>'Property(M)'!CA17</f>
        <v>6699.4842790000002</v>
      </c>
      <c r="AS18" s="198">
        <f>'Property(M)'!CB17</f>
        <v>7054.5257044817799</v>
      </c>
      <c r="AT18" s="198">
        <f>'Property(M)'!CC17</f>
        <v>7054.5257044817799</v>
      </c>
      <c r="AU18" s="198">
        <f>'Property(M)'!CD17</f>
        <v>7054.5257044817799</v>
      </c>
    </row>
    <row r="19" spans="1:47">
      <c r="A19" s="119">
        <f>ROW()</f>
        <v>19</v>
      </c>
      <c r="C19" s="199" t="s">
        <v>250</v>
      </c>
      <c r="D19" s="200"/>
      <c r="E19" s="200"/>
      <c r="F19" s="200"/>
      <c r="G19" s="201"/>
      <c r="H19" s="201"/>
      <c r="I19" s="200"/>
      <c r="J19" s="141">
        <f t="shared" si="69"/>
        <v>17615087.512530252</v>
      </c>
      <c r="K19" s="202"/>
      <c r="L19" s="202">
        <f>'Property(M)'!AR18</f>
        <v>465861.02809400001</v>
      </c>
      <c r="M19" s="202">
        <f>'Property(M)'!AS18</f>
        <v>465861.02809400001</v>
      </c>
      <c r="N19" s="202">
        <f>'Property(M)'!AT18</f>
        <v>465861.02809400001</v>
      </c>
      <c r="O19" s="202">
        <f>'Property(M)'!AU18</f>
        <v>480713.52116588538</v>
      </c>
      <c r="P19" s="202">
        <f>'Property(M)'!AV18</f>
        <v>480964.56533288542</v>
      </c>
      <c r="Q19" s="202">
        <f>'Property(M)'!AW18</f>
        <v>476422.55866588542</v>
      </c>
      <c r="R19" s="202">
        <f>'Property(M)'!AX18</f>
        <v>476422.55866588542</v>
      </c>
      <c r="S19" s="202">
        <f>'Property(M)'!AY18</f>
        <v>476422.55866588542</v>
      </c>
      <c r="T19" s="202">
        <f>'Property(M)'!AZ18</f>
        <v>476422.55866588542</v>
      </c>
      <c r="U19" s="202">
        <f>'Property(M)'!BA18</f>
        <v>476422.55866588542</v>
      </c>
      <c r="V19" s="202">
        <f>'Property(M)'!BB18</f>
        <v>476422.55866588542</v>
      </c>
      <c r="W19" s="202">
        <f>'Property(M)'!BC18</f>
        <v>480891.15304488537</v>
      </c>
      <c r="X19" s="202">
        <f>'Property(M)'!BD18</f>
        <v>480672.95419180207</v>
      </c>
      <c r="Y19" s="202">
        <f>'Property(M)'!BE18</f>
        <v>480672.95419180207</v>
      </c>
      <c r="Z19" s="202">
        <f>'Property(M)'!BF18</f>
        <v>480672.95419180207</v>
      </c>
      <c r="AA19" s="202">
        <f>'Property(M)'!BG18</f>
        <v>496430.0331440455</v>
      </c>
      <c r="AB19" s="202">
        <f>'Property(M)'!BH18</f>
        <v>496430.0331440455</v>
      </c>
      <c r="AC19" s="202">
        <f>'Property(M)'!BI18</f>
        <v>496430.0331440455</v>
      </c>
      <c r="AD19" s="202">
        <f>'Property(M)'!BJ18</f>
        <v>496430.0331440455</v>
      </c>
      <c r="AE19" s="202">
        <f>'Property(M)'!BK18</f>
        <v>496430.0331440455</v>
      </c>
      <c r="AF19" s="202">
        <f>'Property(M)'!BL18</f>
        <v>496430.0331440455</v>
      </c>
      <c r="AG19" s="202">
        <f>'Property(M)'!BM18</f>
        <v>496430.0331440455</v>
      </c>
      <c r="AH19" s="202">
        <f>'Property(M)'!BN18</f>
        <v>496430.0331440455</v>
      </c>
      <c r="AI19" s="202">
        <f>'Property(M)'!BO18</f>
        <v>496430.0331440455</v>
      </c>
      <c r="AJ19" s="202">
        <f>'Property(M)'!BP18</f>
        <v>488311.59751871217</v>
      </c>
      <c r="AK19" s="202">
        <f>'Property(M)'!BQ18</f>
        <v>488311.59751871217</v>
      </c>
      <c r="AL19" s="202">
        <f>'Property(M)'!BR18</f>
        <v>488311.59751871217</v>
      </c>
      <c r="AM19" s="202">
        <f>'Property(M)'!BS18</f>
        <v>504619.54258681409</v>
      </c>
      <c r="AN19" s="202">
        <f>'Property(M)'!BT18</f>
        <v>504619.54258681409</v>
      </c>
      <c r="AO19" s="202">
        <f>'Property(M)'!BU18</f>
        <v>504619.54258681409</v>
      </c>
      <c r="AP19" s="202">
        <f>'Property(M)'!BV18</f>
        <v>504619.54258681409</v>
      </c>
      <c r="AQ19" s="202">
        <f>'Property(M)'!BW18</f>
        <v>504619.54258681409</v>
      </c>
      <c r="AR19" s="202">
        <f>'Property(M)'!BX18</f>
        <v>504619.54258681409</v>
      </c>
      <c r="AS19" s="202">
        <f>'Property(M)'!BY18</f>
        <v>504619.54258681409</v>
      </c>
      <c r="AT19" s="202">
        <f>'Property(M)'!BZ18</f>
        <v>504619.54258681409</v>
      </c>
      <c r="AU19" s="202">
        <f>'Property(M)'!CA18</f>
        <v>504619.54258681409</v>
      </c>
    </row>
    <row r="20" spans="1:47">
      <c r="A20" s="119">
        <f>ROW()</f>
        <v>20</v>
      </c>
      <c r="C20" s="196" t="s">
        <v>0</v>
      </c>
      <c r="D20" s="203"/>
      <c r="E20" s="203"/>
      <c r="F20" s="203"/>
      <c r="G20" s="137"/>
      <c r="H20" s="137"/>
      <c r="I20" s="203"/>
      <c r="J20" s="129">
        <f t="shared" si="69"/>
        <v>-2743790.6124786683</v>
      </c>
      <c r="K20" s="198"/>
      <c r="L20" s="198">
        <f>-'Property(M)'!AU31</f>
        <v>-72631.304152333323</v>
      </c>
      <c r="M20" s="198">
        <f>-'Property(M)'!AV31</f>
        <v>-72631.304152333323</v>
      </c>
      <c r="N20" s="198">
        <f>-'Property(M)'!AW31</f>
        <v>-72631.304152333323</v>
      </c>
      <c r="O20" s="198">
        <f>-'Property(M)'!AX31</f>
        <v>-72631.304152333323</v>
      </c>
      <c r="P20" s="198">
        <f>-'Property(M)'!AY31</f>
        <v>-72631.304152333323</v>
      </c>
      <c r="Q20" s="198">
        <f>-'Property(M)'!AZ31</f>
        <v>-72631.304152333323</v>
      </c>
      <c r="R20" s="198">
        <f>-'Property(M)'!BA31</f>
        <v>-72631.304152333323</v>
      </c>
      <c r="S20" s="198">
        <f>-'Property(M)'!BB31</f>
        <v>-72631.304152333323</v>
      </c>
      <c r="T20" s="198">
        <f>-'Property(M)'!BC31</f>
        <v>-72631.304152333323</v>
      </c>
      <c r="U20" s="198">
        <f>-'Property(M)'!BD31</f>
        <v>-74719.001724500005</v>
      </c>
      <c r="V20" s="198">
        <f>-'Property(M)'!BE31</f>
        <v>-74719.001724500005</v>
      </c>
      <c r="W20" s="198">
        <f>-'Property(M)'!BF31</f>
        <v>-74719.001724500005</v>
      </c>
      <c r="X20" s="198">
        <f>-'Property(M)'!BG31</f>
        <v>-74719.001724500005</v>
      </c>
      <c r="Y20" s="198">
        <f>-'Property(M)'!BH31</f>
        <v>-74719.001724500005</v>
      </c>
      <c r="Z20" s="198">
        <f>-'Property(M)'!BI31</f>
        <v>-74719.001724500005</v>
      </c>
      <c r="AA20" s="198">
        <f>-'Property(M)'!BJ31</f>
        <v>-74719.001724500005</v>
      </c>
      <c r="AB20" s="198">
        <f>-'Property(M)'!BK31</f>
        <v>-74719.001724500005</v>
      </c>
      <c r="AC20" s="198">
        <f>-'Property(M)'!BL31</f>
        <v>-74719.001724500005</v>
      </c>
      <c r="AD20" s="198">
        <f>-'Property(M)'!BM31</f>
        <v>-74719.001724500005</v>
      </c>
      <c r="AE20" s="198">
        <f>-'Property(M)'!BN31</f>
        <v>-74719.001724500005</v>
      </c>
      <c r="AF20" s="198">
        <f>-'Property(M)'!BO31</f>
        <v>-74719.001724500005</v>
      </c>
      <c r="AG20" s="198">
        <f>-'Property(M)'!BP31</f>
        <v>-79008.350745916658</v>
      </c>
      <c r="AH20" s="198">
        <f>-'Property(M)'!BQ31</f>
        <v>-79008.350745916658</v>
      </c>
      <c r="AI20" s="198">
        <f>-'Property(M)'!BR31</f>
        <v>-79008.350745916658</v>
      </c>
      <c r="AJ20" s="198">
        <f>-'Property(M)'!BS31</f>
        <v>-79008.350745916658</v>
      </c>
      <c r="AK20" s="198">
        <f>-'Property(M)'!BT31</f>
        <v>-79008.350745916658</v>
      </c>
      <c r="AL20" s="198">
        <f>-'Property(M)'!BU31</f>
        <v>-79008.350745916658</v>
      </c>
      <c r="AM20" s="198">
        <f>-'Property(M)'!BV31</f>
        <v>-79008.350745916658</v>
      </c>
      <c r="AN20" s="198">
        <f>-'Property(M)'!BW31</f>
        <v>-79008.350745916658</v>
      </c>
      <c r="AO20" s="198">
        <f>-'Property(M)'!BX31</f>
        <v>-79008.350745916658</v>
      </c>
      <c r="AP20" s="198">
        <f>-'Property(M)'!BY31</f>
        <v>-79008.350745916658</v>
      </c>
      <c r="AQ20" s="198">
        <f>-'Property(M)'!BZ31</f>
        <v>-79008.350745916658</v>
      </c>
      <c r="AR20" s="198">
        <f>-'Property(M)'!CA31</f>
        <v>-79008.350745916658</v>
      </c>
      <c r="AS20" s="198">
        <f>-'Property(M)'!CB31</f>
        <v>-81793.548487556342</v>
      </c>
      <c r="AT20" s="198">
        <f>-'Property(M)'!CC31</f>
        <v>-81793.548487556342</v>
      </c>
      <c r="AU20" s="198">
        <f>-'Property(M)'!CD31</f>
        <v>-81793.548487556342</v>
      </c>
    </row>
    <row r="21" spans="1:47">
      <c r="A21" s="119">
        <f>ROW()</f>
        <v>21</v>
      </c>
      <c r="C21" s="204" t="s">
        <v>65</v>
      </c>
      <c r="G21" s="126"/>
      <c r="H21" s="126"/>
      <c r="J21" s="141">
        <f t="shared" si="69"/>
        <v>14871296.900051584</v>
      </c>
      <c r="K21" s="141"/>
      <c r="L21" s="141">
        <f>SUM(L19:L20)</f>
        <v>393229.72394166666</v>
      </c>
      <c r="M21" s="141">
        <f t="shared" ref="M21:AU21" si="70">SUM(M19:M20)</f>
        <v>393229.72394166666</v>
      </c>
      <c r="N21" s="141">
        <f t="shared" si="70"/>
        <v>393229.72394166666</v>
      </c>
      <c r="O21" s="141">
        <f t="shared" si="70"/>
        <v>408082.21701355209</v>
      </c>
      <c r="P21" s="141">
        <f t="shared" si="70"/>
        <v>408333.26118055207</v>
      </c>
      <c r="Q21" s="141">
        <f t="shared" si="70"/>
        <v>403791.25451355206</v>
      </c>
      <c r="R21" s="141">
        <f t="shared" si="70"/>
        <v>403791.25451355206</v>
      </c>
      <c r="S21" s="141">
        <f t="shared" si="70"/>
        <v>403791.25451355206</v>
      </c>
      <c r="T21" s="141">
        <f t="shared" si="70"/>
        <v>403791.25451355206</v>
      </c>
      <c r="U21" s="141">
        <f t="shared" si="70"/>
        <v>401703.55694138538</v>
      </c>
      <c r="V21" s="141">
        <f t="shared" si="70"/>
        <v>401703.55694138538</v>
      </c>
      <c r="W21" s="141">
        <f t="shared" si="70"/>
        <v>406172.1513203854</v>
      </c>
      <c r="X21" s="141">
        <f t="shared" si="70"/>
        <v>405953.95246730209</v>
      </c>
      <c r="Y21" s="141">
        <f t="shared" si="70"/>
        <v>405953.95246730209</v>
      </c>
      <c r="Z21" s="141">
        <f t="shared" si="70"/>
        <v>405953.95246730209</v>
      </c>
      <c r="AA21" s="141">
        <f t="shared" si="70"/>
        <v>421711.03141954553</v>
      </c>
      <c r="AB21" s="141">
        <f t="shared" si="70"/>
        <v>421711.03141954553</v>
      </c>
      <c r="AC21" s="141">
        <f t="shared" si="70"/>
        <v>421711.03141954553</v>
      </c>
      <c r="AD21" s="141">
        <f t="shared" si="70"/>
        <v>421711.03141954553</v>
      </c>
      <c r="AE21" s="141">
        <f t="shared" si="70"/>
        <v>421711.03141954553</v>
      </c>
      <c r="AF21" s="141">
        <f t="shared" si="70"/>
        <v>421711.03141954553</v>
      </c>
      <c r="AG21" s="141">
        <f t="shared" si="70"/>
        <v>417421.68239812885</v>
      </c>
      <c r="AH21" s="141">
        <f t="shared" si="70"/>
        <v>417421.68239812885</v>
      </c>
      <c r="AI21" s="141">
        <f t="shared" si="70"/>
        <v>417421.68239812885</v>
      </c>
      <c r="AJ21" s="141">
        <f t="shared" si="70"/>
        <v>409303.24677279551</v>
      </c>
      <c r="AK21" s="141">
        <f t="shared" si="70"/>
        <v>409303.24677279551</v>
      </c>
      <c r="AL21" s="141">
        <f t="shared" si="70"/>
        <v>409303.24677279551</v>
      </c>
      <c r="AM21" s="141">
        <f t="shared" si="70"/>
        <v>425611.19184089743</v>
      </c>
      <c r="AN21" s="141">
        <f t="shared" si="70"/>
        <v>425611.19184089743</v>
      </c>
      <c r="AO21" s="141">
        <f t="shared" si="70"/>
        <v>425611.19184089743</v>
      </c>
      <c r="AP21" s="141">
        <f t="shared" si="70"/>
        <v>425611.19184089743</v>
      </c>
      <c r="AQ21" s="141">
        <f t="shared" si="70"/>
        <v>425611.19184089743</v>
      </c>
      <c r="AR21" s="141">
        <f t="shared" si="70"/>
        <v>425611.19184089743</v>
      </c>
      <c r="AS21" s="141">
        <f t="shared" si="70"/>
        <v>422825.99409925775</v>
      </c>
      <c r="AT21" s="141">
        <f t="shared" si="70"/>
        <v>422825.99409925775</v>
      </c>
      <c r="AU21" s="141">
        <f t="shared" si="70"/>
        <v>422825.99409925775</v>
      </c>
    </row>
    <row r="22" spans="1:47">
      <c r="A22" s="119">
        <f>ROW()</f>
        <v>22</v>
      </c>
      <c r="C22" s="205" t="s">
        <v>917</v>
      </c>
      <c r="D22" s="125"/>
      <c r="E22" s="125"/>
      <c r="F22" s="125"/>
      <c r="G22" s="129"/>
      <c r="H22" s="129"/>
      <c r="I22" s="125"/>
      <c r="J22" s="129">
        <f t="shared" si="69"/>
        <v>-983271.0549999997</v>
      </c>
      <c r="K22" s="129"/>
      <c r="L22" s="198">
        <f>-'Property(M)'!AU33</f>
        <v>-25991.833333333332</v>
      </c>
      <c r="M22" s="198">
        <f>-'Property(M)'!AV33</f>
        <v>-25991.833333333332</v>
      </c>
      <c r="N22" s="198">
        <f>-'Property(M)'!AW33</f>
        <v>-25991.833333333332</v>
      </c>
      <c r="O22" s="198">
        <f>-'Property(M)'!AX33</f>
        <v>-25991.833333333332</v>
      </c>
      <c r="P22" s="198">
        <f>-'Property(M)'!AY33</f>
        <v>-25991.833333333332</v>
      </c>
      <c r="Q22" s="198">
        <f>-'Property(M)'!AZ33</f>
        <v>-25991.833333333332</v>
      </c>
      <c r="R22" s="198">
        <f>-'Property(M)'!BA33</f>
        <v>-25991.833333333332</v>
      </c>
      <c r="S22" s="198">
        <f>-'Property(M)'!BB33</f>
        <v>-25991.833333333332</v>
      </c>
      <c r="T22" s="198">
        <f>-'Property(M)'!BC33</f>
        <v>-25991.833333333332</v>
      </c>
      <c r="U22" s="198">
        <f>-'Property(M)'!BD33</f>
        <v>-25991.833333333332</v>
      </c>
      <c r="V22" s="198">
        <f>-'Property(M)'!BE33</f>
        <v>-25991.833333333332</v>
      </c>
      <c r="W22" s="198">
        <f>-'Property(M)'!BF33</f>
        <v>-25991.833333333332</v>
      </c>
      <c r="X22" s="198">
        <f>-'Property(M)'!BG33</f>
        <v>-27291.424999999999</v>
      </c>
      <c r="Y22" s="198">
        <f>-'Property(M)'!BH33</f>
        <v>-27291.424999999999</v>
      </c>
      <c r="Z22" s="198">
        <f>-'Property(M)'!BI33</f>
        <v>-27291.424999999999</v>
      </c>
      <c r="AA22" s="198">
        <f>-'Property(M)'!BJ33</f>
        <v>-27291.424999999999</v>
      </c>
      <c r="AB22" s="198">
        <f>-'Property(M)'!BK33</f>
        <v>-27291.424999999999</v>
      </c>
      <c r="AC22" s="198">
        <f>-'Property(M)'!BL33</f>
        <v>-27291.424999999999</v>
      </c>
      <c r="AD22" s="198">
        <f>-'Property(M)'!BM33</f>
        <v>-27291.424999999999</v>
      </c>
      <c r="AE22" s="198">
        <f>-'Property(M)'!BN33</f>
        <v>-27291.424999999999</v>
      </c>
      <c r="AF22" s="198">
        <f>-'Property(M)'!BO33</f>
        <v>-27291.424999999999</v>
      </c>
      <c r="AG22" s="198">
        <f>-'Property(M)'!BP33</f>
        <v>-27291.424999999999</v>
      </c>
      <c r="AH22" s="198">
        <f>-'Property(M)'!BQ33</f>
        <v>-27291.424999999999</v>
      </c>
      <c r="AI22" s="198">
        <f>-'Property(M)'!BR33</f>
        <v>-27291.424999999999</v>
      </c>
      <c r="AJ22" s="198">
        <f>-'Property(M)'!BS33</f>
        <v>-28655.99625</v>
      </c>
      <c r="AK22" s="198">
        <f>-'Property(M)'!BT33</f>
        <v>-28655.99625</v>
      </c>
      <c r="AL22" s="198">
        <f>-'Property(M)'!BU33</f>
        <v>-28655.99625</v>
      </c>
      <c r="AM22" s="198">
        <f>-'Property(M)'!BV33</f>
        <v>-28655.99625</v>
      </c>
      <c r="AN22" s="198">
        <f>-'Property(M)'!BW33</f>
        <v>-28655.99625</v>
      </c>
      <c r="AO22" s="198">
        <f>-'Property(M)'!BX33</f>
        <v>-28655.99625</v>
      </c>
      <c r="AP22" s="198">
        <f>-'Property(M)'!BY33</f>
        <v>-28655.99625</v>
      </c>
      <c r="AQ22" s="198">
        <f>-'Property(M)'!BZ33</f>
        <v>-28655.99625</v>
      </c>
      <c r="AR22" s="198">
        <f>-'Property(M)'!CA33</f>
        <v>-28655.99625</v>
      </c>
      <c r="AS22" s="198">
        <f>-'Property(M)'!CB33</f>
        <v>-28655.99625</v>
      </c>
      <c r="AT22" s="198">
        <f>-'Property(M)'!CC33</f>
        <v>-28655.99625</v>
      </c>
      <c r="AU22" s="198">
        <f>-'Property(M)'!CD33</f>
        <v>-28655.99625</v>
      </c>
    </row>
    <row r="23" spans="1:47">
      <c r="A23" s="119">
        <f>ROW()</f>
        <v>23</v>
      </c>
      <c r="C23" s="453" t="s">
        <v>66</v>
      </c>
      <c r="D23" s="449"/>
      <c r="E23" s="449"/>
      <c r="F23" s="449"/>
      <c r="G23" s="450"/>
      <c r="H23" s="451" t="b">
        <f>I23=J23</f>
        <v>0</v>
      </c>
      <c r="I23" s="452">
        <f>'Property(M)'!J34</f>
        <v>26788924.882945217</v>
      </c>
      <c r="J23" s="452">
        <f t="shared" si="69"/>
        <v>13888025.845051575</v>
      </c>
      <c r="K23" s="452"/>
      <c r="L23" s="452">
        <f t="shared" ref="L23:AQ23" si="71">SUM(L21:L22)</f>
        <v>367237.89060833334</v>
      </c>
      <c r="M23" s="452">
        <f t="shared" si="71"/>
        <v>367237.89060833334</v>
      </c>
      <c r="N23" s="452">
        <f t="shared" si="71"/>
        <v>367237.89060833334</v>
      </c>
      <c r="O23" s="452">
        <f t="shared" si="71"/>
        <v>382090.38368021877</v>
      </c>
      <c r="P23" s="452">
        <f t="shared" si="71"/>
        <v>382341.42784721876</v>
      </c>
      <c r="Q23" s="452">
        <f t="shared" si="71"/>
        <v>377799.42118021875</v>
      </c>
      <c r="R23" s="452">
        <f t="shared" si="71"/>
        <v>377799.42118021875</v>
      </c>
      <c r="S23" s="452">
        <f t="shared" si="71"/>
        <v>377799.42118021875</v>
      </c>
      <c r="T23" s="452">
        <f t="shared" si="71"/>
        <v>377799.42118021875</v>
      </c>
      <c r="U23" s="452">
        <f t="shared" si="71"/>
        <v>375711.72360805207</v>
      </c>
      <c r="V23" s="452">
        <f t="shared" si="71"/>
        <v>375711.72360805207</v>
      </c>
      <c r="W23" s="452">
        <f t="shared" si="71"/>
        <v>380180.31798705208</v>
      </c>
      <c r="X23" s="452">
        <f t="shared" si="71"/>
        <v>378662.5274673021</v>
      </c>
      <c r="Y23" s="452">
        <f t="shared" si="71"/>
        <v>378662.5274673021</v>
      </c>
      <c r="Z23" s="452">
        <f t="shared" si="71"/>
        <v>378662.5274673021</v>
      </c>
      <c r="AA23" s="452">
        <f t="shared" si="71"/>
        <v>394419.60641954554</v>
      </c>
      <c r="AB23" s="452">
        <f t="shared" si="71"/>
        <v>394419.60641954554</v>
      </c>
      <c r="AC23" s="452">
        <f t="shared" si="71"/>
        <v>394419.60641954554</v>
      </c>
      <c r="AD23" s="452">
        <f t="shared" si="71"/>
        <v>394419.60641954554</v>
      </c>
      <c r="AE23" s="452">
        <f t="shared" si="71"/>
        <v>394419.60641954554</v>
      </c>
      <c r="AF23" s="452">
        <f t="shared" si="71"/>
        <v>394419.60641954554</v>
      </c>
      <c r="AG23" s="452">
        <f t="shared" si="71"/>
        <v>390130.25739812886</v>
      </c>
      <c r="AH23" s="452">
        <f t="shared" si="71"/>
        <v>390130.25739812886</v>
      </c>
      <c r="AI23" s="452">
        <f t="shared" si="71"/>
        <v>390130.25739812886</v>
      </c>
      <c r="AJ23" s="452">
        <f t="shared" si="71"/>
        <v>380647.25052279548</v>
      </c>
      <c r="AK23" s="452">
        <f t="shared" si="71"/>
        <v>380647.25052279548</v>
      </c>
      <c r="AL23" s="452">
        <f t="shared" si="71"/>
        <v>380647.25052279548</v>
      </c>
      <c r="AM23" s="452">
        <f t="shared" si="71"/>
        <v>396955.19559089741</v>
      </c>
      <c r="AN23" s="452">
        <f t="shared" si="71"/>
        <v>396955.19559089741</v>
      </c>
      <c r="AO23" s="452">
        <f t="shared" si="71"/>
        <v>396955.19559089741</v>
      </c>
      <c r="AP23" s="452">
        <f t="shared" si="71"/>
        <v>396955.19559089741</v>
      </c>
      <c r="AQ23" s="452">
        <f t="shared" si="71"/>
        <v>396955.19559089741</v>
      </c>
      <c r="AR23" s="452">
        <f t="shared" ref="AR23:AU23" si="72">SUM(AR21:AR22)</f>
        <v>396955.19559089741</v>
      </c>
      <c r="AS23" s="452">
        <f t="shared" si="72"/>
        <v>394169.99784925772</v>
      </c>
      <c r="AT23" s="452">
        <f t="shared" si="72"/>
        <v>394169.99784925772</v>
      </c>
      <c r="AU23" s="452">
        <f t="shared" si="72"/>
        <v>394169.99784925772</v>
      </c>
    </row>
    <row r="24" spans="1:47">
      <c r="A24" s="119">
        <f>ROW()</f>
        <v>24</v>
      </c>
      <c r="C24" s="134" t="s">
        <v>288</v>
      </c>
      <c r="H24" s="146"/>
      <c r="J24" s="126">
        <f t="shared" si="69"/>
        <v>4505777.777777778</v>
      </c>
      <c r="L24" s="126">
        <f>SUM(L25:L28)</f>
        <v>127444.44444444444</v>
      </c>
      <c r="M24" s="126">
        <f t="shared" ref="M24:AU24" si="73">SUM(M25:M28)</f>
        <v>123333.33333333333</v>
      </c>
      <c r="N24" s="126">
        <f t="shared" si="73"/>
        <v>127444.44444444444</v>
      </c>
      <c r="O24" s="126">
        <f t="shared" si="73"/>
        <v>127444.44444444444</v>
      </c>
      <c r="P24" s="126">
        <f t="shared" si="73"/>
        <v>115111.11111111111</v>
      </c>
      <c r="Q24" s="126">
        <f t="shared" si="73"/>
        <v>127444.44444444444</v>
      </c>
      <c r="R24" s="126">
        <f t="shared" si="73"/>
        <v>123333.33333333333</v>
      </c>
      <c r="S24" s="126">
        <f t="shared" si="73"/>
        <v>127444.44444444444</v>
      </c>
      <c r="T24" s="126">
        <f t="shared" si="73"/>
        <v>123333.33333333333</v>
      </c>
      <c r="U24" s="126">
        <f t="shared" si="73"/>
        <v>127444.44444444444</v>
      </c>
      <c r="V24" s="126">
        <f t="shared" si="73"/>
        <v>127444.44444444444</v>
      </c>
      <c r="W24" s="126">
        <f t="shared" si="73"/>
        <v>123333.33333333333</v>
      </c>
      <c r="X24" s="126">
        <f t="shared" si="73"/>
        <v>127444.44444444444</v>
      </c>
      <c r="Y24" s="126">
        <f t="shared" si="73"/>
        <v>123333.33333333333</v>
      </c>
      <c r="Z24" s="126">
        <f t="shared" si="73"/>
        <v>127444.44444444444</v>
      </c>
      <c r="AA24" s="126">
        <f t="shared" si="73"/>
        <v>127444.44444444444</v>
      </c>
      <c r="AB24" s="126">
        <f t="shared" si="73"/>
        <v>119222.22222222222</v>
      </c>
      <c r="AC24" s="126">
        <f t="shared" si="73"/>
        <v>127444.44444444444</v>
      </c>
      <c r="AD24" s="126">
        <f t="shared" si="73"/>
        <v>123333.33333333333</v>
      </c>
      <c r="AE24" s="126">
        <f t="shared" si="73"/>
        <v>127444.44444444444</v>
      </c>
      <c r="AF24" s="126">
        <f t="shared" si="73"/>
        <v>123333.33333333333</v>
      </c>
      <c r="AG24" s="126">
        <f t="shared" si="73"/>
        <v>127444.44444444444</v>
      </c>
      <c r="AH24" s="126">
        <f t="shared" si="73"/>
        <v>127444.44444444444</v>
      </c>
      <c r="AI24" s="126">
        <f t="shared" si="73"/>
        <v>123333.33333333333</v>
      </c>
      <c r="AJ24" s="126">
        <f t="shared" si="73"/>
        <v>127444.44444444444</v>
      </c>
      <c r="AK24" s="126">
        <f t="shared" si="73"/>
        <v>123333.33333333333</v>
      </c>
      <c r="AL24" s="126">
        <f t="shared" si="73"/>
        <v>127444.44444444444</v>
      </c>
      <c r="AM24" s="126">
        <f t="shared" si="73"/>
        <v>127444.44444444444</v>
      </c>
      <c r="AN24" s="126">
        <f t="shared" si="73"/>
        <v>115111.11111111111</v>
      </c>
      <c r="AO24" s="126">
        <f t="shared" si="73"/>
        <v>127444.44444444444</v>
      </c>
      <c r="AP24" s="126">
        <f t="shared" si="73"/>
        <v>123333.33333333333</v>
      </c>
      <c r="AQ24" s="126">
        <f t="shared" si="73"/>
        <v>127444.44444444444</v>
      </c>
      <c r="AR24" s="126">
        <f t="shared" si="73"/>
        <v>123333.33333333333</v>
      </c>
      <c r="AS24" s="126">
        <f t="shared" si="73"/>
        <v>127444.44444444444</v>
      </c>
      <c r="AT24" s="126">
        <f t="shared" si="73"/>
        <v>127444.44444444444</v>
      </c>
      <c r="AU24" s="126">
        <f t="shared" si="73"/>
        <v>123333.33333333333</v>
      </c>
    </row>
    <row r="25" spans="1:47">
      <c r="A25" s="119">
        <f>ROW()</f>
        <v>25</v>
      </c>
      <c r="C25" s="207" t="str">
        <f>'A&amp;R'!B39</f>
        <v>Senior Loan</v>
      </c>
      <c r="J25" s="126">
        <f t="shared" si="69"/>
        <v>4505777.777777778</v>
      </c>
      <c r="L25" s="126">
        <f>-L46</f>
        <v>127444.44444444444</v>
      </c>
      <c r="M25" s="126">
        <f t="shared" ref="M25:AU25" si="74">-M46</f>
        <v>123333.33333333333</v>
      </c>
      <c r="N25" s="126">
        <f t="shared" si="74"/>
        <v>127444.44444444444</v>
      </c>
      <c r="O25" s="126">
        <f t="shared" si="74"/>
        <v>127444.44444444444</v>
      </c>
      <c r="P25" s="126">
        <f t="shared" si="74"/>
        <v>115111.11111111111</v>
      </c>
      <c r="Q25" s="126">
        <f t="shared" si="74"/>
        <v>127444.44444444444</v>
      </c>
      <c r="R25" s="126">
        <f t="shared" si="74"/>
        <v>123333.33333333333</v>
      </c>
      <c r="S25" s="126">
        <f t="shared" si="74"/>
        <v>127444.44444444444</v>
      </c>
      <c r="T25" s="126">
        <f t="shared" si="74"/>
        <v>123333.33333333333</v>
      </c>
      <c r="U25" s="126">
        <f t="shared" si="74"/>
        <v>127444.44444444444</v>
      </c>
      <c r="V25" s="126">
        <f t="shared" si="74"/>
        <v>127444.44444444444</v>
      </c>
      <c r="W25" s="126">
        <f t="shared" si="74"/>
        <v>123333.33333333333</v>
      </c>
      <c r="X25" s="126">
        <f t="shared" si="74"/>
        <v>127444.44444444444</v>
      </c>
      <c r="Y25" s="126">
        <f t="shared" si="74"/>
        <v>123333.33333333333</v>
      </c>
      <c r="Z25" s="126">
        <f t="shared" si="74"/>
        <v>127444.44444444444</v>
      </c>
      <c r="AA25" s="126">
        <f t="shared" si="74"/>
        <v>127444.44444444444</v>
      </c>
      <c r="AB25" s="126">
        <f t="shared" si="74"/>
        <v>119222.22222222222</v>
      </c>
      <c r="AC25" s="126">
        <f t="shared" si="74"/>
        <v>127444.44444444444</v>
      </c>
      <c r="AD25" s="126">
        <f t="shared" si="74"/>
        <v>123333.33333333333</v>
      </c>
      <c r="AE25" s="126">
        <f t="shared" si="74"/>
        <v>127444.44444444444</v>
      </c>
      <c r="AF25" s="126">
        <f t="shared" si="74"/>
        <v>123333.33333333333</v>
      </c>
      <c r="AG25" s="126">
        <f t="shared" si="74"/>
        <v>127444.44444444444</v>
      </c>
      <c r="AH25" s="126">
        <f t="shared" si="74"/>
        <v>127444.44444444444</v>
      </c>
      <c r="AI25" s="126">
        <f t="shared" si="74"/>
        <v>123333.33333333333</v>
      </c>
      <c r="AJ25" s="126">
        <f t="shared" si="74"/>
        <v>127444.44444444444</v>
      </c>
      <c r="AK25" s="126">
        <f t="shared" si="74"/>
        <v>123333.33333333333</v>
      </c>
      <c r="AL25" s="126">
        <f t="shared" si="74"/>
        <v>127444.44444444444</v>
      </c>
      <c r="AM25" s="126">
        <f t="shared" si="74"/>
        <v>127444.44444444444</v>
      </c>
      <c r="AN25" s="126">
        <f t="shared" si="74"/>
        <v>115111.11111111111</v>
      </c>
      <c r="AO25" s="126">
        <f t="shared" si="74"/>
        <v>127444.44444444444</v>
      </c>
      <c r="AP25" s="126">
        <f t="shared" si="74"/>
        <v>123333.33333333333</v>
      </c>
      <c r="AQ25" s="126">
        <f t="shared" si="74"/>
        <v>127444.44444444444</v>
      </c>
      <c r="AR25" s="126">
        <f t="shared" si="74"/>
        <v>123333.33333333333</v>
      </c>
      <c r="AS25" s="126">
        <f t="shared" si="74"/>
        <v>127444.44444444444</v>
      </c>
      <c r="AT25" s="126">
        <f t="shared" si="74"/>
        <v>127444.44444444444</v>
      </c>
      <c r="AU25" s="126">
        <f t="shared" si="74"/>
        <v>123333.33333333333</v>
      </c>
    </row>
    <row r="26" spans="1:47" hidden="1">
      <c r="A26" s="119">
        <f>ROW()</f>
        <v>26</v>
      </c>
      <c r="C26" s="121">
        <f>'A&amp;R'!B40</f>
        <v>0</v>
      </c>
      <c r="D26" s="123"/>
      <c r="E26" s="123"/>
      <c r="F26" s="123"/>
      <c r="G26" s="123"/>
      <c r="H26" s="123"/>
      <c r="I26" s="123"/>
      <c r="J26" s="118">
        <f t="shared" si="69"/>
        <v>0</v>
      </c>
      <c r="K26" s="123"/>
      <c r="L26" s="118">
        <f>-L52</f>
        <v>0</v>
      </c>
      <c r="M26" s="118">
        <f t="shared" ref="M26:AU26" si="75">-M52</f>
        <v>0</v>
      </c>
      <c r="N26" s="118">
        <f t="shared" si="75"/>
        <v>0</v>
      </c>
      <c r="O26" s="118">
        <f t="shared" si="75"/>
        <v>0</v>
      </c>
      <c r="P26" s="118">
        <f t="shared" si="75"/>
        <v>0</v>
      </c>
      <c r="Q26" s="118">
        <f t="shared" si="75"/>
        <v>0</v>
      </c>
      <c r="R26" s="118">
        <f t="shared" si="75"/>
        <v>0</v>
      </c>
      <c r="S26" s="118">
        <f t="shared" si="75"/>
        <v>0</v>
      </c>
      <c r="T26" s="118">
        <f t="shared" si="75"/>
        <v>0</v>
      </c>
      <c r="U26" s="118">
        <f t="shared" si="75"/>
        <v>0</v>
      </c>
      <c r="V26" s="118">
        <f t="shared" si="75"/>
        <v>0</v>
      </c>
      <c r="W26" s="118">
        <f t="shared" si="75"/>
        <v>0</v>
      </c>
      <c r="X26" s="118">
        <f t="shared" si="75"/>
        <v>0</v>
      </c>
      <c r="Y26" s="118">
        <f t="shared" si="75"/>
        <v>0</v>
      </c>
      <c r="Z26" s="118">
        <f t="shared" si="75"/>
        <v>0</v>
      </c>
      <c r="AA26" s="118">
        <f t="shared" si="75"/>
        <v>0</v>
      </c>
      <c r="AB26" s="118">
        <f t="shared" si="75"/>
        <v>0</v>
      </c>
      <c r="AC26" s="118">
        <f t="shared" si="75"/>
        <v>0</v>
      </c>
      <c r="AD26" s="118">
        <f t="shared" si="75"/>
        <v>0</v>
      </c>
      <c r="AE26" s="118">
        <f t="shared" si="75"/>
        <v>0</v>
      </c>
      <c r="AF26" s="118">
        <f t="shared" si="75"/>
        <v>0</v>
      </c>
      <c r="AG26" s="118">
        <f t="shared" si="75"/>
        <v>0</v>
      </c>
      <c r="AH26" s="118">
        <f t="shared" si="75"/>
        <v>0</v>
      </c>
      <c r="AI26" s="118">
        <f t="shared" si="75"/>
        <v>0</v>
      </c>
      <c r="AJ26" s="118">
        <f t="shared" si="75"/>
        <v>0</v>
      </c>
      <c r="AK26" s="118">
        <f t="shared" si="75"/>
        <v>0</v>
      </c>
      <c r="AL26" s="118">
        <f t="shared" si="75"/>
        <v>0</v>
      </c>
      <c r="AM26" s="118">
        <f t="shared" si="75"/>
        <v>0</v>
      </c>
      <c r="AN26" s="118">
        <f t="shared" si="75"/>
        <v>0</v>
      </c>
      <c r="AO26" s="118">
        <f t="shared" si="75"/>
        <v>0</v>
      </c>
      <c r="AP26" s="118">
        <f t="shared" si="75"/>
        <v>0</v>
      </c>
      <c r="AQ26" s="118">
        <f t="shared" si="75"/>
        <v>0</v>
      </c>
      <c r="AR26" s="118">
        <f t="shared" si="75"/>
        <v>0</v>
      </c>
      <c r="AS26" s="118">
        <f t="shared" si="75"/>
        <v>0</v>
      </c>
      <c r="AT26" s="118">
        <f t="shared" si="75"/>
        <v>0</v>
      </c>
      <c r="AU26" s="118">
        <f t="shared" si="75"/>
        <v>0</v>
      </c>
    </row>
    <row r="27" spans="1:47" hidden="1">
      <c r="A27" s="119">
        <f>ROW()</f>
        <v>27</v>
      </c>
      <c r="C27" s="207">
        <f>'A&amp;R'!B41</f>
        <v>0</v>
      </c>
      <c r="J27" s="126">
        <f t="shared" si="69"/>
        <v>0</v>
      </c>
      <c r="L27" s="126">
        <f>-L58</f>
        <v>0</v>
      </c>
      <c r="M27" s="126">
        <f t="shared" ref="M27:AU27" si="76">-M58</f>
        <v>0</v>
      </c>
      <c r="N27" s="126">
        <f t="shared" si="76"/>
        <v>0</v>
      </c>
      <c r="O27" s="126">
        <f t="shared" si="76"/>
        <v>0</v>
      </c>
      <c r="P27" s="126">
        <f t="shared" si="76"/>
        <v>0</v>
      </c>
      <c r="Q27" s="126">
        <f t="shared" si="76"/>
        <v>0</v>
      </c>
      <c r="R27" s="126">
        <f t="shared" si="76"/>
        <v>0</v>
      </c>
      <c r="S27" s="126">
        <f t="shared" si="76"/>
        <v>0</v>
      </c>
      <c r="T27" s="126">
        <f t="shared" si="76"/>
        <v>0</v>
      </c>
      <c r="U27" s="126">
        <f t="shared" si="76"/>
        <v>0</v>
      </c>
      <c r="V27" s="126">
        <f t="shared" si="76"/>
        <v>0</v>
      </c>
      <c r="W27" s="126">
        <f t="shared" si="76"/>
        <v>0</v>
      </c>
      <c r="X27" s="126">
        <f t="shared" si="76"/>
        <v>0</v>
      </c>
      <c r="Y27" s="126">
        <f t="shared" si="76"/>
        <v>0</v>
      </c>
      <c r="Z27" s="126">
        <f t="shared" si="76"/>
        <v>0</v>
      </c>
      <c r="AA27" s="126">
        <f t="shared" si="76"/>
        <v>0</v>
      </c>
      <c r="AB27" s="126">
        <f t="shared" si="76"/>
        <v>0</v>
      </c>
      <c r="AC27" s="126">
        <f t="shared" si="76"/>
        <v>0</v>
      </c>
      <c r="AD27" s="126">
        <f t="shared" si="76"/>
        <v>0</v>
      </c>
      <c r="AE27" s="126">
        <f t="shared" si="76"/>
        <v>0</v>
      </c>
      <c r="AF27" s="126">
        <f t="shared" si="76"/>
        <v>0</v>
      </c>
      <c r="AG27" s="126">
        <f t="shared" si="76"/>
        <v>0</v>
      </c>
      <c r="AH27" s="126">
        <f t="shared" si="76"/>
        <v>0</v>
      </c>
      <c r="AI27" s="126">
        <f t="shared" si="76"/>
        <v>0</v>
      </c>
      <c r="AJ27" s="126">
        <f t="shared" si="76"/>
        <v>0</v>
      </c>
      <c r="AK27" s="126">
        <f t="shared" si="76"/>
        <v>0</v>
      </c>
      <c r="AL27" s="126">
        <f t="shared" si="76"/>
        <v>0</v>
      </c>
      <c r="AM27" s="126">
        <f t="shared" si="76"/>
        <v>0</v>
      </c>
      <c r="AN27" s="126">
        <f t="shared" si="76"/>
        <v>0</v>
      </c>
      <c r="AO27" s="126">
        <f t="shared" si="76"/>
        <v>0</v>
      </c>
      <c r="AP27" s="126">
        <f t="shared" si="76"/>
        <v>0</v>
      </c>
      <c r="AQ27" s="126">
        <f t="shared" si="76"/>
        <v>0</v>
      </c>
      <c r="AR27" s="126">
        <f t="shared" si="76"/>
        <v>0</v>
      </c>
      <c r="AS27" s="126">
        <f t="shared" si="76"/>
        <v>0</v>
      </c>
      <c r="AT27" s="126">
        <f t="shared" si="76"/>
        <v>0</v>
      </c>
      <c r="AU27" s="126">
        <f t="shared" si="76"/>
        <v>0</v>
      </c>
    </row>
    <row r="28" spans="1:47" hidden="1">
      <c r="A28" s="119">
        <f>ROW()</f>
        <v>28</v>
      </c>
      <c r="C28" s="131">
        <v>0</v>
      </c>
      <c r="D28" s="125"/>
      <c r="E28" s="125"/>
      <c r="F28" s="125"/>
      <c r="G28" s="125"/>
      <c r="H28" s="125"/>
      <c r="I28" s="125"/>
      <c r="J28" s="129">
        <f t="shared" si="69"/>
        <v>0</v>
      </c>
      <c r="K28" s="125"/>
      <c r="L28" s="129">
        <f>-L64</f>
        <v>0</v>
      </c>
      <c r="M28" s="129">
        <f t="shared" ref="M28:AU28" si="77">-M64</f>
        <v>0</v>
      </c>
      <c r="N28" s="129">
        <f t="shared" si="77"/>
        <v>0</v>
      </c>
      <c r="O28" s="129">
        <f t="shared" si="77"/>
        <v>0</v>
      </c>
      <c r="P28" s="129">
        <f t="shared" si="77"/>
        <v>0</v>
      </c>
      <c r="Q28" s="129">
        <f t="shared" si="77"/>
        <v>0</v>
      </c>
      <c r="R28" s="129">
        <f t="shared" si="77"/>
        <v>0</v>
      </c>
      <c r="S28" s="129">
        <f t="shared" si="77"/>
        <v>0</v>
      </c>
      <c r="T28" s="129">
        <f t="shared" si="77"/>
        <v>0</v>
      </c>
      <c r="U28" s="129">
        <f t="shared" si="77"/>
        <v>0</v>
      </c>
      <c r="V28" s="129">
        <f t="shared" si="77"/>
        <v>0</v>
      </c>
      <c r="W28" s="129">
        <f t="shared" si="77"/>
        <v>0</v>
      </c>
      <c r="X28" s="129">
        <f t="shared" si="77"/>
        <v>0</v>
      </c>
      <c r="Y28" s="129">
        <f t="shared" si="77"/>
        <v>0</v>
      </c>
      <c r="Z28" s="129">
        <f t="shared" si="77"/>
        <v>0</v>
      </c>
      <c r="AA28" s="129">
        <f t="shared" si="77"/>
        <v>0</v>
      </c>
      <c r="AB28" s="129">
        <f t="shared" si="77"/>
        <v>0</v>
      </c>
      <c r="AC28" s="129">
        <f t="shared" si="77"/>
        <v>0</v>
      </c>
      <c r="AD28" s="129">
        <f t="shared" si="77"/>
        <v>0</v>
      </c>
      <c r="AE28" s="129">
        <f t="shared" si="77"/>
        <v>0</v>
      </c>
      <c r="AF28" s="129">
        <f t="shared" si="77"/>
        <v>0</v>
      </c>
      <c r="AG28" s="129">
        <f t="shared" si="77"/>
        <v>0</v>
      </c>
      <c r="AH28" s="129">
        <f t="shared" si="77"/>
        <v>0</v>
      </c>
      <c r="AI28" s="129">
        <f t="shared" si="77"/>
        <v>0</v>
      </c>
      <c r="AJ28" s="129">
        <f t="shared" si="77"/>
        <v>0</v>
      </c>
      <c r="AK28" s="129">
        <f t="shared" si="77"/>
        <v>0</v>
      </c>
      <c r="AL28" s="129">
        <f t="shared" si="77"/>
        <v>0</v>
      </c>
      <c r="AM28" s="129">
        <f t="shared" si="77"/>
        <v>0</v>
      </c>
      <c r="AN28" s="129">
        <f t="shared" si="77"/>
        <v>0</v>
      </c>
      <c r="AO28" s="129">
        <f t="shared" si="77"/>
        <v>0</v>
      </c>
      <c r="AP28" s="129">
        <f t="shared" si="77"/>
        <v>0</v>
      </c>
      <c r="AQ28" s="129">
        <f t="shared" si="77"/>
        <v>0</v>
      </c>
      <c r="AR28" s="129">
        <f t="shared" si="77"/>
        <v>0</v>
      </c>
      <c r="AS28" s="129">
        <f t="shared" si="77"/>
        <v>0</v>
      </c>
      <c r="AT28" s="129">
        <f t="shared" si="77"/>
        <v>0</v>
      </c>
      <c r="AU28" s="129">
        <f t="shared" si="77"/>
        <v>0</v>
      </c>
    </row>
    <row r="29" spans="1:47">
      <c r="A29" s="119">
        <f>ROW()</f>
        <v>29</v>
      </c>
      <c r="C29" s="453" t="s">
        <v>289</v>
      </c>
      <c r="D29" s="449"/>
      <c r="E29" s="449"/>
      <c r="F29" s="449"/>
      <c r="G29" s="449"/>
      <c r="H29" s="449"/>
      <c r="I29" s="449"/>
      <c r="J29" s="452">
        <f t="shared" si="69"/>
        <v>9382248.0672738012</v>
      </c>
      <c r="K29" s="491"/>
      <c r="L29" s="452">
        <f t="shared" ref="L29:AQ29" si="78">L23-L24</f>
        <v>239793.4461638889</v>
      </c>
      <c r="M29" s="452">
        <f t="shared" si="78"/>
        <v>243904.55727500003</v>
      </c>
      <c r="N29" s="452">
        <f t="shared" si="78"/>
        <v>239793.4461638889</v>
      </c>
      <c r="O29" s="452">
        <f t="shared" si="78"/>
        <v>254645.93923577433</v>
      </c>
      <c r="P29" s="452">
        <f t="shared" si="78"/>
        <v>267230.31673610763</v>
      </c>
      <c r="Q29" s="452">
        <f t="shared" si="78"/>
        <v>250354.97673577431</v>
      </c>
      <c r="R29" s="452">
        <f t="shared" si="78"/>
        <v>254466.08784688544</v>
      </c>
      <c r="S29" s="452">
        <f t="shared" si="78"/>
        <v>250354.97673577431</v>
      </c>
      <c r="T29" s="452">
        <f t="shared" si="78"/>
        <v>254466.08784688544</v>
      </c>
      <c r="U29" s="452">
        <f t="shared" si="78"/>
        <v>248267.27916360763</v>
      </c>
      <c r="V29" s="452">
        <f t="shared" si="78"/>
        <v>248267.27916360763</v>
      </c>
      <c r="W29" s="452">
        <f t="shared" si="78"/>
        <v>256846.98465371877</v>
      </c>
      <c r="X29" s="452">
        <f t="shared" si="78"/>
        <v>251218.08302285767</v>
      </c>
      <c r="Y29" s="452">
        <f t="shared" si="78"/>
        <v>255329.19413396879</v>
      </c>
      <c r="Z29" s="452">
        <f t="shared" si="78"/>
        <v>251218.08302285767</v>
      </c>
      <c r="AA29" s="452">
        <f t="shared" si="78"/>
        <v>266975.1619751011</v>
      </c>
      <c r="AB29" s="452">
        <f t="shared" si="78"/>
        <v>275197.38419732335</v>
      </c>
      <c r="AC29" s="452">
        <f t="shared" si="78"/>
        <v>266975.1619751011</v>
      </c>
      <c r="AD29" s="452">
        <f t="shared" si="78"/>
        <v>271086.27308621223</v>
      </c>
      <c r="AE29" s="452">
        <f t="shared" si="78"/>
        <v>266975.1619751011</v>
      </c>
      <c r="AF29" s="452">
        <f t="shared" si="78"/>
        <v>271086.27308621223</v>
      </c>
      <c r="AG29" s="452">
        <f t="shared" si="78"/>
        <v>262685.81295368442</v>
      </c>
      <c r="AH29" s="452">
        <f t="shared" si="78"/>
        <v>262685.81295368442</v>
      </c>
      <c r="AI29" s="452">
        <f t="shared" si="78"/>
        <v>266796.92406479554</v>
      </c>
      <c r="AJ29" s="452">
        <f t="shared" si="78"/>
        <v>253202.80607835104</v>
      </c>
      <c r="AK29" s="452">
        <f t="shared" si="78"/>
        <v>257313.91718946217</v>
      </c>
      <c r="AL29" s="452">
        <f t="shared" si="78"/>
        <v>253202.80607835104</v>
      </c>
      <c r="AM29" s="452">
        <f t="shared" si="78"/>
        <v>269510.75114645297</v>
      </c>
      <c r="AN29" s="452">
        <f t="shared" si="78"/>
        <v>281844.08447978628</v>
      </c>
      <c r="AO29" s="452">
        <f t="shared" si="78"/>
        <v>269510.75114645297</v>
      </c>
      <c r="AP29" s="452">
        <f t="shared" si="78"/>
        <v>273621.86225756409</v>
      </c>
      <c r="AQ29" s="452">
        <f t="shared" si="78"/>
        <v>269510.75114645297</v>
      </c>
      <c r="AR29" s="452">
        <f t="shared" ref="AR29:AU29" si="79">AR23-AR24</f>
        <v>273621.86225756409</v>
      </c>
      <c r="AS29" s="452">
        <f t="shared" si="79"/>
        <v>266725.55340481328</v>
      </c>
      <c r="AT29" s="452">
        <f t="shared" si="79"/>
        <v>266725.55340481328</v>
      </c>
      <c r="AU29" s="452">
        <f t="shared" si="79"/>
        <v>270836.66451592441</v>
      </c>
    </row>
    <row r="30" spans="1:47" hidden="1">
      <c r="A30" s="119">
        <f>ROW()</f>
        <v>30</v>
      </c>
      <c r="C30" s="210" t="s">
        <v>67</v>
      </c>
      <c r="D30" s="123"/>
      <c r="E30" s="123"/>
      <c r="F30" s="123"/>
      <c r="G30" s="123"/>
      <c r="H30" s="123"/>
      <c r="I30" s="123"/>
      <c r="J30" s="118">
        <f t="shared" si="69"/>
        <v>0</v>
      </c>
      <c r="K30" s="123"/>
      <c r="L30" s="118">
        <f>-L70</f>
        <v>0</v>
      </c>
      <c r="M30" s="118">
        <f>-M70</f>
        <v>0</v>
      </c>
      <c r="N30" s="118">
        <f t="shared" ref="N30:AU30" si="80">-N70</f>
        <v>0</v>
      </c>
      <c r="O30" s="118">
        <f t="shared" si="80"/>
        <v>0</v>
      </c>
      <c r="P30" s="118">
        <f t="shared" si="80"/>
        <v>0</v>
      </c>
      <c r="Q30" s="118">
        <f t="shared" si="80"/>
        <v>0</v>
      </c>
      <c r="R30" s="118">
        <f t="shared" si="80"/>
        <v>0</v>
      </c>
      <c r="S30" s="118">
        <f t="shared" si="80"/>
        <v>0</v>
      </c>
      <c r="T30" s="118">
        <f t="shared" si="80"/>
        <v>0</v>
      </c>
      <c r="U30" s="118">
        <f t="shared" si="80"/>
        <v>0</v>
      </c>
      <c r="V30" s="118">
        <f t="shared" si="80"/>
        <v>0</v>
      </c>
      <c r="W30" s="118">
        <f t="shared" si="80"/>
        <v>0</v>
      </c>
      <c r="X30" s="118">
        <f t="shared" si="80"/>
        <v>0</v>
      </c>
      <c r="Y30" s="118">
        <f t="shared" si="80"/>
        <v>0</v>
      </c>
      <c r="Z30" s="118">
        <f t="shared" si="80"/>
        <v>0</v>
      </c>
      <c r="AA30" s="118">
        <f t="shared" si="80"/>
        <v>0</v>
      </c>
      <c r="AB30" s="118">
        <f t="shared" si="80"/>
        <v>0</v>
      </c>
      <c r="AC30" s="118">
        <f t="shared" si="80"/>
        <v>0</v>
      </c>
      <c r="AD30" s="118">
        <f t="shared" si="80"/>
        <v>0</v>
      </c>
      <c r="AE30" s="118">
        <f t="shared" si="80"/>
        <v>0</v>
      </c>
      <c r="AF30" s="118">
        <f t="shared" si="80"/>
        <v>0</v>
      </c>
      <c r="AG30" s="118">
        <f t="shared" si="80"/>
        <v>0</v>
      </c>
      <c r="AH30" s="118">
        <f t="shared" si="80"/>
        <v>0</v>
      </c>
      <c r="AI30" s="118">
        <f t="shared" si="80"/>
        <v>0</v>
      </c>
      <c r="AJ30" s="118">
        <f t="shared" si="80"/>
        <v>0</v>
      </c>
      <c r="AK30" s="118">
        <f t="shared" si="80"/>
        <v>0</v>
      </c>
      <c r="AL30" s="118">
        <f t="shared" si="80"/>
        <v>0</v>
      </c>
      <c r="AM30" s="118">
        <f t="shared" si="80"/>
        <v>0</v>
      </c>
      <c r="AN30" s="118">
        <f t="shared" si="80"/>
        <v>0</v>
      </c>
      <c r="AO30" s="118">
        <f t="shared" si="80"/>
        <v>0</v>
      </c>
      <c r="AP30" s="118">
        <f t="shared" si="80"/>
        <v>0</v>
      </c>
      <c r="AQ30" s="118">
        <f t="shared" si="80"/>
        <v>0</v>
      </c>
      <c r="AR30" s="118">
        <f t="shared" si="80"/>
        <v>0</v>
      </c>
      <c r="AS30" s="118">
        <f t="shared" si="80"/>
        <v>0</v>
      </c>
      <c r="AT30" s="118">
        <f t="shared" si="80"/>
        <v>0</v>
      </c>
      <c r="AU30" s="118">
        <f t="shared" si="80"/>
        <v>0</v>
      </c>
    </row>
    <row r="31" spans="1:47" hidden="1">
      <c r="A31" s="119">
        <f>ROW()</f>
        <v>31</v>
      </c>
      <c r="C31" s="211" t="s">
        <v>68</v>
      </c>
      <c r="D31" s="125"/>
      <c r="E31" s="125"/>
      <c r="F31" s="125"/>
      <c r="G31" s="289"/>
      <c r="H31" s="125"/>
      <c r="I31" s="125"/>
      <c r="J31" s="129">
        <f t="shared" si="69"/>
        <v>0</v>
      </c>
      <c r="K31" s="125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206">
        <f>$G$31/3</f>
        <v>0</v>
      </c>
      <c r="AD31" s="206">
        <f t="shared" ref="AD31:AE31" si="81">$G$31/3</f>
        <v>0</v>
      </c>
      <c r="AE31" s="206">
        <f t="shared" si="81"/>
        <v>0</v>
      </c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</row>
    <row r="32" spans="1:47" hidden="1">
      <c r="A32" s="119">
        <f>ROW()</f>
        <v>32</v>
      </c>
      <c r="C32" s="212" t="s">
        <v>69</v>
      </c>
      <c r="D32" s="123"/>
      <c r="E32" s="123"/>
      <c r="F32" s="123"/>
      <c r="G32" s="123"/>
      <c r="H32" s="123"/>
      <c r="I32" s="123"/>
      <c r="J32" s="118">
        <f t="shared" si="69"/>
        <v>9382248.0672738012</v>
      </c>
      <c r="K32" s="123"/>
      <c r="L32" s="118">
        <f>L29-L30-L31</f>
        <v>239793.4461638889</v>
      </c>
      <c r="M32" s="118">
        <f t="shared" ref="M32:AU32" si="82">M29-M30-M31</f>
        <v>243904.55727500003</v>
      </c>
      <c r="N32" s="118">
        <f t="shared" si="82"/>
        <v>239793.4461638889</v>
      </c>
      <c r="O32" s="118">
        <f t="shared" si="82"/>
        <v>254645.93923577433</v>
      </c>
      <c r="P32" s="118">
        <f t="shared" si="82"/>
        <v>267230.31673610763</v>
      </c>
      <c r="Q32" s="118">
        <f t="shared" si="82"/>
        <v>250354.97673577431</v>
      </c>
      <c r="R32" s="118">
        <f t="shared" si="82"/>
        <v>254466.08784688544</v>
      </c>
      <c r="S32" s="118">
        <f t="shared" si="82"/>
        <v>250354.97673577431</v>
      </c>
      <c r="T32" s="118">
        <f t="shared" si="82"/>
        <v>254466.08784688544</v>
      </c>
      <c r="U32" s="118">
        <f t="shared" si="82"/>
        <v>248267.27916360763</v>
      </c>
      <c r="V32" s="118">
        <f t="shared" si="82"/>
        <v>248267.27916360763</v>
      </c>
      <c r="W32" s="118">
        <f t="shared" si="82"/>
        <v>256846.98465371877</v>
      </c>
      <c r="X32" s="118">
        <f t="shared" si="82"/>
        <v>251218.08302285767</v>
      </c>
      <c r="Y32" s="118">
        <f t="shared" si="82"/>
        <v>255329.19413396879</v>
      </c>
      <c r="Z32" s="118">
        <f t="shared" si="82"/>
        <v>251218.08302285767</v>
      </c>
      <c r="AA32" s="118">
        <f t="shared" si="82"/>
        <v>266975.1619751011</v>
      </c>
      <c r="AB32" s="118">
        <f t="shared" si="82"/>
        <v>275197.38419732335</v>
      </c>
      <c r="AC32" s="118">
        <f t="shared" si="82"/>
        <v>266975.1619751011</v>
      </c>
      <c r="AD32" s="118">
        <f t="shared" si="82"/>
        <v>271086.27308621223</v>
      </c>
      <c r="AE32" s="118">
        <f t="shared" si="82"/>
        <v>266975.1619751011</v>
      </c>
      <c r="AF32" s="118">
        <f t="shared" si="82"/>
        <v>271086.27308621223</v>
      </c>
      <c r="AG32" s="118">
        <f t="shared" si="82"/>
        <v>262685.81295368442</v>
      </c>
      <c r="AH32" s="118">
        <f t="shared" si="82"/>
        <v>262685.81295368442</v>
      </c>
      <c r="AI32" s="118">
        <f t="shared" si="82"/>
        <v>266796.92406479554</v>
      </c>
      <c r="AJ32" s="118">
        <f t="shared" si="82"/>
        <v>253202.80607835104</v>
      </c>
      <c r="AK32" s="118">
        <f t="shared" si="82"/>
        <v>257313.91718946217</v>
      </c>
      <c r="AL32" s="118">
        <f t="shared" si="82"/>
        <v>253202.80607835104</v>
      </c>
      <c r="AM32" s="118">
        <f t="shared" si="82"/>
        <v>269510.75114645297</v>
      </c>
      <c r="AN32" s="118">
        <f t="shared" si="82"/>
        <v>281844.08447978628</v>
      </c>
      <c r="AO32" s="118">
        <f t="shared" si="82"/>
        <v>269510.75114645297</v>
      </c>
      <c r="AP32" s="118">
        <f t="shared" si="82"/>
        <v>273621.86225756409</v>
      </c>
      <c r="AQ32" s="118">
        <f t="shared" si="82"/>
        <v>269510.75114645297</v>
      </c>
      <c r="AR32" s="118">
        <f t="shared" si="82"/>
        <v>273621.86225756409</v>
      </c>
      <c r="AS32" s="118">
        <f t="shared" si="82"/>
        <v>266725.55340481328</v>
      </c>
      <c r="AT32" s="118">
        <f t="shared" si="82"/>
        <v>266725.55340481328</v>
      </c>
      <c r="AU32" s="118">
        <f t="shared" si="82"/>
        <v>270836.66451592441</v>
      </c>
    </row>
    <row r="33" spans="1:47">
      <c r="C33" s="121"/>
      <c r="D33" s="123"/>
      <c r="E33" s="123"/>
      <c r="F33" s="123"/>
      <c r="G33" s="123"/>
      <c r="H33" s="123"/>
      <c r="I33" s="123"/>
      <c r="J33" s="118"/>
      <c r="K33" s="123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</row>
    <row r="34" spans="1:47">
      <c r="C34" s="134"/>
      <c r="H34" s="134"/>
    </row>
    <row r="35" spans="1:47">
      <c r="C35" s="134"/>
      <c r="H35" s="134"/>
    </row>
    <row r="36" spans="1:47" hidden="1" outlineLevel="1">
      <c r="D36" s="213" t="s">
        <v>70</v>
      </c>
      <c r="E36" s="290">
        <f>'A&amp;R'!H36</f>
        <v>43373</v>
      </c>
      <c r="I36" s="214" t="s">
        <v>71</v>
      </c>
      <c r="J36" s="126">
        <f>SUM(K36:AU36)</f>
        <v>1096</v>
      </c>
      <c r="L36" s="132">
        <f>L13-E36</f>
        <v>31</v>
      </c>
      <c r="M36" s="126">
        <f>(M$13-L$13)*M$9</f>
        <v>30</v>
      </c>
      <c r="N36" s="126">
        <f t="shared" ref="N36:AU36" si="83">(N$13-M$13)*N$9</f>
        <v>31</v>
      </c>
      <c r="O36" s="126">
        <f t="shared" si="83"/>
        <v>31</v>
      </c>
      <c r="P36" s="126">
        <f t="shared" si="83"/>
        <v>28</v>
      </c>
      <c r="Q36" s="126">
        <f t="shared" si="83"/>
        <v>31</v>
      </c>
      <c r="R36" s="126">
        <f t="shared" si="83"/>
        <v>30</v>
      </c>
      <c r="S36" s="126">
        <f t="shared" si="83"/>
        <v>31</v>
      </c>
      <c r="T36" s="126">
        <f t="shared" si="83"/>
        <v>30</v>
      </c>
      <c r="U36" s="126">
        <f t="shared" si="83"/>
        <v>31</v>
      </c>
      <c r="V36" s="126">
        <f t="shared" si="83"/>
        <v>31</v>
      </c>
      <c r="W36" s="126">
        <f t="shared" si="83"/>
        <v>30</v>
      </c>
      <c r="X36" s="126">
        <f t="shared" si="83"/>
        <v>31</v>
      </c>
      <c r="Y36" s="126">
        <f t="shared" si="83"/>
        <v>30</v>
      </c>
      <c r="Z36" s="126">
        <f t="shared" si="83"/>
        <v>31</v>
      </c>
      <c r="AA36" s="126">
        <f t="shared" si="83"/>
        <v>31</v>
      </c>
      <c r="AB36" s="126">
        <f t="shared" si="83"/>
        <v>29</v>
      </c>
      <c r="AC36" s="126">
        <f t="shared" si="83"/>
        <v>31</v>
      </c>
      <c r="AD36" s="126">
        <f t="shared" si="83"/>
        <v>30</v>
      </c>
      <c r="AE36" s="126">
        <f t="shared" si="83"/>
        <v>31</v>
      </c>
      <c r="AF36" s="126">
        <f t="shared" si="83"/>
        <v>30</v>
      </c>
      <c r="AG36" s="126">
        <f t="shared" si="83"/>
        <v>31</v>
      </c>
      <c r="AH36" s="126">
        <f t="shared" si="83"/>
        <v>31</v>
      </c>
      <c r="AI36" s="126">
        <f t="shared" si="83"/>
        <v>30</v>
      </c>
      <c r="AJ36" s="126">
        <f t="shared" si="83"/>
        <v>31</v>
      </c>
      <c r="AK36" s="126">
        <f t="shared" si="83"/>
        <v>30</v>
      </c>
      <c r="AL36" s="126">
        <f t="shared" si="83"/>
        <v>31</v>
      </c>
      <c r="AM36" s="126">
        <f t="shared" si="83"/>
        <v>31</v>
      </c>
      <c r="AN36" s="126">
        <f t="shared" si="83"/>
        <v>28</v>
      </c>
      <c r="AO36" s="126">
        <f t="shared" si="83"/>
        <v>31</v>
      </c>
      <c r="AP36" s="126">
        <f t="shared" si="83"/>
        <v>30</v>
      </c>
      <c r="AQ36" s="126">
        <f t="shared" si="83"/>
        <v>31</v>
      </c>
      <c r="AR36" s="126">
        <f t="shared" si="83"/>
        <v>30</v>
      </c>
      <c r="AS36" s="126">
        <f t="shared" si="83"/>
        <v>31</v>
      </c>
      <c r="AT36" s="126">
        <f t="shared" si="83"/>
        <v>31</v>
      </c>
      <c r="AU36" s="126">
        <f t="shared" si="83"/>
        <v>30</v>
      </c>
    </row>
    <row r="37" spans="1:47" ht="12" hidden="1" outlineLevel="1">
      <c r="D37" s="134"/>
      <c r="F37" s="215" t="s">
        <v>72</v>
      </c>
      <c r="J37" s="126"/>
      <c r="AB37" s="126">
        <f>SUM(AB38:AB41)</f>
        <v>119222.22222222222</v>
      </c>
      <c r="AC37" s="126">
        <f t="shared" ref="AC37:AU37" si="84">SUM(AC38:AC41)</f>
        <v>127444.44444444444</v>
      </c>
      <c r="AD37" s="126">
        <f t="shared" si="84"/>
        <v>123333.33333333333</v>
      </c>
      <c r="AE37" s="126">
        <f t="shared" si="84"/>
        <v>127444.44444444444</v>
      </c>
      <c r="AF37" s="126">
        <f t="shared" si="84"/>
        <v>123333.33333333333</v>
      </c>
      <c r="AG37" s="126">
        <f t="shared" si="84"/>
        <v>127444.44444444444</v>
      </c>
      <c r="AH37" s="126">
        <f t="shared" si="84"/>
        <v>127444.44444444444</v>
      </c>
      <c r="AI37" s="126">
        <f t="shared" si="84"/>
        <v>123333.33333333333</v>
      </c>
      <c r="AJ37" s="126">
        <f t="shared" si="84"/>
        <v>127444.44444444444</v>
      </c>
      <c r="AK37" s="126">
        <f t="shared" si="84"/>
        <v>123333.33333333333</v>
      </c>
      <c r="AL37" s="126">
        <f t="shared" si="84"/>
        <v>127444.44444444444</v>
      </c>
      <c r="AM37" s="126">
        <f t="shared" si="84"/>
        <v>127444.44444444444</v>
      </c>
      <c r="AN37" s="126">
        <f t="shared" si="84"/>
        <v>115111.11111111111</v>
      </c>
      <c r="AO37" s="126">
        <f t="shared" si="84"/>
        <v>127444.44444444444</v>
      </c>
      <c r="AP37" s="126">
        <f t="shared" si="84"/>
        <v>123333.33333333333</v>
      </c>
      <c r="AQ37" s="126">
        <f t="shared" si="84"/>
        <v>127444.44444444444</v>
      </c>
      <c r="AR37" s="126">
        <f t="shared" si="84"/>
        <v>123333.33333333333</v>
      </c>
      <c r="AS37" s="126">
        <f t="shared" si="84"/>
        <v>127444.44444444444</v>
      </c>
      <c r="AT37" s="126">
        <f t="shared" si="84"/>
        <v>127444.44444444444</v>
      </c>
      <c r="AU37" s="126">
        <f t="shared" si="84"/>
        <v>123333.33333333333</v>
      </c>
    </row>
    <row r="38" spans="1:47" hidden="1" outlineLevel="1">
      <c r="A38" s="119">
        <f>ROW()</f>
        <v>38</v>
      </c>
      <c r="D38" s="291" t="str">
        <f>'A&amp;R'!B39</f>
        <v>Senior Loan</v>
      </c>
      <c r="E38" s="292">
        <f>'A&amp;R'!C39</f>
        <v>37000000</v>
      </c>
      <c r="F38" s="293">
        <f>'A&amp;R'!D39</f>
        <v>0.04</v>
      </c>
      <c r="J38" s="126">
        <f>SUM(K38:AU38)</f>
        <v>4505777.777777778</v>
      </c>
      <c r="L38" s="126">
        <f>$E38*$F38*L$36/360</f>
        <v>127444.44444444444</v>
      </c>
      <c r="M38" s="126">
        <f t="shared" ref="M38:AB41" si="85">$E38*$F38*M$36/360</f>
        <v>123333.33333333333</v>
      </c>
      <c r="N38" s="126">
        <f t="shared" si="85"/>
        <v>127444.44444444444</v>
      </c>
      <c r="O38" s="126">
        <f t="shared" si="85"/>
        <v>127444.44444444444</v>
      </c>
      <c r="P38" s="126">
        <f t="shared" si="85"/>
        <v>115111.11111111111</v>
      </c>
      <c r="Q38" s="126">
        <f t="shared" si="85"/>
        <v>127444.44444444444</v>
      </c>
      <c r="R38" s="126">
        <f t="shared" si="85"/>
        <v>123333.33333333333</v>
      </c>
      <c r="S38" s="126">
        <f t="shared" si="85"/>
        <v>127444.44444444444</v>
      </c>
      <c r="T38" s="126">
        <f t="shared" si="85"/>
        <v>123333.33333333333</v>
      </c>
      <c r="U38" s="126">
        <f t="shared" si="85"/>
        <v>127444.44444444444</v>
      </c>
      <c r="V38" s="126">
        <f t="shared" si="85"/>
        <v>127444.44444444444</v>
      </c>
      <c r="W38" s="126">
        <f t="shared" si="85"/>
        <v>123333.33333333333</v>
      </c>
      <c r="X38" s="126">
        <f t="shared" si="85"/>
        <v>127444.44444444444</v>
      </c>
      <c r="Y38" s="126">
        <f t="shared" si="85"/>
        <v>123333.33333333333</v>
      </c>
      <c r="Z38" s="126">
        <f t="shared" si="85"/>
        <v>127444.44444444444</v>
      </c>
      <c r="AA38" s="126">
        <f t="shared" si="85"/>
        <v>127444.44444444444</v>
      </c>
      <c r="AB38" s="126">
        <f t="shared" si="85"/>
        <v>119222.22222222222</v>
      </c>
      <c r="AC38" s="126">
        <f t="shared" ref="AC38:AR41" si="86">$E38*$F38*AC$36/360</f>
        <v>127444.44444444444</v>
      </c>
      <c r="AD38" s="126">
        <f t="shared" si="86"/>
        <v>123333.33333333333</v>
      </c>
      <c r="AE38" s="126">
        <f t="shared" si="86"/>
        <v>127444.44444444444</v>
      </c>
      <c r="AF38" s="126">
        <f t="shared" si="86"/>
        <v>123333.33333333333</v>
      </c>
      <c r="AG38" s="126">
        <f t="shared" si="86"/>
        <v>127444.44444444444</v>
      </c>
      <c r="AH38" s="126">
        <f t="shared" si="86"/>
        <v>127444.44444444444</v>
      </c>
      <c r="AI38" s="126">
        <f t="shared" si="86"/>
        <v>123333.33333333333</v>
      </c>
      <c r="AJ38" s="126">
        <f t="shared" si="86"/>
        <v>127444.44444444444</v>
      </c>
      <c r="AK38" s="126">
        <f t="shared" si="86"/>
        <v>123333.33333333333</v>
      </c>
      <c r="AL38" s="126">
        <f t="shared" si="86"/>
        <v>127444.44444444444</v>
      </c>
      <c r="AM38" s="126">
        <f t="shared" si="86"/>
        <v>127444.44444444444</v>
      </c>
      <c r="AN38" s="126">
        <f t="shared" si="86"/>
        <v>115111.11111111111</v>
      </c>
      <c r="AO38" s="126">
        <f t="shared" si="86"/>
        <v>127444.44444444444</v>
      </c>
      <c r="AP38" s="126">
        <f t="shared" si="86"/>
        <v>123333.33333333333</v>
      </c>
      <c r="AQ38" s="126">
        <f t="shared" si="86"/>
        <v>127444.44444444444</v>
      </c>
      <c r="AR38" s="126">
        <f t="shared" si="86"/>
        <v>123333.33333333333</v>
      </c>
      <c r="AS38" s="126">
        <f t="shared" ref="AS38:AU41" si="87">$E38*$F38*AS$36/360</f>
        <v>127444.44444444444</v>
      </c>
      <c r="AT38" s="126">
        <f t="shared" si="87"/>
        <v>127444.44444444444</v>
      </c>
      <c r="AU38" s="126">
        <f t="shared" si="87"/>
        <v>123333.33333333333</v>
      </c>
    </row>
    <row r="39" spans="1:47" hidden="1" outlineLevel="1">
      <c r="A39" s="119">
        <f>ROW()</f>
        <v>39</v>
      </c>
      <c r="D39" s="291">
        <f>'A&amp;R'!B40</f>
        <v>0</v>
      </c>
      <c r="E39" s="292">
        <f>'A&amp;R'!C40</f>
        <v>0</v>
      </c>
      <c r="F39" s="293">
        <f>'A&amp;R'!D40</f>
        <v>0</v>
      </c>
      <c r="J39" s="126">
        <f>SUM(K39:AU39)</f>
        <v>0</v>
      </c>
      <c r="L39" s="126">
        <f t="shared" ref="L39:U41" si="88">$E39*$F39*L$36/360</f>
        <v>0</v>
      </c>
      <c r="M39" s="126">
        <f t="shared" si="88"/>
        <v>0</v>
      </c>
      <c r="N39" s="126">
        <f t="shared" si="88"/>
        <v>0</v>
      </c>
      <c r="O39" s="126">
        <f t="shared" si="88"/>
        <v>0</v>
      </c>
      <c r="P39" s="126">
        <f t="shared" si="88"/>
        <v>0</v>
      </c>
      <c r="Q39" s="126">
        <f t="shared" si="88"/>
        <v>0</v>
      </c>
      <c r="R39" s="126">
        <f t="shared" si="88"/>
        <v>0</v>
      </c>
      <c r="S39" s="126">
        <f t="shared" si="88"/>
        <v>0</v>
      </c>
      <c r="T39" s="126">
        <f t="shared" si="88"/>
        <v>0</v>
      </c>
      <c r="U39" s="126">
        <f t="shared" si="88"/>
        <v>0</v>
      </c>
      <c r="V39" s="126">
        <f t="shared" si="85"/>
        <v>0</v>
      </c>
      <c r="W39" s="126">
        <f t="shared" si="85"/>
        <v>0</v>
      </c>
      <c r="X39" s="126">
        <f t="shared" si="85"/>
        <v>0</v>
      </c>
      <c r="Y39" s="126">
        <f t="shared" si="85"/>
        <v>0</v>
      </c>
      <c r="Z39" s="126">
        <f t="shared" si="85"/>
        <v>0</v>
      </c>
      <c r="AA39" s="126">
        <f t="shared" si="85"/>
        <v>0</v>
      </c>
      <c r="AB39" s="126">
        <f t="shared" si="85"/>
        <v>0</v>
      </c>
      <c r="AC39" s="126">
        <f t="shared" si="86"/>
        <v>0</v>
      </c>
      <c r="AD39" s="126">
        <f t="shared" si="86"/>
        <v>0</v>
      </c>
      <c r="AE39" s="126">
        <f t="shared" si="86"/>
        <v>0</v>
      </c>
      <c r="AF39" s="126">
        <f t="shared" si="86"/>
        <v>0</v>
      </c>
      <c r="AG39" s="126">
        <f t="shared" si="86"/>
        <v>0</v>
      </c>
      <c r="AH39" s="126">
        <f t="shared" si="86"/>
        <v>0</v>
      </c>
      <c r="AI39" s="126">
        <f t="shared" si="86"/>
        <v>0</v>
      </c>
      <c r="AJ39" s="126">
        <f t="shared" si="86"/>
        <v>0</v>
      </c>
      <c r="AK39" s="126">
        <f t="shared" si="86"/>
        <v>0</v>
      </c>
      <c r="AL39" s="126">
        <f t="shared" si="86"/>
        <v>0</v>
      </c>
      <c r="AM39" s="126">
        <f t="shared" si="86"/>
        <v>0</v>
      </c>
      <c r="AN39" s="126">
        <f t="shared" si="86"/>
        <v>0</v>
      </c>
      <c r="AO39" s="126">
        <f t="shared" si="86"/>
        <v>0</v>
      </c>
      <c r="AP39" s="126">
        <f t="shared" si="86"/>
        <v>0</v>
      </c>
      <c r="AQ39" s="126">
        <f t="shared" si="86"/>
        <v>0</v>
      </c>
      <c r="AR39" s="126">
        <f t="shared" si="86"/>
        <v>0</v>
      </c>
      <c r="AS39" s="126">
        <f t="shared" si="87"/>
        <v>0</v>
      </c>
      <c r="AT39" s="126">
        <f t="shared" si="87"/>
        <v>0</v>
      </c>
      <c r="AU39" s="126">
        <f t="shared" si="87"/>
        <v>0</v>
      </c>
    </row>
    <row r="40" spans="1:47" hidden="1" outlineLevel="1">
      <c r="A40" s="119">
        <f>ROW()</f>
        <v>40</v>
      </c>
      <c r="D40" s="291">
        <f>'A&amp;R'!B41</f>
        <v>0</v>
      </c>
      <c r="E40" s="292">
        <f>'A&amp;R'!C41</f>
        <v>0</v>
      </c>
      <c r="F40" s="293">
        <f>'A&amp;R'!D41</f>
        <v>0</v>
      </c>
      <c r="J40" s="126">
        <f>SUM(K40:AU40)</f>
        <v>0</v>
      </c>
      <c r="L40" s="126">
        <f t="shared" si="88"/>
        <v>0</v>
      </c>
      <c r="M40" s="126">
        <f t="shared" si="88"/>
        <v>0</v>
      </c>
      <c r="N40" s="126">
        <f t="shared" si="88"/>
        <v>0</v>
      </c>
      <c r="O40" s="126">
        <f t="shared" si="88"/>
        <v>0</v>
      </c>
      <c r="P40" s="126">
        <f t="shared" si="88"/>
        <v>0</v>
      </c>
      <c r="Q40" s="126">
        <f t="shared" si="88"/>
        <v>0</v>
      </c>
      <c r="R40" s="126">
        <f t="shared" si="88"/>
        <v>0</v>
      </c>
      <c r="S40" s="126">
        <f t="shared" si="88"/>
        <v>0</v>
      </c>
      <c r="T40" s="126">
        <f t="shared" si="88"/>
        <v>0</v>
      </c>
      <c r="U40" s="126">
        <f t="shared" si="88"/>
        <v>0</v>
      </c>
      <c r="V40" s="126">
        <f t="shared" si="85"/>
        <v>0</v>
      </c>
      <c r="W40" s="126">
        <f t="shared" si="85"/>
        <v>0</v>
      </c>
      <c r="X40" s="126">
        <f t="shared" si="85"/>
        <v>0</v>
      </c>
      <c r="Y40" s="126">
        <f t="shared" si="85"/>
        <v>0</v>
      </c>
      <c r="Z40" s="126">
        <f t="shared" si="85"/>
        <v>0</v>
      </c>
      <c r="AA40" s="126">
        <f t="shared" si="85"/>
        <v>0</v>
      </c>
      <c r="AB40" s="126">
        <f t="shared" si="85"/>
        <v>0</v>
      </c>
      <c r="AC40" s="126">
        <f t="shared" si="86"/>
        <v>0</v>
      </c>
      <c r="AD40" s="126">
        <f t="shared" si="86"/>
        <v>0</v>
      </c>
      <c r="AE40" s="126">
        <f t="shared" si="86"/>
        <v>0</v>
      </c>
      <c r="AF40" s="126">
        <f t="shared" si="86"/>
        <v>0</v>
      </c>
      <c r="AG40" s="126">
        <f t="shared" si="86"/>
        <v>0</v>
      </c>
      <c r="AH40" s="126">
        <f t="shared" si="86"/>
        <v>0</v>
      </c>
      <c r="AI40" s="126">
        <f t="shared" si="86"/>
        <v>0</v>
      </c>
      <c r="AJ40" s="126">
        <f t="shared" si="86"/>
        <v>0</v>
      </c>
      <c r="AK40" s="126">
        <f t="shared" si="86"/>
        <v>0</v>
      </c>
      <c r="AL40" s="126">
        <f t="shared" si="86"/>
        <v>0</v>
      </c>
      <c r="AM40" s="126">
        <f t="shared" si="86"/>
        <v>0</v>
      </c>
      <c r="AN40" s="126">
        <f t="shared" si="86"/>
        <v>0</v>
      </c>
      <c r="AO40" s="126">
        <f t="shared" si="86"/>
        <v>0</v>
      </c>
      <c r="AP40" s="126">
        <f t="shared" si="86"/>
        <v>0</v>
      </c>
      <c r="AQ40" s="126">
        <f t="shared" si="86"/>
        <v>0</v>
      </c>
      <c r="AR40" s="126">
        <f t="shared" si="86"/>
        <v>0</v>
      </c>
      <c r="AS40" s="126">
        <f t="shared" si="87"/>
        <v>0</v>
      </c>
      <c r="AT40" s="126">
        <f t="shared" si="87"/>
        <v>0</v>
      </c>
      <c r="AU40" s="126">
        <f t="shared" si="87"/>
        <v>0</v>
      </c>
    </row>
    <row r="41" spans="1:47" hidden="1" outlineLevel="1">
      <c r="A41" s="119">
        <f>ROW()</f>
        <v>41</v>
      </c>
      <c r="D41" s="291" t="str">
        <f>'A&amp;R'!B42</f>
        <v/>
      </c>
      <c r="E41" s="292">
        <f>'A&amp;R'!C42</f>
        <v>0</v>
      </c>
      <c r="F41" s="293">
        <f>'A&amp;R'!D42</f>
        <v>0</v>
      </c>
      <c r="J41" s="126">
        <f>SUM(K41:AU41)</f>
        <v>0</v>
      </c>
      <c r="L41" s="126">
        <f t="shared" si="88"/>
        <v>0</v>
      </c>
      <c r="M41" s="126">
        <f t="shared" si="88"/>
        <v>0</v>
      </c>
      <c r="N41" s="126">
        <f t="shared" si="88"/>
        <v>0</v>
      </c>
      <c r="O41" s="126">
        <f t="shared" si="88"/>
        <v>0</v>
      </c>
      <c r="P41" s="126">
        <f t="shared" si="88"/>
        <v>0</v>
      </c>
      <c r="Q41" s="126">
        <f t="shared" si="88"/>
        <v>0</v>
      </c>
      <c r="R41" s="126">
        <f t="shared" si="88"/>
        <v>0</v>
      </c>
      <c r="S41" s="126">
        <f t="shared" si="88"/>
        <v>0</v>
      </c>
      <c r="T41" s="126">
        <f t="shared" si="88"/>
        <v>0</v>
      </c>
      <c r="U41" s="126">
        <f t="shared" si="88"/>
        <v>0</v>
      </c>
      <c r="V41" s="126">
        <f t="shared" si="85"/>
        <v>0</v>
      </c>
      <c r="W41" s="126">
        <f t="shared" si="85"/>
        <v>0</v>
      </c>
      <c r="X41" s="126">
        <f t="shared" si="85"/>
        <v>0</v>
      </c>
      <c r="Y41" s="126">
        <f t="shared" si="85"/>
        <v>0</v>
      </c>
      <c r="Z41" s="126">
        <f t="shared" si="85"/>
        <v>0</v>
      </c>
      <c r="AA41" s="126">
        <f t="shared" si="85"/>
        <v>0</v>
      </c>
      <c r="AB41" s="126">
        <f t="shared" si="85"/>
        <v>0</v>
      </c>
      <c r="AC41" s="126">
        <f t="shared" si="86"/>
        <v>0</v>
      </c>
      <c r="AD41" s="126">
        <f t="shared" si="86"/>
        <v>0</v>
      </c>
      <c r="AE41" s="126">
        <f t="shared" si="86"/>
        <v>0</v>
      </c>
      <c r="AF41" s="126">
        <f t="shared" si="86"/>
        <v>0</v>
      </c>
      <c r="AG41" s="126">
        <f t="shared" si="86"/>
        <v>0</v>
      </c>
      <c r="AH41" s="126">
        <f t="shared" si="86"/>
        <v>0</v>
      </c>
      <c r="AI41" s="126">
        <f t="shared" si="86"/>
        <v>0</v>
      </c>
      <c r="AJ41" s="126">
        <f t="shared" si="86"/>
        <v>0</v>
      </c>
      <c r="AK41" s="126">
        <f t="shared" si="86"/>
        <v>0</v>
      </c>
      <c r="AL41" s="126">
        <f t="shared" si="86"/>
        <v>0</v>
      </c>
      <c r="AM41" s="126">
        <f t="shared" si="86"/>
        <v>0</v>
      </c>
      <c r="AN41" s="126">
        <f t="shared" si="86"/>
        <v>0</v>
      </c>
      <c r="AO41" s="126">
        <f t="shared" si="86"/>
        <v>0</v>
      </c>
      <c r="AP41" s="126">
        <f t="shared" si="86"/>
        <v>0</v>
      </c>
      <c r="AQ41" s="126">
        <f t="shared" si="86"/>
        <v>0</v>
      </c>
      <c r="AR41" s="126">
        <f t="shared" si="86"/>
        <v>0</v>
      </c>
      <c r="AS41" s="126">
        <f t="shared" si="87"/>
        <v>0</v>
      </c>
      <c r="AT41" s="126">
        <f t="shared" si="87"/>
        <v>0</v>
      </c>
      <c r="AU41" s="126">
        <f t="shared" si="87"/>
        <v>0</v>
      </c>
    </row>
    <row r="42" spans="1:47" hidden="1" outlineLevel="1">
      <c r="F42" s="126"/>
    </row>
    <row r="43" spans="1:47" hidden="1" outlineLevel="1">
      <c r="I43" s="216" t="str">
        <f>$D$38&amp;" 전 CF"</f>
        <v>Senior Loan 전 CF</v>
      </c>
      <c r="J43" s="125"/>
      <c r="K43" s="125"/>
      <c r="L43" s="129">
        <f t="shared" ref="L43:AQ43" si="89">L23</f>
        <v>367237.89060833334</v>
      </c>
      <c r="M43" s="129">
        <f t="shared" si="89"/>
        <v>367237.89060833334</v>
      </c>
      <c r="N43" s="129">
        <f t="shared" si="89"/>
        <v>367237.89060833334</v>
      </c>
      <c r="O43" s="129">
        <f t="shared" si="89"/>
        <v>382090.38368021877</v>
      </c>
      <c r="P43" s="129">
        <f t="shared" si="89"/>
        <v>382341.42784721876</v>
      </c>
      <c r="Q43" s="129">
        <f t="shared" si="89"/>
        <v>377799.42118021875</v>
      </c>
      <c r="R43" s="129">
        <f t="shared" si="89"/>
        <v>377799.42118021875</v>
      </c>
      <c r="S43" s="129">
        <f t="shared" si="89"/>
        <v>377799.42118021875</v>
      </c>
      <c r="T43" s="129">
        <f t="shared" si="89"/>
        <v>377799.42118021875</v>
      </c>
      <c r="U43" s="129">
        <f t="shared" si="89"/>
        <v>375711.72360805207</v>
      </c>
      <c r="V43" s="129">
        <f t="shared" si="89"/>
        <v>375711.72360805207</v>
      </c>
      <c r="W43" s="129">
        <f t="shared" si="89"/>
        <v>380180.31798705208</v>
      </c>
      <c r="X43" s="129">
        <f t="shared" si="89"/>
        <v>378662.5274673021</v>
      </c>
      <c r="Y43" s="129">
        <f t="shared" si="89"/>
        <v>378662.5274673021</v>
      </c>
      <c r="Z43" s="129">
        <f t="shared" si="89"/>
        <v>378662.5274673021</v>
      </c>
      <c r="AA43" s="129">
        <f t="shared" si="89"/>
        <v>394419.60641954554</v>
      </c>
      <c r="AB43" s="129">
        <f t="shared" si="89"/>
        <v>394419.60641954554</v>
      </c>
      <c r="AC43" s="129">
        <f t="shared" si="89"/>
        <v>394419.60641954554</v>
      </c>
      <c r="AD43" s="129">
        <f t="shared" si="89"/>
        <v>394419.60641954554</v>
      </c>
      <c r="AE43" s="129">
        <f t="shared" si="89"/>
        <v>394419.60641954554</v>
      </c>
      <c r="AF43" s="129">
        <f t="shared" si="89"/>
        <v>394419.60641954554</v>
      </c>
      <c r="AG43" s="129">
        <f t="shared" si="89"/>
        <v>390130.25739812886</v>
      </c>
      <c r="AH43" s="129">
        <f t="shared" si="89"/>
        <v>390130.25739812886</v>
      </c>
      <c r="AI43" s="129">
        <f t="shared" si="89"/>
        <v>390130.25739812886</v>
      </c>
      <c r="AJ43" s="129">
        <f t="shared" si="89"/>
        <v>380647.25052279548</v>
      </c>
      <c r="AK43" s="129">
        <f t="shared" si="89"/>
        <v>380647.25052279548</v>
      </c>
      <c r="AL43" s="129">
        <f t="shared" si="89"/>
        <v>380647.25052279548</v>
      </c>
      <c r="AM43" s="129">
        <f t="shared" si="89"/>
        <v>396955.19559089741</v>
      </c>
      <c r="AN43" s="129">
        <f t="shared" si="89"/>
        <v>396955.19559089741</v>
      </c>
      <c r="AO43" s="129">
        <f t="shared" si="89"/>
        <v>396955.19559089741</v>
      </c>
      <c r="AP43" s="129">
        <f t="shared" si="89"/>
        <v>396955.19559089741</v>
      </c>
      <c r="AQ43" s="129">
        <f t="shared" si="89"/>
        <v>396955.19559089741</v>
      </c>
      <c r="AR43" s="129">
        <f t="shared" ref="AR43:AU43" si="90">AR23</f>
        <v>396955.19559089741</v>
      </c>
      <c r="AS43" s="129">
        <f t="shared" si="90"/>
        <v>394169.99784925772</v>
      </c>
      <c r="AT43" s="129">
        <f t="shared" si="90"/>
        <v>394169.99784925772</v>
      </c>
      <c r="AU43" s="129">
        <f t="shared" si="90"/>
        <v>394169.99784925772</v>
      </c>
    </row>
    <row r="44" spans="1:47" hidden="1" outlineLevel="1">
      <c r="I44" s="120" t="s">
        <v>73</v>
      </c>
      <c r="J44" s="126">
        <f>L44</f>
        <v>0</v>
      </c>
      <c r="L44" s="126">
        <v>0</v>
      </c>
      <c r="M44" s="126">
        <f>L47</f>
        <v>0</v>
      </c>
      <c r="N44" s="126">
        <f t="shared" ref="N44:AU44" si="91">M47</f>
        <v>0</v>
      </c>
      <c r="O44" s="126">
        <f t="shared" si="91"/>
        <v>0</v>
      </c>
      <c r="P44" s="126">
        <f t="shared" si="91"/>
        <v>0</v>
      </c>
      <c r="Q44" s="126">
        <f t="shared" si="91"/>
        <v>0</v>
      </c>
      <c r="R44" s="126">
        <f t="shared" si="91"/>
        <v>0</v>
      </c>
      <c r="S44" s="126">
        <f t="shared" si="91"/>
        <v>0</v>
      </c>
      <c r="T44" s="126">
        <f t="shared" si="91"/>
        <v>0</v>
      </c>
      <c r="U44" s="126">
        <f t="shared" si="91"/>
        <v>0</v>
      </c>
      <c r="V44" s="126">
        <f t="shared" si="91"/>
        <v>0</v>
      </c>
      <c r="W44" s="126">
        <f t="shared" si="91"/>
        <v>0</v>
      </c>
      <c r="X44" s="126">
        <f t="shared" si="91"/>
        <v>0</v>
      </c>
      <c r="Y44" s="126">
        <f t="shared" si="91"/>
        <v>0</v>
      </c>
      <c r="Z44" s="126">
        <f t="shared" si="91"/>
        <v>0</v>
      </c>
      <c r="AA44" s="126">
        <f t="shared" si="91"/>
        <v>0</v>
      </c>
      <c r="AB44" s="126">
        <f t="shared" si="91"/>
        <v>0</v>
      </c>
      <c r="AC44" s="126">
        <f t="shared" si="91"/>
        <v>0</v>
      </c>
      <c r="AD44" s="126">
        <f t="shared" si="91"/>
        <v>0</v>
      </c>
      <c r="AE44" s="126">
        <f t="shared" si="91"/>
        <v>0</v>
      </c>
      <c r="AF44" s="126">
        <f t="shared" si="91"/>
        <v>0</v>
      </c>
      <c r="AG44" s="126">
        <f t="shared" si="91"/>
        <v>0</v>
      </c>
      <c r="AH44" s="126">
        <f t="shared" si="91"/>
        <v>0</v>
      </c>
      <c r="AI44" s="126">
        <f t="shared" si="91"/>
        <v>0</v>
      </c>
      <c r="AJ44" s="126">
        <f t="shared" si="91"/>
        <v>0</v>
      </c>
      <c r="AK44" s="126">
        <f t="shared" si="91"/>
        <v>0</v>
      </c>
      <c r="AL44" s="126">
        <f t="shared" si="91"/>
        <v>0</v>
      </c>
      <c r="AM44" s="126">
        <f t="shared" si="91"/>
        <v>0</v>
      </c>
      <c r="AN44" s="126">
        <f t="shared" si="91"/>
        <v>0</v>
      </c>
      <c r="AO44" s="126">
        <f t="shared" si="91"/>
        <v>0</v>
      </c>
      <c r="AP44" s="126">
        <f t="shared" si="91"/>
        <v>0</v>
      </c>
      <c r="AQ44" s="126">
        <f t="shared" si="91"/>
        <v>0</v>
      </c>
      <c r="AR44" s="126">
        <f t="shared" si="91"/>
        <v>0</v>
      </c>
      <c r="AS44" s="126">
        <f t="shared" si="91"/>
        <v>0</v>
      </c>
      <c r="AT44" s="126">
        <f t="shared" si="91"/>
        <v>0</v>
      </c>
      <c r="AU44" s="126">
        <f t="shared" si="91"/>
        <v>0</v>
      </c>
    </row>
    <row r="45" spans="1:47" hidden="1" outlineLevel="1">
      <c r="I45" s="120" t="s">
        <v>74</v>
      </c>
      <c r="J45" s="126">
        <f>SUM(K45:AU45)</f>
        <v>4505777.777777778</v>
      </c>
      <c r="L45" s="146">
        <f>L38</f>
        <v>127444.44444444444</v>
      </c>
      <c r="M45" s="146">
        <f t="shared" ref="M45:AU45" si="92">M38</f>
        <v>123333.33333333333</v>
      </c>
      <c r="N45" s="146">
        <f t="shared" si="92"/>
        <v>127444.44444444444</v>
      </c>
      <c r="O45" s="146">
        <f t="shared" si="92"/>
        <v>127444.44444444444</v>
      </c>
      <c r="P45" s="146">
        <f t="shared" si="92"/>
        <v>115111.11111111111</v>
      </c>
      <c r="Q45" s="146">
        <f t="shared" si="92"/>
        <v>127444.44444444444</v>
      </c>
      <c r="R45" s="146">
        <f t="shared" si="92"/>
        <v>123333.33333333333</v>
      </c>
      <c r="S45" s="146">
        <f t="shared" si="92"/>
        <v>127444.44444444444</v>
      </c>
      <c r="T45" s="146">
        <f t="shared" si="92"/>
        <v>123333.33333333333</v>
      </c>
      <c r="U45" s="146">
        <f t="shared" si="92"/>
        <v>127444.44444444444</v>
      </c>
      <c r="V45" s="146">
        <f t="shared" si="92"/>
        <v>127444.44444444444</v>
      </c>
      <c r="W45" s="146">
        <f t="shared" si="92"/>
        <v>123333.33333333333</v>
      </c>
      <c r="X45" s="146">
        <f t="shared" si="92"/>
        <v>127444.44444444444</v>
      </c>
      <c r="Y45" s="146">
        <f t="shared" si="92"/>
        <v>123333.33333333333</v>
      </c>
      <c r="Z45" s="146">
        <f t="shared" si="92"/>
        <v>127444.44444444444</v>
      </c>
      <c r="AA45" s="146">
        <f t="shared" si="92"/>
        <v>127444.44444444444</v>
      </c>
      <c r="AB45" s="146">
        <f t="shared" si="92"/>
        <v>119222.22222222222</v>
      </c>
      <c r="AC45" s="146">
        <f t="shared" si="92"/>
        <v>127444.44444444444</v>
      </c>
      <c r="AD45" s="146">
        <f t="shared" si="92"/>
        <v>123333.33333333333</v>
      </c>
      <c r="AE45" s="146">
        <f t="shared" si="92"/>
        <v>127444.44444444444</v>
      </c>
      <c r="AF45" s="146">
        <f t="shared" si="92"/>
        <v>123333.33333333333</v>
      </c>
      <c r="AG45" s="146">
        <f t="shared" si="92"/>
        <v>127444.44444444444</v>
      </c>
      <c r="AH45" s="146">
        <f t="shared" si="92"/>
        <v>127444.44444444444</v>
      </c>
      <c r="AI45" s="146">
        <f t="shared" si="92"/>
        <v>123333.33333333333</v>
      </c>
      <c r="AJ45" s="146">
        <f t="shared" si="92"/>
        <v>127444.44444444444</v>
      </c>
      <c r="AK45" s="146">
        <f t="shared" si="92"/>
        <v>123333.33333333333</v>
      </c>
      <c r="AL45" s="146">
        <f t="shared" si="92"/>
        <v>127444.44444444444</v>
      </c>
      <c r="AM45" s="146">
        <f t="shared" si="92"/>
        <v>127444.44444444444</v>
      </c>
      <c r="AN45" s="146">
        <f t="shared" si="92"/>
        <v>115111.11111111111</v>
      </c>
      <c r="AO45" s="146">
        <f t="shared" si="92"/>
        <v>127444.44444444444</v>
      </c>
      <c r="AP45" s="146">
        <f t="shared" si="92"/>
        <v>123333.33333333333</v>
      </c>
      <c r="AQ45" s="146">
        <f t="shared" si="92"/>
        <v>127444.44444444444</v>
      </c>
      <c r="AR45" s="146">
        <f t="shared" si="92"/>
        <v>123333.33333333333</v>
      </c>
      <c r="AS45" s="146">
        <f t="shared" si="92"/>
        <v>127444.44444444444</v>
      </c>
      <c r="AT45" s="146">
        <f t="shared" si="92"/>
        <v>127444.44444444444</v>
      </c>
      <c r="AU45" s="146">
        <f t="shared" si="92"/>
        <v>123333.33333333333</v>
      </c>
    </row>
    <row r="46" spans="1:47" hidden="1" outlineLevel="1">
      <c r="I46" s="128" t="s">
        <v>75</v>
      </c>
      <c r="J46" s="129">
        <f>SUM(K46:AU46)</f>
        <v>-4505777.777777778</v>
      </c>
      <c r="K46" s="125"/>
      <c r="L46" s="129">
        <f>-MAX(MIN(L43,SUM(L44:L45)),0)</f>
        <v>-127444.44444444444</v>
      </c>
      <c r="M46" s="129">
        <f t="shared" ref="M46:AU46" si="93">-MAX(MIN(M43,SUM(M44:M45)),0)</f>
        <v>-123333.33333333333</v>
      </c>
      <c r="N46" s="129">
        <f t="shared" si="93"/>
        <v>-127444.44444444444</v>
      </c>
      <c r="O46" s="129">
        <f t="shared" si="93"/>
        <v>-127444.44444444444</v>
      </c>
      <c r="P46" s="129">
        <f t="shared" si="93"/>
        <v>-115111.11111111111</v>
      </c>
      <c r="Q46" s="129">
        <f t="shared" si="93"/>
        <v>-127444.44444444444</v>
      </c>
      <c r="R46" s="129">
        <f t="shared" si="93"/>
        <v>-123333.33333333333</v>
      </c>
      <c r="S46" s="129">
        <f t="shared" si="93"/>
        <v>-127444.44444444444</v>
      </c>
      <c r="T46" s="129">
        <f t="shared" si="93"/>
        <v>-123333.33333333333</v>
      </c>
      <c r="U46" s="129">
        <f t="shared" si="93"/>
        <v>-127444.44444444444</v>
      </c>
      <c r="V46" s="129">
        <f t="shared" si="93"/>
        <v>-127444.44444444444</v>
      </c>
      <c r="W46" s="129">
        <f t="shared" si="93"/>
        <v>-123333.33333333333</v>
      </c>
      <c r="X46" s="129">
        <f t="shared" si="93"/>
        <v>-127444.44444444444</v>
      </c>
      <c r="Y46" s="129">
        <f t="shared" si="93"/>
        <v>-123333.33333333333</v>
      </c>
      <c r="Z46" s="129">
        <f t="shared" si="93"/>
        <v>-127444.44444444444</v>
      </c>
      <c r="AA46" s="129">
        <f t="shared" si="93"/>
        <v>-127444.44444444444</v>
      </c>
      <c r="AB46" s="129">
        <f t="shared" si="93"/>
        <v>-119222.22222222222</v>
      </c>
      <c r="AC46" s="129">
        <f t="shared" si="93"/>
        <v>-127444.44444444444</v>
      </c>
      <c r="AD46" s="129">
        <f t="shared" si="93"/>
        <v>-123333.33333333333</v>
      </c>
      <c r="AE46" s="129">
        <f t="shared" si="93"/>
        <v>-127444.44444444444</v>
      </c>
      <c r="AF46" s="129">
        <f t="shared" si="93"/>
        <v>-123333.33333333333</v>
      </c>
      <c r="AG46" s="129">
        <f t="shared" si="93"/>
        <v>-127444.44444444444</v>
      </c>
      <c r="AH46" s="129">
        <f t="shared" si="93"/>
        <v>-127444.44444444444</v>
      </c>
      <c r="AI46" s="129">
        <f t="shared" si="93"/>
        <v>-123333.33333333333</v>
      </c>
      <c r="AJ46" s="129">
        <f t="shared" si="93"/>
        <v>-127444.44444444444</v>
      </c>
      <c r="AK46" s="129">
        <f t="shared" si="93"/>
        <v>-123333.33333333333</v>
      </c>
      <c r="AL46" s="129">
        <f t="shared" si="93"/>
        <v>-127444.44444444444</v>
      </c>
      <c r="AM46" s="129">
        <f t="shared" si="93"/>
        <v>-127444.44444444444</v>
      </c>
      <c r="AN46" s="129">
        <f t="shared" si="93"/>
        <v>-115111.11111111111</v>
      </c>
      <c r="AO46" s="129">
        <f t="shared" si="93"/>
        <v>-127444.44444444444</v>
      </c>
      <c r="AP46" s="129">
        <f t="shared" si="93"/>
        <v>-123333.33333333333</v>
      </c>
      <c r="AQ46" s="129">
        <f t="shared" si="93"/>
        <v>-127444.44444444444</v>
      </c>
      <c r="AR46" s="129">
        <f t="shared" si="93"/>
        <v>-123333.33333333333</v>
      </c>
      <c r="AS46" s="129">
        <f t="shared" si="93"/>
        <v>-127444.44444444444</v>
      </c>
      <c r="AT46" s="129">
        <f t="shared" si="93"/>
        <v>-127444.44444444444</v>
      </c>
      <c r="AU46" s="129">
        <f t="shared" si="93"/>
        <v>-123333.33333333333</v>
      </c>
    </row>
    <row r="47" spans="1:47" hidden="1" outlineLevel="1">
      <c r="I47" s="130" t="s">
        <v>76</v>
      </c>
      <c r="J47" s="126">
        <f>SUM(J44:J46)</f>
        <v>0</v>
      </c>
      <c r="L47" s="126">
        <f>SUM(L44:L46)</f>
        <v>0</v>
      </c>
      <c r="M47" s="126">
        <f>SUM(M44:M46)</f>
        <v>0</v>
      </c>
      <c r="N47" s="126">
        <f t="shared" ref="N47:AU47" si="94">SUM(N44:N46)</f>
        <v>0</v>
      </c>
      <c r="O47" s="126">
        <f t="shared" si="94"/>
        <v>0</v>
      </c>
      <c r="P47" s="126">
        <f t="shared" si="94"/>
        <v>0</v>
      </c>
      <c r="Q47" s="126">
        <f t="shared" si="94"/>
        <v>0</v>
      </c>
      <c r="R47" s="126">
        <f t="shared" si="94"/>
        <v>0</v>
      </c>
      <c r="S47" s="126">
        <f t="shared" si="94"/>
        <v>0</v>
      </c>
      <c r="T47" s="126">
        <f t="shared" si="94"/>
        <v>0</v>
      </c>
      <c r="U47" s="126">
        <f t="shared" si="94"/>
        <v>0</v>
      </c>
      <c r="V47" s="126">
        <f t="shared" si="94"/>
        <v>0</v>
      </c>
      <c r="W47" s="126">
        <f t="shared" si="94"/>
        <v>0</v>
      </c>
      <c r="X47" s="126">
        <f t="shared" si="94"/>
        <v>0</v>
      </c>
      <c r="Y47" s="126">
        <f t="shared" si="94"/>
        <v>0</v>
      </c>
      <c r="Z47" s="126">
        <f t="shared" si="94"/>
        <v>0</v>
      </c>
      <c r="AA47" s="126">
        <f t="shared" si="94"/>
        <v>0</v>
      </c>
      <c r="AB47" s="126">
        <f t="shared" si="94"/>
        <v>0</v>
      </c>
      <c r="AC47" s="126">
        <f t="shared" si="94"/>
        <v>0</v>
      </c>
      <c r="AD47" s="126">
        <f t="shared" si="94"/>
        <v>0</v>
      </c>
      <c r="AE47" s="126">
        <f t="shared" si="94"/>
        <v>0</v>
      </c>
      <c r="AF47" s="126">
        <f t="shared" si="94"/>
        <v>0</v>
      </c>
      <c r="AG47" s="126">
        <f t="shared" si="94"/>
        <v>0</v>
      </c>
      <c r="AH47" s="126">
        <f t="shared" si="94"/>
        <v>0</v>
      </c>
      <c r="AI47" s="126">
        <f t="shared" si="94"/>
        <v>0</v>
      </c>
      <c r="AJ47" s="126">
        <f t="shared" si="94"/>
        <v>0</v>
      </c>
      <c r="AK47" s="126">
        <f t="shared" si="94"/>
        <v>0</v>
      </c>
      <c r="AL47" s="126">
        <f t="shared" si="94"/>
        <v>0</v>
      </c>
      <c r="AM47" s="126">
        <f t="shared" si="94"/>
        <v>0</v>
      </c>
      <c r="AN47" s="126">
        <f t="shared" si="94"/>
        <v>0</v>
      </c>
      <c r="AO47" s="126">
        <f t="shared" si="94"/>
        <v>0</v>
      </c>
      <c r="AP47" s="126">
        <f t="shared" si="94"/>
        <v>0</v>
      </c>
      <c r="AQ47" s="126">
        <f t="shared" si="94"/>
        <v>0</v>
      </c>
      <c r="AR47" s="126">
        <f t="shared" si="94"/>
        <v>0</v>
      </c>
      <c r="AS47" s="126">
        <f t="shared" si="94"/>
        <v>0</v>
      </c>
      <c r="AT47" s="126">
        <f t="shared" si="94"/>
        <v>0</v>
      </c>
      <c r="AU47" s="126">
        <f t="shared" si="94"/>
        <v>0</v>
      </c>
    </row>
    <row r="48" spans="1:47" hidden="1" outlineLevel="1"/>
    <row r="49" spans="9:47" hidden="1" outlineLevel="1">
      <c r="I49" s="216" t="str">
        <f>$D$39&amp;" 전 CF"</f>
        <v>0 전 CF</v>
      </c>
      <c r="J49" s="125"/>
      <c r="K49" s="125"/>
      <c r="L49" s="129">
        <f>L43+L46</f>
        <v>239793.4461638889</v>
      </c>
      <c r="M49" s="129">
        <f t="shared" ref="M49:AU49" si="95">M43+M46</f>
        <v>243904.55727500003</v>
      </c>
      <c r="N49" s="129">
        <f t="shared" si="95"/>
        <v>239793.4461638889</v>
      </c>
      <c r="O49" s="129">
        <f t="shared" si="95"/>
        <v>254645.93923577433</v>
      </c>
      <c r="P49" s="129">
        <f t="shared" si="95"/>
        <v>267230.31673610763</v>
      </c>
      <c r="Q49" s="129">
        <f t="shared" si="95"/>
        <v>250354.97673577431</v>
      </c>
      <c r="R49" s="129">
        <f t="shared" si="95"/>
        <v>254466.08784688544</v>
      </c>
      <c r="S49" s="129">
        <f t="shared" si="95"/>
        <v>250354.97673577431</v>
      </c>
      <c r="T49" s="129">
        <f t="shared" si="95"/>
        <v>254466.08784688544</v>
      </c>
      <c r="U49" s="129">
        <f t="shared" si="95"/>
        <v>248267.27916360763</v>
      </c>
      <c r="V49" s="129">
        <f t="shared" si="95"/>
        <v>248267.27916360763</v>
      </c>
      <c r="W49" s="129">
        <f t="shared" si="95"/>
        <v>256846.98465371877</v>
      </c>
      <c r="X49" s="129">
        <f t="shared" si="95"/>
        <v>251218.08302285767</v>
      </c>
      <c r="Y49" s="129">
        <f t="shared" si="95"/>
        <v>255329.19413396879</v>
      </c>
      <c r="Z49" s="129">
        <f t="shared" si="95"/>
        <v>251218.08302285767</v>
      </c>
      <c r="AA49" s="129">
        <f t="shared" si="95"/>
        <v>266975.1619751011</v>
      </c>
      <c r="AB49" s="129">
        <f t="shared" si="95"/>
        <v>275197.38419732335</v>
      </c>
      <c r="AC49" s="129">
        <f t="shared" si="95"/>
        <v>266975.1619751011</v>
      </c>
      <c r="AD49" s="129">
        <f t="shared" si="95"/>
        <v>271086.27308621223</v>
      </c>
      <c r="AE49" s="129">
        <f t="shared" si="95"/>
        <v>266975.1619751011</v>
      </c>
      <c r="AF49" s="129">
        <f t="shared" si="95"/>
        <v>271086.27308621223</v>
      </c>
      <c r="AG49" s="129">
        <f t="shared" si="95"/>
        <v>262685.81295368442</v>
      </c>
      <c r="AH49" s="129">
        <f t="shared" si="95"/>
        <v>262685.81295368442</v>
      </c>
      <c r="AI49" s="129">
        <f t="shared" si="95"/>
        <v>266796.92406479554</v>
      </c>
      <c r="AJ49" s="129">
        <f t="shared" si="95"/>
        <v>253202.80607835104</v>
      </c>
      <c r="AK49" s="129">
        <f t="shared" si="95"/>
        <v>257313.91718946217</v>
      </c>
      <c r="AL49" s="129">
        <f t="shared" si="95"/>
        <v>253202.80607835104</v>
      </c>
      <c r="AM49" s="129">
        <f t="shared" si="95"/>
        <v>269510.75114645297</v>
      </c>
      <c r="AN49" s="129">
        <f t="shared" si="95"/>
        <v>281844.08447978628</v>
      </c>
      <c r="AO49" s="129">
        <f t="shared" si="95"/>
        <v>269510.75114645297</v>
      </c>
      <c r="AP49" s="129">
        <f t="shared" si="95"/>
        <v>273621.86225756409</v>
      </c>
      <c r="AQ49" s="129">
        <f t="shared" si="95"/>
        <v>269510.75114645297</v>
      </c>
      <c r="AR49" s="129">
        <f t="shared" si="95"/>
        <v>273621.86225756409</v>
      </c>
      <c r="AS49" s="129">
        <f t="shared" si="95"/>
        <v>266725.55340481328</v>
      </c>
      <c r="AT49" s="129">
        <f t="shared" si="95"/>
        <v>266725.55340481328</v>
      </c>
      <c r="AU49" s="129">
        <f t="shared" si="95"/>
        <v>270836.66451592441</v>
      </c>
    </row>
    <row r="50" spans="9:47" hidden="1" outlineLevel="1">
      <c r="I50" s="120" t="s">
        <v>73</v>
      </c>
      <c r="J50" s="126">
        <f>L50</f>
        <v>0</v>
      </c>
      <c r="L50" s="126">
        <v>0</v>
      </c>
      <c r="M50" s="126">
        <f>L53</f>
        <v>0</v>
      </c>
      <c r="N50" s="126">
        <f t="shared" ref="N50:AU50" si="96">M53</f>
        <v>0</v>
      </c>
      <c r="O50" s="126">
        <f t="shared" si="96"/>
        <v>0</v>
      </c>
      <c r="P50" s="126">
        <f t="shared" si="96"/>
        <v>0</v>
      </c>
      <c r="Q50" s="126">
        <f t="shared" si="96"/>
        <v>0</v>
      </c>
      <c r="R50" s="126">
        <f t="shared" si="96"/>
        <v>0</v>
      </c>
      <c r="S50" s="126">
        <f t="shared" si="96"/>
        <v>0</v>
      </c>
      <c r="T50" s="126">
        <f t="shared" si="96"/>
        <v>0</v>
      </c>
      <c r="U50" s="126">
        <f t="shared" si="96"/>
        <v>0</v>
      </c>
      <c r="V50" s="126">
        <f t="shared" si="96"/>
        <v>0</v>
      </c>
      <c r="W50" s="126">
        <f t="shared" si="96"/>
        <v>0</v>
      </c>
      <c r="X50" s="126">
        <f t="shared" si="96"/>
        <v>0</v>
      </c>
      <c r="Y50" s="126">
        <f t="shared" si="96"/>
        <v>0</v>
      </c>
      <c r="Z50" s="126">
        <f t="shared" si="96"/>
        <v>0</v>
      </c>
      <c r="AA50" s="126">
        <f t="shared" si="96"/>
        <v>0</v>
      </c>
      <c r="AB50" s="126">
        <f t="shared" si="96"/>
        <v>0</v>
      </c>
      <c r="AC50" s="126">
        <f t="shared" si="96"/>
        <v>0</v>
      </c>
      <c r="AD50" s="126">
        <f t="shared" si="96"/>
        <v>0</v>
      </c>
      <c r="AE50" s="126">
        <f t="shared" si="96"/>
        <v>0</v>
      </c>
      <c r="AF50" s="126">
        <f t="shared" si="96"/>
        <v>0</v>
      </c>
      <c r="AG50" s="126">
        <f t="shared" si="96"/>
        <v>0</v>
      </c>
      <c r="AH50" s="126">
        <f t="shared" si="96"/>
        <v>0</v>
      </c>
      <c r="AI50" s="126">
        <f t="shared" si="96"/>
        <v>0</v>
      </c>
      <c r="AJ50" s="126">
        <f t="shared" si="96"/>
        <v>0</v>
      </c>
      <c r="AK50" s="126">
        <f t="shared" si="96"/>
        <v>0</v>
      </c>
      <c r="AL50" s="126">
        <f t="shared" si="96"/>
        <v>0</v>
      </c>
      <c r="AM50" s="126">
        <f t="shared" si="96"/>
        <v>0</v>
      </c>
      <c r="AN50" s="126">
        <f t="shared" si="96"/>
        <v>0</v>
      </c>
      <c r="AO50" s="126">
        <f t="shared" si="96"/>
        <v>0</v>
      </c>
      <c r="AP50" s="126">
        <f t="shared" si="96"/>
        <v>0</v>
      </c>
      <c r="AQ50" s="126">
        <f t="shared" si="96"/>
        <v>0</v>
      </c>
      <c r="AR50" s="126">
        <f t="shared" si="96"/>
        <v>0</v>
      </c>
      <c r="AS50" s="126">
        <f t="shared" si="96"/>
        <v>0</v>
      </c>
      <c r="AT50" s="126">
        <f t="shared" si="96"/>
        <v>0</v>
      </c>
      <c r="AU50" s="126">
        <f t="shared" si="96"/>
        <v>0</v>
      </c>
    </row>
    <row r="51" spans="9:47" hidden="1" outlineLevel="1">
      <c r="I51" s="120" t="s">
        <v>74</v>
      </c>
      <c r="J51" s="126">
        <f>SUM(K51:AU51)</f>
        <v>0</v>
      </c>
      <c r="L51" s="201">
        <f>L39</f>
        <v>0</v>
      </c>
      <c r="M51" s="201">
        <f t="shared" ref="M51:AU51" si="97">M39</f>
        <v>0</v>
      </c>
      <c r="N51" s="201">
        <f t="shared" si="97"/>
        <v>0</v>
      </c>
      <c r="O51" s="201">
        <f t="shared" si="97"/>
        <v>0</v>
      </c>
      <c r="P51" s="201">
        <f t="shared" si="97"/>
        <v>0</v>
      </c>
      <c r="Q51" s="201">
        <f t="shared" si="97"/>
        <v>0</v>
      </c>
      <c r="R51" s="201">
        <f t="shared" si="97"/>
        <v>0</v>
      </c>
      <c r="S51" s="201">
        <f t="shared" si="97"/>
        <v>0</v>
      </c>
      <c r="T51" s="201">
        <f t="shared" si="97"/>
        <v>0</v>
      </c>
      <c r="U51" s="201">
        <f t="shared" si="97"/>
        <v>0</v>
      </c>
      <c r="V51" s="201">
        <f t="shared" si="97"/>
        <v>0</v>
      </c>
      <c r="W51" s="201">
        <f t="shared" si="97"/>
        <v>0</v>
      </c>
      <c r="X51" s="201">
        <f t="shared" si="97"/>
        <v>0</v>
      </c>
      <c r="Y51" s="201">
        <f t="shared" si="97"/>
        <v>0</v>
      </c>
      <c r="Z51" s="201">
        <f t="shared" si="97"/>
        <v>0</v>
      </c>
      <c r="AA51" s="201">
        <f t="shared" si="97"/>
        <v>0</v>
      </c>
      <c r="AB51" s="201">
        <f t="shared" si="97"/>
        <v>0</v>
      </c>
      <c r="AC51" s="201">
        <f t="shared" si="97"/>
        <v>0</v>
      </c>
      <c r="AD51" s="201">
        <f t="shared" si="97"/>
        <v>0</v>
      </c>
      <c r="AE51" s="201">
        <f t="shared" si="97"/>
        <v>0</v>
      </c>
      <c r="AF51" s="201">
        <f t="shared" si="97"/>
        <v>0</v>
      </c>
      <c r="AG51" s="201">
        <f t="shared" si="97"/>
        <v>0</v>
      </c>
      <c r="AH51" s="201">
        <f t="shared" si="97"/>
        <v>0</v>
      </c>
      <c r="AI51" s="201">
        <f t="shared" si="97"/>
        <v>0</v>
      </c>
      <c r="AJ51" s="201">
        <f t="shared" si="97"/>
        <v>0</v>
      </c>
      <c r="AK51" s="201">
        <f t="shared" si="97"/>
        <v>0</v>
      </c>
      <c r="AL51" s="201">
        <f t="shared" si="97"/>
        <v>0</v>
      </c>
      <c r="AM51" s="201">
        <f t="shared" si="97"/>
        <v>0</v>
      </c>
      <c r="AN51" s="201">
        <f t="shared" si="97"/>
        <v>0</v>
      </c>
      <c r="AO51" s="201">
        <f t="shared" si="97"/>
        <v>0</v>
      </c>
      <c r="AP51" s="201">
        <f t="shared" si="97"/>
        <v>0</v>
      </c>
      <c r="AQ51" s="201">
        <f t="shared" si="97"/>
        <v>0</v>
      </c>
      <c r="AR51" s="201">
        <f t="shared" si="97"/>
        <v>0</v>
      </c>
      <c r="AS51" s="201">
        <f t="shared" si="97"/>
        <v>0</v>
      </c>
      <c r="AT51" s="201">
        <f t="shared" si="97"/>
        <v>0</v>
      </c>
      <c r="AU51" s="201">
        <f t="shared" si="97"/>
        <v>0</v>
      </c>
    </row>
    <row r="52" spans="9:47" hidden="1" outlineLevel="1">
      <c r="I52" s="128" t="s">
        <v>75</v>
      </c>
      <c r="J52" s="129">
        <f>SUM(K52:AU52)</f>
        <v>0</v>
      </c>
      <c r="K52" s="125"/>
      <c r="L52" s="129">
        <f>-MAX(MIN(L49,SUM(L50:L51)),0)</f>
        <v>0</v>
      </c>
      <c r="M52" s="129">
        <f t="shared" ref="M52:AU52" si="98">-MAX(MIN(M49,SUM(M50:M51)),0)</f>
        <v>0</v>
      </c>
      <c r="N52" s="129">
        <f t="shared" si="98"/>
        <v>0</v>
      </c>
      <c r="O52" s="129">
        <f t="shared" si="98"/>
        <v>0</v>
      </c>
      <c r="P52" s="129">
        <f t="shared" si="98"/>
        <v>0</v>
      </c>
      <c r="Q52" s="129">
        <f t="shared" si="98"/>
        <v>0</v>
      </c>
      <c r="R52" s="129">
        <f t="shared" si="98"/>
        <v>0</v>
      </c>
      <c r="S52" s="129">
        <f t="shared" si="98"/>
        <v>0</v>
      </c>
      <c r="T52" s="129">
        <f t="shared" si="98"/>
        <v>0</v>
      </c>
      <c r="U52" s="129">
        <f t="shared" si="98"/>
        <v>0</v>
      </c>
      <c r="V52" s="129">
        <f t="shared" si="98"/>
        <v>0</v>
      </c>
      <c r="W52" s="129">
        <f t="shared" si="98"/>
        <v>0</v>
      </c>
      <c r="X52" s="129">
        <f t="shared" si="98"/>
        <v>0</v>
      </c>
      <c r="Y52" s="129">
        <f t="shared" si="98"/>
        <v>0</v>
      </c>
      <c r="Z52" s="129">
        <f t="shared" si="98"/>
        <v>0</v>
      </c>
      <c r="AA52" s="129">
        <f t="shared" si="98"/>
        <v>0</v>
      </c>
      <c r="AB52" s="129">
        <f t="shared" si="98"/>
        <v>0</v>
      </c>
      <c r="AC52" s="129">
        <f t="shared" si="98"/>
        <v>0</v>
      </c>
      <c r="AD52" s="129">
        <f t="shared" si="98"/>
        <v>0</v>
      </c>
      <c r="AE52" s="129">
        <f t="shared" si="98"/>
        <v>0</v>
      </c>
      <c r="AF52" s="129">
        <f t="shared" si="98"/>
        <v>0</v>
      </c>
      <c r="AG52" s="129">
        <f t="shared" si="98"/>
        <v>0</v>
      </c>
      <c r="AH52" s="129">
        <f t="shared" si="98"/>
        <v>0</v>
      </c>
      <c r="AI52" s="129">
        <f t="shared" si="98"/>
        <v>0</v>
      </c>
      <c r="AJ52" s="129">
        <f t="shared" si="98"/>
        <v>0</v>
      </c>
      <c r="AK52" s="129">
        <f t="shared" si="98"/>
        <v>0</v>
      </c>
      <c r="AL52" s="129">
        <f t="shared" si="98"/>
        <v>0</v>
      </c>
      <c r="AM52" s="129">
        <f t="shared" si="98"/>
        <v>0</v>
      </c>
      <c r="AN52" s="129">
        <f t="shared" si="98"/>
        <v>0</v>
      </c>
      <c r="AO52" s="129">
        <f t="shared" si="98"/>
        <v>0</v>
      </c>
      <c r="AP52" s="129">
        <f t="shared" si="98"/>
        <v>0</v>
      </c>
      <c r="AQ52" s="129">
        <f t="shared" si="98"/>
        <v>0</v>
      </c>
      <c r="AR52" s="129">
        <f t="shared" si="98"/>
        <v>0</v>
      </c>
      <c r="AS52" s="129">
        <f t="shared" si="98"/>
        <v>0</v>
      </c>
      <c r="AT52" s="129">
        <f t="shared" si="98"/>
        <v>0</v>
      </c>
      <c r="AU52" s="129">
        <f t="shared" si="98"/>
        <v>0</v>
      </c>
    </row>
    <row r="53" spans="9:47" hidden="1" outlineLevel="1">
      <c r="I53" s="130" t="s">
        <v>76</v>
      </c>
      <c r="J53" s="126">
        <f>SUM(J50:J52)</f>
        <v>0</v>
      </c>
      <c r="L53" s="126">
        <f>SUM(L50:L52)</f>
        <v>0</v>
      </c>
      <c r="M53" s="126">
        <f>SUM(M50:M52)</f>
        <v>0</v>
      </c>
      <c r="N53" s="126">
        <f t="shared" ref="N53:AU53" si="99">SUM(N50:N52)</f>
        <v>0</v>
      </c>
      <c r="O53" s="126">
        <f t="shared" si="99"/>
        <v>0</v>
      </c>
      <c r="P53" s="126">
        <f t="shared" si="99"/>
        <v>0</v>
      </c>
      <c r="Q53" s="126">
        <f t="shared" si="99"/>
        <v>0</v>
      </c>
      <c r="R53" s="126">
        <f t="shared" si="99"/>
        <v>0</v>
      </c>
      <c r="S53" s="126">
        <f t="shared" si="99"/>
        <v>0</v>
      </c>
      <c r="T53" s="126">
        <f t="shared" si="99"/>
        <v>0</v>
      </c>
      <c r="U53" s="126">
        <f t="shared" si="99"/>
        <v>0</v>
      </c>
      <c r="V53" s="126">
        <f t="shared" si="99"/>
        <v>0</v>
      </c>
      <c r="W53" s="126">
        <f t="shared" si="99"/>
        <v>0</v>
      </c>
      <c r="X53" s="126">
        <f t="shared" si="99"/>
        <v>0</v>
      </c>
      <c r="Y53" s="126">
        <f t="shared" si="99"/>
        <v>0</v>
      </c>
      <c r="Z53" s="126">
        <f t="shared" si="99"/>
        <v>0</v>
      </c>
      <c r="AA53" s="126">
        <f t="shared" si="99"/>
        <v>0</v>
      </c>
      <c r="AB53" s="126">
        <f t="shared" si="99"/>
        <v>0</v>
      </c>
      <c r="AC53" s="126">
        <f t="shared" si="99"/>
        <v>0</v>
      </c>
      <c r="AD53" s="126">
        <f t="shared" si="99"/>
        <v>0</v>
      </c>
      <c r="AE53" s="126">
        <f t="shared" si="99"/>
        <v>0</v>
      </c>
      <c r="AF53" s="126">
        <f t="shared" si="99"/>
        <v>0</v>
      </c>
      <c r="AG53" s="126">
        <f t="shared" si="99"/>
        <v>0</v>
      </c>
      <c r="AH53" s="126">
        <f t="shared" si="99"/>
        <v>0</v>
      </c>
      <c r="AI53" s="126">
        <f t="shared" si="99"/>
        <v>0</v>
      </c>
      <c r="AJ53" s="126">
        <f t="shared" si="99"/>
        <v>0</v>
      </c>
      <c r="AK53" s="126">
        <f t="shared" si="99"/>
        <v>0</v>
      </c>
      <c r="AL53" s="126">
        <f t="shared" si="99"/>
        <v>0</v>
      </c>
      <c r="AM53" s="126">
        <f t="shared" si="99"/>
        <v>0</v>
      </c>
      <c r="AN53" s="126">
        <f t="shared" si="99"/>
        <v>0</v>
      </c>
      <c r="AO53" s="126">
        <f t="shared" si="99"/>
        <v>0</v>
      </c>
      <c r="AP53" s="126">
        <f t="shared" si="99"/>
        <v>0</v>
      </c>
      <c r="AQ53" s="126">
        <f t="shared" si="99"/>
        <v>0</v>
      </c>
      <c r="AR53" s="126">
        <f t="shared" si="99"/>
        <v>0</v>
      </c>
      <c r="AS53" s="126">
        <f t="shared" si="99"/>
        <v>0</v>
      </c>
      <c r="AT53" s="126">
        <f t="shared" si="99"/>
        <v>0</v>
      </c>
      <c r="AU53" s="126">
        <f t="shared" si="99"/>
        <v>0</v>
      </c>
    </row>
    <row r="54" spans="9:47" hidden="1" outlineLevel="1"/>
    <row r="55" spans="9:47" hidden="1" outlineLevel="1">
      <c r="I55" s="216" t="str">
        <f>$D$40&amp;" 전 CF"</f>
        <v>0 전 CF</v>
      </c>
      <c r="J55" s="125"/>
      <c r="K55" s="125"/>
      <c r="L55" s="129">
        <f>L49+L52</f>
        <v>239793.4461638889</v>
      </c>
      <c r="M55" s="129">
        <f t="shared" ref="M55:AU55" si="100">M49+M52</f>
        <v>243904.55727500003</v>
      </c>
      <c r="N55" s="129">
        <f t="shared" si="100"/>
        <v>239793.4461638889</v>
      </c>
      <c r="O55" s="129">
        <f t="shared" si="100"/>
        <v>254645.93923577433</v>
      </c>
      <c r="P55" s="129">
        <f t="shared" si="100"/>
        <v>267230.31673610763</v>
      </c>
      <c r="Q55" s="129">
        <f t="shared" si="100"/>
        <v>250354.97673577431</v>
      </c>
      <c r="R55" s="129">
        <f t="shared" si="100"/>
        <v>254466.08784688544</v>
      </c>
      <c r="S55" s="129">
        <f t="shared" si="100"/>
        <v>250354.97673577431</v>
      </c>
      <c r="T55" s="129">
        <f t="shared" si="100"/>
        <v>254466.08784688544</v>
      </c>
      <c r="U55" s="129">
        <f t="shared" si="100"/>
        <v>248267.27916360763</v>
      </c>
      <c r="V55" s="129">
        <f t="shared" si="100"/>
        <v>248267.27916360763</v>
      </c>
      <c r="W55" s="129">
        <f t="shared" si="100"/>
        <v>256846.98465371877</v>
      </c>
      <c r="X55" s="129">
        <f t="shared" si="100"/>
        <v>251218.08302285767</v>
      </c>
      <c r="Y55" s="129">
        <f t="shared" si="100"/>
        <v>255329.19413396879</v>
      </c>
      <c r="Z55" s="129">
        <f t="shared" si="100"/>
        <v>251218.08302285767</v>
      </c>
      <c r="AA55" s="129">
        <f t="shared" si="100"/>
        <v>266975.1619751011</v>
      </c>
      <c r="AB55" s="129">
        <f t="shared" si="100"/>
        <v>275197.38419732335</v>
      </c>
      <c r="AC55" s="129">
        <f t="shared" si="100"/>
        <v>266975.1619751011</v>
      </c>
      <c r="AD55" s="129">
        <f t="shared" si="100"/>
        <v>271086.27308621223</v>
      </c>
      <c r="AE55" s="129">
        <f t="shared" si="100"/>
        <v>266975.1619751011</v>
      </c>
      <c r="AF55" s="129">
        <f t="shared" si="100"/>
        <v>271086.27308621223</v>
      </c>
      <c r="AG55" s="129">
        <f t="shared" si="100"/>
        <v>262685.81295368442</v>
      </c>
      <c r="AH55" s="129">
        <f t="shared" si="100"/>
        <v>262685.81295368442</v>
      </c>
      <c r="AI55" s="129">
        <f t="shared" si="100"/>
        <v>266796.92406479554</v>
      </c>
      <c r="AJ55" s="129">
        <f t="shared" si="100"/>
        <v>253202.80607835104</v>
      </c>
      <c r="AK55" s="129">
        <f t="shared" si="100"/>
        <v>257313.91718946217</v>
      </c>
      <c r="AL55" s="129">
        <f t="shared" si="100"/>
        <v>253202.80607835104</v>
      </c>
      <c r="AM55" s="129">
        <f t="shared" si="100"/>
        <v>269510.75114645297</v>
      </c>
      <c r="AN55" s="129">
        <f t="shared" si="100"/>
        <v>281844.08447978628</v>
      </c>
      <c r="AO55" s="129">
        <f t="shared" si="100"/>
        <v>269510.75114645297</v>
      </c>
      <c r="AP55" s="129">
        <f t="shared" si="100"/>
        <v>273621.86225756409</v>
      </c>
      <c r="AQ55" s="129">
        <f t="shared" si="100"/>
        <v>269510.75114645297</v>
      </c>
      <c r="AR55" s="129">
        <f t="shared" si="100"/>
        <v>273621.86225756409</v>
      </c>
      <c r="AS55" s="129">
        <f t="shared" si="100"/>
        <v>266725.55340481328</v>
      </c>
      <c r="AT55" s="129">
        <f t="shared" si="100"/>
        <v>266725.55340481328</v>
      </c>
      <c r="AU55" s="129">
        <f t="shared" si="100"/>
        <v>270836.66451592441</v>
      </c>
    </row>
    <row r="56" spans="9:47" hidden="1" outlineLevel="1">
      <c r="I56" s="120" t="s">
        <v>73</v>
      </c>
      <c r="J56" s="126">
        <f>L56</f>
        <v>0</v>
      </c>
      <c r="L56" s="126">
        <v>0</v>
      </c>
      <c r="M56" s="126">
        <f>L59</f>
        <v>0</v>
      </c>
      <c r="N56" s="126">
        <f t="shared" ref="N56:AU56" si="101">M59</f>
        <v>0</v>
      </c>
      <c r="O56" s="126">
        <f t="shared" si="101"/>
        <v>0</v>
      </c>
      <c r="P56" s="126">
        <f t="shared" si="101"/>
        <v>0</v>
      </c>
      <c r="Q56" s="126">
        <f t="shared" si="101"/>
        <v>0</v>
      </c>
      <c r="R56" s="126">
        <f t="shared" si="101"/>
        <v>0</v>
      </c>
      <c r="S56" s="126">
        <f t="shared" si="101"/>
        <v>0</v>
      </c>
      <c r="T56" s="126">
        <f t="shared" si="101"/>
        <v>0</v>
      </c>
      <c r="U56" s="126">
        <f t="shared" si="101"/>
        <v>0</v>
      </c>
      <c r="V56" s="126">
        <f t="shared" si="101"/>
        <v>0</v>
      </c>
      <c r="W56" s="126">
        <f t="shared" si="101"/>
        <v>0</v>
      </c>
      <c r="X56" s="126">
        <f t="shared" si="101"/>
        <v>0</v>
      </c>
      <c r="Y56" s="126">
        <f t="shared" si="101"/>
        <v>0</v>
      </c>
      <c r="Z56" s="126">
        <f t="shared" si="101"/>
        <v>0</v>
      </c>
      <c r="AA56" s="126">
        <f t="shared" si="101"/>
        <v>0</v>
      </c>
      <c r="AB56" s="126">
        <f t="shared" si="101"/>
        <v>0</v>
      </c>
      <c r="AC56" s="126">
        <f t="shared" si="101"/>
        <v>0</v>
      </c>
      <c r="AD56" s="126">
        <f t="shared" si="101"/>
        <v>0</v>
      </c>
      <c r="AE56" s="126">
        <f t="shared" si="101"/>
        <v>0</v>
      </c>
      <c r="AF56" s="126">
        <f t="shared" si="101"/>
        <v>0</v>
      </c>
      <c r="AG56" s="126">
        <f t="shared" si="101"/>
        <v>0</v>
      </c>
      <c r="AH56" s="126">
        <f t="shared" si="101"/>
        <v>0</v>
      </c>
      <c r="AI56" s="126">
        <f t="shared" si="101"/>
        <v>0</v>
      </c>
      <c r="AJ56" s="126">
        <f t="shared" si="101"/>
        <v>0</v>
      </c>
      <c r="AK56" s="126">
        <f t="shared" si="101"/>
        <v>0</v>
      </c>
      <c r="AL56" s="126">
        <f t="shared" si="101"/>
        <v>0</v>
      </c>
      <c r="AM56" s="126">
        <f t="shared" si="101"/>
        <v>0</v>
      </c>
      <c r="AN56" s="126">
        <f t="shared" si="101"/>
        <v>0</v>
      </c>
      <c r="AO56" s="126">
        <f t="shared" si="101"/>
        <v>0</v>
      </c>
      <c r="AP56" s="126">
        <f t="shared" si="101"/>
        <v>0</v>
      </c>
      <c r="AQ56" s="126">
        <f t="shared" si="101"/>
        <v>0</v>
      </c>
      <c r="AR56" s="126">
        <f t="shared" si="101"/>
        <v>0</v>
      </c>
      <c r="AS56" s="126">
        <f t="shared" si="101"/>
        <v>0</v>
      </c>
      <c r="AT56" s="126">
        <f t="shared" si="101"/>
        <v>0</v>
      </c>
      <c r="AU56" s="126">
        <f t="shared" si="101"/>
        <v>0</v>
      </c>
    </row>
    <row r="57" spans="9:47" hidden="1" outlineLevel="1">
      <c r="I57" s="120" t="s">
        <v>74</v>
      </c>
      <c r="J57" s="126">
        <f>SUM(K57:AU57)</f>
        <v>0</v>
      </c>
      <c r="L57" s="201">
        <f>L40</f>
        <v>0</v>
      </c>
      <c r="M57" s="201">
        <f t="shared" ref="M57:AU57" si="102">M40</f>
        <v>0</v>
      </c>
      <c r="N57" s="201">
        <f t="shared" si="102"/>
        <v>0</v>
      </c>
      <c r="O57" s="201">
        <f t="shared" si="102"/>
        <v>0</v>
      </c>
      <c r="P57" s="201">
        <f t="shared" si="102"/>
        <v>0</v>
      </c>
      <c r="Q57" s="201">
        <f t="shared" si="102"/>
        <v>0</v>
      </c>
      <c r="R57" s="201">
        <f t="shared" si="102"/>
        <v>0</v>
      </c>
      <c r="S57" s="201">
        <f t="shared" si="102"/>
        <v>0</v>
      </c>
      <c r="T57" s="201">
        <f t="shared" si="102"/>
        <v>0</v>
      </c>
      <c r="U57" s="201">
        <f t="shared" si="102"/>
        <v>0</v>
      </c>
      <c r="V57" s="201">
        <f t="shared" si="102"/>
        <v>0</v>
      </c>
      <c r="W57" s="201">
        <f t="shared" si="102"/>
        <v>0</v>
      </c>
      <c r="X57" s="201">
        <f t="shared" si="102"/>
        <v>0</v>
      </c>
      <c r="Y57" s="201">
        <f t="shared" si="102"/>
        <v>0</v>
      </c>
      <c r="Z57" s="201">
        <f t="shared" si="102"/>
        <v>0</v>
      </c>
      <c r="AA57" s="201">
        <f t="shared" si="102"/>
        <v>0</v>
      </c>
      <c r="AB57" s="201">
        <f t="shared" si="102"/>
        <v>0</v>
      </c>
      <c r="AC57" s="201">
        <f t="shared" si="102"/>
        <v>0</v>
      </c>
      <c r="AD57" s="201">
        <f t="shared" si="102"/>
        <v>0</v>
      </c>
      <c r="AE57" s="201">
        <f t="shared" si="102"/>
        <v>0</v>
      </c>
      <c r="AF57" s="201">
        <f t="shared" si="102"/>
        <v>0</v>
      </c>
      <c r="AG57" s="201">
        <f t="shared" si="102"/>
        <v>0</v>
      </c>
      <c r="AH57" s="201">
        <f t="shared" si="102"/>
        <v>0</v>
      </c>
      <c r="AI57" s="201">
        <f t="shared" si="102"/>
        <v>0</v>
      </c>
      <c r="AJ57" s="201">
        <f t="shared" si="102"/>
        <v>0</v>
      </c>
      <c r="AK57" s="201">
        <f t="shared" si="102"/>
        <v>0</v>
      </c>
      <c r="AL57" s="201">
        <f t="shared" si="102"/>
        <v>0</v>
      </c>
      <c r="AM57" s="201">
        <f t="shared" si="102"/>
        <v>0</v>
      </c>
      <c r="AN57" s="201">
        <f t="shared" si="102"/>
        <v>0</v>
      </c>
      <c r="AO57" s="201">
        <f t="shared" si="102"/>
        <v>0</v>
      </c>
      <c r="AP57" s="201">
        <f t="shared" si="102"/>
        <v>0</v>
      </c>
      <c r="AQ57" s="201">
        <f t="shared" si="102"/>
        <v>0</v>
      </c>
      <c r="AR57" s="201">
        <f t="shared" si="102"/>
        <v>0</v>
      </c>
      <c r="AS57" s="201">
        <f t="shared" si="102"/>
        <v>0</v>
      </c>
      <c r="AT57" s="201">
        <f t="shared" si="102"/>
        <v>0</v>
      </c>
      <c r="AU57" s="201">
        <f t="shared" si="102"/>
        <v>0</v>
      </c>
    </row>
    <row r="58" spans="9:47" hidden="1" outlineLevel="1">
      <c r="I58" s="128" t="s">
        <v>75</v>
      </c>
      <c r="J58" s="129">
        <f>SUM(K58:AU58)</f>
        <v>0</v>
      </c>
      <c r="K58" s="125"/>
      <c r="L58" s="129">
        <f>-MAX(MIN(L55,SUM(L56:L57)),0)</f>
        <v>0</v>
      </c>
      <c r="M58" s="129">
        <f t="shared" ref="M58:AU58" si="103">-MAX(MIN(M55,SUM(M56:M57)),0)</f>
        <v>0</v>
      </c>
      <c r="N58" s="129">
        <f t="shared" si="103"/>
        <v>0</v>
      </c>
      <c r="O58" s="129">
        <f t="shared" si="103"/>
        <v>0</v>
      </c>
      <c r="P58" s="129">
        <f t="shared" si="103"/>
        <v>0</v>
      </c>
      <c r="Q58" s="129">
        <f t="shared" si="103"/>
        <v>0</v>
      </c>
      <c r="R58" s="129">
        <f t="shared" si="103"/>
        <v>0</v>
      </c>
      <c r="S58" s="129">
        <f t="shared" si="103"/>
        <v>0</v>
      </c>
      <c r="T58" s="129">
        <f t="shared" si="103"/>
        <v>0</v>
      </c>
      <c r="U58" s="129">
        <f t="shared" si="103"/>
        <v>0</v>
      </c>
      <c r="V58" s="129">
        <f t="shared" si="103"/>
        <v>0</v>
      </c>
      <c r="W58" s="129">
        <f t="shared" si="103"/>
        <v>0</v>
      </c>
      <c r="X58" s="129">
        <f t="shared" si="103"/>
        <v>0</v>
      </c>
      <c r="Y58" s="129">
        <f t="shared" si="103"/>
        <v>0</v>
      </c>
      <c r="Z58" s="129">
        <f t="shared" si="103"/>
        <v>0</v>
      </c>
      <c r="AA58" s="129">
        <f t="shared" si="103"/>
        <v>0</v>
      </c>
      <c r="AB58" s="129">
        <f t="shared" si="103"/>
        <v>0</v>
      </c>
      <c r="AC58" s="129">
        <f t="shared" si="103"/>
        <v>0</v>
      </c>
      <c r="AD58" s="129">
        <f t="shared" si="103"/>
        <v>0</v>
      </c>
      <c r="AE58" s="129">
        <f t="shared" si="103"/>
        <v>0</v>
      </c>
      <c r="AF58" s="129">
        <f t="shared" si="103"/>
        <v>0</v>
      </c>
      <c r="AG58" s="129">
        <f t="shared" si="103"/>
        <v>0</v>
      </c>
      <c r="AH58" s="129">
        <f t="shared" si="103"/>
        <v>0</v>
      </c>
      <c r="AI58" s="129">
        <f t="shared" si="103"/>
        <v>0</v>
      </c>
      <c r="AJ58" s="129">
        <f t="shared" si="103"/>
        <v>0</v>
      </c>
      <c r="AK58" s="129">
        <f t="shared" si="103"/>
        <v>0</v>
      </c>
      <c r="AL58" s="129">
        <f t="shared" si="103"/>
        <v>0</v>
      </c>
      <c r="AM58" s="129">
        <f t="shared" si="103"/>
        <v>0</v>
      </c>
      <c r="AN58" s="129">
        <f t="shared" si="103"/>
        <v>0</v>
      </c>
      <c r="AO58" s="129">
        <f t="shared" si="103"/>
        <v>0</v>
      </c>
      <c r="AP58" s="129">
        <f t="shared" si="103"/>
        <v>0</v>
      </c>
      <c r="AQ58" s="129">
        <f t="shared" si="103"/>
        <v>0</v>
      </c>
      <c r="AR58" s="129">
        <f t="shared" si="103"/>
        <v>0</v>
      </c>
      <c r="AS58" s="129">
        <f t="shared" si="103"/>
        <v>0</v>
      </c>
      <c r="AT58" s="129">
        <f t="shared" si="103"/>
        <v>0</v>
      </c>
      <c r="AU58" s="129">
        <f t="shared" si="103"/>
        <v>0</v>
      </c>
    </row>
    <row r="59" spans="9:47" hidden="1" outlineLevel="1">
      <c r="I59" s="130" t="s">
        <v>76</v>
      </c>
      <c r="J59" s="126">
        <f>SUM(J56:J58)</f>
        <v>0</v>
      </c>
      <c r="L59" s="126">
        <f>SUM(L56:L58)</f>
        <v>0</v>
      </c>
      <c r="M59" s="126">
        <f>SUM(M56:M58)</f>
        <v>0</v>
      </c>
      <c r="N59" s="126">
        <f t="shared" ref="N59:AU59" si="104">SUM(N56:N58)</f>
        <v>0</v>
      </c>
      <c r="O59" s="126">
        <f t="shared" si="104"/>
        <v>0</v>
      </c>
      <c r="P59" s="126">
        <f t="shared" si="104"/>
        <v>0</v>
      </c>
      <c r="Q59" s="126">
        <f t="shared" si="104"/>
        <v>0</v>
      </c>
      <c r="R59" s="126">
        <f t="shared" si="104"/>
        <v>0</v>
      </c>
      <c r="S59" s="126">
        <f t="shared" si="104"/>
        <v>0</v>
      </c>
      <c r="T59" s="126">
        <f t="shared" si="104"/>
        <v>0</v>
      </c>
      <c r="U59" s="126">
        <f t="shared" si="104"/>
        <v>0</v>
      </c>
      <c r="V59" s="126">
        <f t="shared" si="104"/>
        <v>0</v>
      </c>
      <c r="W59" s="126">
        <f t="shared" si="104"/>
        <v>0</v>
      </c>
      <c r="X59" s="126">
        <f t="shared" si="104"/>
        <v>0</v>
      </c>
      <c r="Y59" s="126">
        <f t="shared" si="104"/>
        <v>0</v>
      </c>
      <c r="Z59" s="126">
        <f t="shared" si="104"/>
        <v>0</v>
      </c>
      <c r="AA59" s="126">
        <f t="shared" si="104"/>
        <v>0</v>
      </c>
      <c r="AB59" s="126">
        <f t="shared" si="104"/>
        <v>0</v>
      </c>
      <c r="AC59" s="126">
        <f t="shared" si="104"/>
        <v>0</v>
      </c>
      <c r="AD59" s="126">
        <f t="shared" si="104"/>
        <v>0</v>
      </c>
      <c r="AE59" s="126">
        <f t="shared" si="104"/>
        <v>0</v>
      </c>
      <c r="AF59" s="126">
        <f t="shared" si="104"/>
        <v>0</v>
      </c>
      <c r="AG59" s="126">
        <f t="shared" si="104"/>
        <v>0</v>
      </c>
      <c r="AH59" s="126">
        <f t="shared" si="104"/>
        <v>0</v>
      </c>
      <c r="AI59" s="126">
        <f t="shared" si="104"/>
        <v>0</v>
      </c>
      <c r="AJ59" s="126">
        <f t="shared" si="104"/>
        <v>0</v>
      </c>
      <c r="AK59" s="126">
        <f t="shared" si="104"/>
        <v>0</v>
      </c>
      <c r="AL59" s="126">
        <f t="shared" si="104"/>
        <v>0</v>
      </c>
      <c r="AM59" s="126">
        <f t="shared" si="104"/>
        <v>0</v>
      </c>
      <c r="AN59" s="126">
        <f t="shared" si="104"/>
        <v>0</v>
      </c>
      <c r="AO59" s="126">
        <f t="shared" si="104"/>
        <v>0</v>
      </c>
      <c r="AP59" s="126">
        <f t="shared" si="104"/>
        <v>0</v>
      </c>
      <c r="AQ59" s="126">
        <f t="shared" si="104"/>
        <v>0</v>
      </c>
      <c r="AR59" s="126">
        <f t="shared" si="104"/>
        <v>0</v>
      </c>
      <c r="AS59" s="126">
        <f t="shared" si="104"/>
        <v>0</v>
      </c>
      <c r="AT59" s="126">
        <f t="shared" si="104"/>
        <v>0</v>
      </c>
      <c r="AU59" s="126">
        <f t="shared" si="104"/>
        <v>0</v>
      </c>
    </row>
    <row r="60" spans="9:47" hidden="1" outlineLevel="1"/>
    <row r="61" spans="9:47" hidden="1" outlineLevel="1">
      <c r="I61" s="216" t="str">
        <f>$D$41&amp;" 전 CF"</f>
        <v xml:space="preserve"> 전 CF</v>
      </c>
      <c r="J61" s="125"/>
      <c r="K61" s="125"/>
      <c r="L61" s="129">
        <f>L55+L58</f>
        <v>239793.4461638889</v>
      </c>
      <c r="M61" s="129">
        <f t="shared" ref="M61:AU61" si="105">M55+M58</f>
        <v>243904.55727500003</v>
      </c>
      <c r="N61" s="129">
        <f t="shared" si="105"/>
        <v>239793.4461638889</v>
      </c>
      <c r="O61" s="129">
        <f t="shared" si="105"/>
        <v>254645.93923577433</v>
      </c>
      <c r="P61" s="129">
        <f t="shared" si="105"/>
        <v>267230.31673610763</v>
      </c>
      <c r="Q61" s="129">
        <f t="shared" si="105"/>
        <v>250354.97673577431</v>
      </c>
      <c r="R61" s="129">
        <f t="shared" si="105"/>
        <v>254466.08784688544</v>
      </c>
      <c r="S61" s="129">
        <f t="shared" si="105"/>
        <v>250354.97673577431</v>
      </c>
      <c r="T61" s="129">
        <f t="shared" si="105"/>
        <v>254466.08784688544</v>
      </c>
      <c r="U61" s="129">
        <f t="shared" si="105"/>
        <v>248267.27916360763</v>
      </c>
      <c r="V61" s="129">
        <f t="shared" si="105"/>
        <v>248267.27916360763</v>
      </c>
      <c r="W61" s="129">
        <f t="shared" si="105"/>
        <v>256846.98465371877</v>
      </c>
      <c r="X61" s="129">
        <f t="shared" si="105"/>
        <v>251218.08302285767</v>
      </c>
      <c r="Y61" s="129">
        <f t="shared" si="105"/>
        <v>255329.19413396879</v>
      </c>
      <c r="Z61" s="129">
        <f t="shared" si="105"/>
        <v>251218.08302285767</v>
      </c>
      <c r="AA61" s="129">
        <f t="shared" si="105"/>
        <v>266975.1619751011</v>
      </c>
      <c r="AB61" s="129">
        <f t="shared" si="105"/>
        <v>275197.38419732335</v>
      </c>
      <c r="AC61" s="129">
        <f t="shared" si="105"/>
        <v>266975.1619751011</v>
      </c>
      <c r="AD61" s="129">
        <f t="shared" si="105"/>
        <v>271086.27308621223</v>
      </c>
      <c r="AE61" s="129">
        <f t="shared" si="105"/>
        <v>266975.1619751011</v>
      </c>
      <c r="AF61" s="129">
        <f t="shared" si="105"/>
        <v>271086.27308621223</v>
      </c>
      <c r="AG61" s="129">
        <f t="shared" si="105"/>
        <v>262685.81295368442</v>
      </c>
      <c r="AH61" s="129">
        <f t="shared" si="105"/>
        <v>262685.81295368442</v>
      </c>
      <c r="AI61" s="129">
        <f t="shared" si="105"/>
        <v>266796.92406479554</v>
      </c>
      <c r="AJ61" s="129">
        <f t="shared" si="105"/>
        <v>253202.80607835104</v>
      </c>
      <c r="AK61" s="129">
        <f t="shared" si="105"/>
        <v>257313.91718946217</v>
      </c>
      <c r="AL61" s="129">
        <f t="shared" si="105"/>
        <v>253202.80607835104</v>
      </c>
      <c r="AM61" s="129">
        <f t="shared" si="105"/>
        <v>269510.75114645297</v>
      </c>
      <c r="AN61" s="129">
        <f t="shared" si="105"/>
        <v>281844.08447978628</v>
      </c>
      <c r="AO61" s="129">
        <f t="shared" si="105"/>
        <v>269510.75114645297</v>
      </c>
      <c r="AP61" s="129">
        <f t="shared" si="105"/>
        <v>273621.86225756409</v>
      </c>
      <c r="AQ61" s="129">
        <f t="shared" si="105"/>
        <v>269510.75114645297</v>
      </c>
      <c r="AR61" s="129">
        <f t="shared" si="105"/>
        <v>273621.86225756409</v>
      </c>
      <c r="AS61" s="129">
        <f t="shared" si="105"/>
        <v>266725.55340481328</v>
      </c>
      <c r="AT61" s="129">
        <f t="shared" si="105"/>
        <v>266725.55340481328</v>
      </c>
      <c r="AU61" s="129">
        <f t="shared" si="105"/>
        <v>270836.66451592441</v>
      </c>
    </row>
    <row r="62" spans="9:47" hidden="1" outlineLevel="1">
      <c r="I62" s="120" t="s">
        <v>77</v>
      </c>
      <c r="J62" s="126">
        <f>L62</f>
        <v>0</v>
      </c>
      <c r="L62" s="126">
        <v>0</v>
      </c>
      <c r="M62" s="126">
        <f>L65</f>
        <v>0</v>
      </c>
      <c r="N62" s="126">
        <f t="shared" ref="N62:AU62" si="106">M65</f>
        <v>0</v>
      </c>
      <c r="O62" s="126">
        <f t="shared" si="106"/>
        <v>0</v>
      </c>
      <c r="P62" s="126">
        <f t="shared" si="106"/>
        <v>0</v>
      </c>
      <c r="Q62" s="126">
        <f t="shared" si="106"/>
        <v>0</v>
      </c>
      <c r="R62" s="126">
        <f t="shared" si="106"/>
        <v>0</v>
      </c>
      <c r="S62" s="126">
        <f t="shared" si="106"/>
        <v>0</v>
      </c>
      <c r="T62" s="126">
        <f t="shared" si="106"/>
        <v>0</v>
      </c>
      <c r="U62" s="126">
        <f t="shared" si="106"/>
        <v>0</v>
      </c>
      <c r="V62" s="126">
        <f t="shared" si="106"/>
        <v>0</v>
      </c>
      <c r="W62" s="126">
        <f t="shared" si="106"/>
        <v>0</v>
      </c>
      <c r="X62" s="126">
        <f t="shared" si="106"/>
        <v>0</v>
      </c>
      <c r="Y62" s="126">
        <f t="shared" si="106"/>
        <v>0</v>
      </c>
      <c r="Z62" s="126">
        <f t="shared" si="106"/>
        <v>0</v>
      </c>
      <c r="AA62" s="126">
        <f t="shared" si="106"/>
        <v>0</v>
      </c>
      <c r="AB62" s="126">
        <f t="shared" si="106"/>
        <v>0</v>
      </c>
      <c r="AC62" s="126">
        <f t="shared" si="106"/>
        <v>0</v>
      </c>
      <c r="AD62" s="126">
        <f t="shared" si="106"/>
        <v>0</v>
      </c>
      <c r="AE62" s="126">
        <f t="shared" si="106"/>
        <v>0</v>
      </c>
      <c r="AF62" s="126">
        <f t="shared" si="106"/>
        <v>0</v>
      </c>
      <c r="AG62" s="126">
        <f t="shared" si="106"/>
        <v>0</v>
      </c>
      <c r="AH62" s="126">
        <f t="shared" si="106"/>
        <v>0</v>
      </c>
      <c r="AI62" s="126">
        <f t="shared" si="106"/>
        <v>0</v>
      </c>
      <c r="AJ62" s="126">
        <f t="shared" si="106"/>
        <v>0</v>
      </c>
      <c r="AK62" s="126">
        <f t="shared" si="106"/>
        <v>0</v>
      </c>
      <c r="AL62" s="126">
        <f t="shared" si="106"/>
        <v>0</v>
      </c>
      <c r="AM62" s="126">
        <f t="shared" si="106"/>
        <v>0</v>
      </c>
      <c r="AN62" s="126">
        <f t="shared" si="106"/>
        <v>0</v>
      </c>
      <c r="AO62" s="126">
        <f t="shared" si="106"/>
        <v>0</v>
      </c>
      <c r="AP62" s="126">
        <f t="shared" si="106"/>
        <v>0</v>
      </c>
      <c r="AQ62" s="126">
        <f t="shared" si="106"/>
        <v>0</v>
      </c>
      <c r="AR62" s="126">
        <f t="shared" si="106"/>
        <v>0</v>
      </c>
      <c r="AS62" s="126">
        <f t="shared" si="106"/>
        <v>0</v>
      </c>
      <c r="AT62" s="126">
        <f t="shared" si="106"/>
        <v>0</v>
      </c>
      <c r="AU62" s="126">
        <f t="shared" si="106"/>
        <v>0</v>
      </c>
    </row>
    <row r="63" spans="9:47" hidden="1" outlineLevel="1">
      <c r="I63" s="120" t="s">
        <v>78</v>
      </c>
      <c r="J63" s="126">
        <f>SUM(K63:AU63)</f>
        <v>0</v>
      </c>
      <c r="L63" s="201">
        <f>L41</f>
        <v>0</v>
      </c>
      <c r="M63" s="201">
        <f>M41</f>
        <v>0</v>
      </c>
      <c r="N63" s="201">
        <f t="shared" ref="N63:AU63" si="107">N41</f>
        <v>0</v>
      </c>
      <c r="O63" s="201">
        <f t="shared" si="107"/>
        <v>0</v>
      </c>
      <c r="P63" s="201">
        <f t="shared" si="107"/>
        <v>0</v>
      </c>
      <c r="Q63" s="201">
        <f t="shared" si="107"/>
        <v>0</v>
      </c>
      <c r="R63" s="201">
        <f t="shared" si="107"/>
        <v>0</v>
      </c>
      <c r="S63" s="201">
        <f t="shared" si="107"/>
        <v>0</v>
      </c>
      <c r="T63" s="201">
        <f t="shared" si="107"/>
        <v>0</v>
      </c>
      <c r="U63" s="201">
        <f t="shared" si="107"/>
        <v>0</v>
      </c>
      <c r="V63" s="201">
        <f t="shared" si="107"/>
        <v>0</v>
      </c>
      <c r="W63" s="201">
        <f t="shared" si="107"/>
        <v>0</v>
      </c>
      <c r="X63" s="201">
        <f t="shared" si="107"/>
        <v>0</v>
      </c>
      <c r="Y63" s="201">
        <f t="shared" si="107"/>
        <v>0</v>
      </c>
      <c r="Z63" s="201">
        <f t="shared" si="107"/>
        <v>0</v>
      </c>
      <c r="AA63" s="201">
        <f t="shared" si="107"/>
        <v>0</v>
      </c>
      <c r="AB63" s="201">
        <f t="shared" si="107"/>
        <v>0</v>
      </c>
      <c r="AC63" s="201">
        <f t="shared" si="107"/>
        <v>0</v>
      </c>
      <c r="AD63" s="201">
        <f t="shared" si="107"/>
        <v>0</v>
      </c>
      <c r="AE63" s="201">
        <f t="shared" si="107"/>
        <v>0</v>
      </c>
      <c r="AF63" s="201">
        <f t="shared" si="107"/>
        <v>0</v>
      </c>
      <c r="AG63" s="201">
        <f t="shared" si="107"/>
        <v>0</v>
      </c>
      <c r="AH63" s="201">
        <f t="shared" si="107"/>
        <v>0</v>
      </c>
      <c r="AI63" s="201">
        <f t="shared" si="107"/>
        <v>0</v>
      </c>
      <c r="AJ63" s="201">
        <f t="shared" si="107"/>
        <v>0</v>
      </c>
      <c r="AK63" s="201">
        <f t="shared" si="107"/>
        <v>0</v>
      </c>
      <c r="AL63" s="201">
        <f t="shared" si="107"/>
        <v>0</v>
      </c>
      <c r="AM63" s="201">
        <f t="shared" si="107"/>
        <v>0</v>
      </c>
      <c r="AN63" s="201">
        <f t="shared" si="107"/>
        <v>0</v>
      </c>
      <c r="AO63" s="201">
        <f t="shared" si="107"/>
        <v>0</v>
      </c>
      <c r="AP63" s="201">
        <f t="shared" si="107"/>
        <v>0</v>
      </c>
      <c r="AQ63" s="201">
        <f t="shared" si="107"/>
        <v>0</v>
      </c>
      <c r="AR63" s="201">
        <f t="shared" si="107"/>
        <v>0</v>
      </c>
      <c r="AS63" s="201">
        <f t="shared" si="107"/>
        <v>0</v>
      </c>
      <c r="AT63" s="201">
        <f t="shared" si="107"/>
        <v>0</v>
      </c>
      <c r="AU63" s="201">
        <f t="shared" si="107"/>
        <v>0</v>
      </c>
    </row>
    <row r="64" spans="9:47" hidden="1" outlineLevel="1">
      <c r="I64" s="128" t="s">
        <v>75</v>
      </c>
      <c r="J64" s="129">
        <f>SUM(K64:AU64)</f>
        <v>0</v>
      </c>
      <c r="K64" s="125"/>
      <c r="L64" s="129">
        <f>-MAX(MIN(L61,SUM(L62:L63)),0)</f>
        <v>0</v>
      </c>
      <c r="M64" s="129">
        <f t="shared" ref="M64:AU64" si="108">-MAX(MIN(M61,SUM(M62:M63)),0)</f>
        <v>0</v>
      </c>
      <c r="N64" s="129">
        <f t="shared" si="108"/>
        <v>0</v>
      </c>
      <c r="O64" s="129">
        <f t="shared" si="108"/>
        <v>0</v>
      </c>
      <c r="P64" s="129">
        <f t="shared" si="108"/>
        <v>0</v>
      </c>
      <c r="Q64" s="129">
        <f t="shared" si="108"/>
        <v>0</v>
      </c>
      <c r="R64" s="129">
        <f t="shared" si="108"/>
        <v>0</v>
      </c>
      <c r="S64" s="129">
        <f t="shared" si="108"/>
        <v>0</v>
      </c>
      <c r="T64" s="129">
        <f t="shared" si="108"/>
        <v>0</v>
      </c>
      <c r="U64" s="129">
        <f t="shared" si="108"/>
        <v>0</v>
      </c>
      <c r="V64" s="129">
        <f t="shared" si="108"/>
        <v>0</v>
      </c>
      <c r="W64" s="129">
        <f t="shared" si="108"/>
        <v>0</v>
      </c>
      <c r="X64" s="129">
        <f t="shared" si="108"/>
        <v>0</v>
      </c>
      <c r="Y64" s="129">
        <f t="shared" si="108"/>
        <v>0</v>
      </c>
      <c r="Z64" s="129">
        <f t="shared" si="108"/>
        <v>0</v>
      </c>
      <c r="AA64" s="129">
        <f t="shared" si="108"/>
        <v>0</v>
      </c>
      <c r="AB64" s="129">
        <f t="shared" si="108"/>
        <v>0</v>
      </c>
      <c r="AC64" s="129">
        <f t="shared" si="108"/>
        <v>0</v>
      </c>
      <c r="AD64" s="129">
        <f t="shared" si="108"/>
        <v>0</v>
      </c>
      <c r="AE64" s="129">
        <f t="shared" si="108"/>
        <v>0</v>
      </c>
      <c r="AF64" s="129">
        <f t="shared" si="108"/>
        <v>0</v>
      </c>
      <c r="AG64" s="129">
        <f t="shared" si="108"/>
        <v>0</v>
      </c>
      <c r="AH64" s="129">
        <f t="shared" si="108"/>
        <v>0</v>
      </c>
      <c r="AI64" s="129">
        <f t="shared" si="108"/>
        <v>0</v>
      </c>
      <c r="AJ64" s="129">
        <f t="shared" si="108"/>
        <v>0</v>
      </c>
      <c r="AK64" s="129">
        <f t="shared" si="108"/>
        <v>0</v>
      </c>
      <c r="AL64" s="129">
        <f t="shared" si="108"/>
        <v>0</v>
      </c>
      <c r="AM64" s="129">
        <f t="shared" si="108"/>
        <v>0</v>
      </c>
      <c r="AN64" s="129">
        <f t="shared" si="108"/>
        <v>0</v>
      </c>
      <c r="AO64" s="129">
        <f t="shared" si="108"/>
        <v>0</v>
      </c>
      <c r="AP64" s="129">
        <f t="shared" si="108"/>
        <v>0</v>
      </c>
      <c r="AQ64" s="129">
        <f t="shared" si="108"/>
        <v>0</v>
      </c>
      <c r="AR64" s="129">
        <f t="shared" si="108"/>
        <v>0</v>
      </c>
      <c r="AS64" s="129">
        <f t="shared" si="108"/>
        <v>0</v>
      </c>
      <c r="AT64" s="129">
        <f t="shared" si="108"/>
        <v>0</v>
      </c>
      <c r="AU64" s="129">
        <f t="shared" si="108"/>
        <v>0</v>
      </c>
    </row>
    <row r="65" spans="1:47" hidden="1" outlineLevel="1">
      <c r="I65" s="130" t="s">
        <v>79</v>
      </c>
      <c r="J65" s="126">
        <f>SUM(J62:J64)</f>
        <v>0</v>
      </c>
      <c r="L65" s="126">
        <f>SUM(L62:L64)</f>
        <v>0</v>
      </c>
      <c r="M65" s="126">
        <f>SUM(M62:M64)</f>
        <v>0</v>
      </c>
      <c r="N65" s="126">
        <f t="shared" ref="N65:AU65" si="109">SUM(N62:N64)</f>
        <v>0</v>
      </c>
      <c r="O65" s="126">
        <f t="shared" si="109"/>
        <v>0</v>
      </c>
      <c r="P65" s="126">
        <f t="shared" si="109"/>
        <v>0</v>
      </c>
      <c r="Q65" s="126">
        <f t="shared" si="109"/>
        <v>0</v>
      </c>
      <c r="R65" s="126">
        <f t="shared" si="109"/>
        <v>0</v>
      </c>
      <c r="S65" s="126">
        <f t="shared" si="109"/>
        <v>0</v>
      </c>
      <c r="T65" s="126">
        <f t="shared" si="109"/>
        <v>0</v>
      </c>
      <c r="U65" s="126">
        <f t="shared" si="109"/>
        <v>0</v>
      </c>
      <c r="V65" s="126">
        <f t="shared" si="109"/>
        <v>0</v>
      </c>
      <c r="W65" s="126">
        <f t="shared" si="109"/>
        <v>0</v>
      </c>
      <c r="X65" s="126">
        <f t="shared" si="109"/>
        <v>0</v>
      </c>
      <c r="Y65" s="126">
        <f t="shared" si="109"/>
        <v>0</v>
      </c>
      <c r="Z65" s="126">
        <f t="shared" si="109"/>
        <v>0</v>
      </c>
      <c r="AA65" s="126">
        <f t="shared" si="109"/>
        <v>0</v>
      </c>
      <c r="AB65" s="126">
        <f t="shared" si="109"/>
        <v>0</v>
      </c>
      <c r="AC65" s="126">
        <f t="shared" si="109"/>
        <v>0</v>
      </c>
      <c r="AD65" s="126">
        <f t="shared" si="109"/>
        <v>0</v>
      </c>
      <c r="AE65" s="126">
        <f t="shared" si="109"/>
        <v>0</v>
      </c>
      <c r="AF65" s="126">
        <f t="shared" si="109"/>
        <v>0</v>
      </c>
      <c r="AG65" s="126">
        <f t="shared" si="109"/>
        <v>0</v>
      </c>
      <c r="AH65" s="126">
        <f t="shared" si="109"/>
        <v>0</v>
      </c>
      <c r="AI65" s="126">
        <f t="shared" si="109"/>
        <v>0</v>
      </c>
      <c r="AJ65" s="126">
        <f t="shared" si="109"/>
        <v>0</v>
      </c>
      <c r="AK65" s="126">
        <f t="shared" si="109"/>
        <v>0</v>
      </c>
      <c r="AL65" s="126">
        <f t="shared" si="109"/>
        <v>0</v>
      </c>
      <c r="AM65" s="126">
        <f t="shared" si="109"/>
        <v>0</v>
      </c>
      <c r="AN65" s="126">
        <f t="shared" si="109"/>
        <v>0</v>
      </c>
      <c r="AO65" s="126">
        <f t="shared" si="109"/>
        <v>0</v>
      </c>
      <c r="AP65" s="126">
        <f t="shared" si="109"/>
        <v>0</v>
      </c>
      <c r="AQ65" s="126">
        <f t="shared" si="109"/>
        <v>0</v>
      </c>
      <c r="AR65" s="126">
        <f t="shared" si="109"/>
        <v>0</v>
      </c>
      <c r="AS65" s="126">
        <f t="shared" si="109"/>
        <v>0</v>
      </c>
      <c r="AT65" s="126">
        <f t="shared" si="109"/>
        <v>0</v>
      </c>
      <c r="AU65" s="126">
        <f t="shared" si="109"/>
        <v>0</v>
      </c>
    </row>
    <row r="66" spans="1:47" hidden="1" outlineLevel="1"/>
    <row r="67" spans="1:47" hidden="1" outlineLevel="1">
      <c r="I67" s="216" t="s">
        <v>80</v>
      </c>
      <c r="J67" s="125"/>
      <c r="K67" s="125"/>
      <c r="L67" s="129">
        <f>L61+L64</f>
        <v>239793.4461638889</v>
      </c>
      <c r="M67" s="129">
        <f t="shared" ref="M67:AU67" si="110">M61+M64</f>
        <v>243904.55727500003</v>
      </c>
      <c r="N67" s="129">
        <f t="shared" si="110"/>
        <v>239793.4461638889</v>
      </c>
      <c r="O67" s="129">
        <f t="shared" si="110"/>
        <v>254645.93923577433</v>
      </c>
      <c r="P67" s="129">
        <f t="shared" si="110"/>
        <v>267230.31673610763</v>
      </c>
      <c r="Q67" s="129">
        <f t="shared" si="110"/>
        <v>250354.97673577431</v>
      </c>
      <c r="R67" s="129">
        <f t="shared" si="110"/>
        <v>254466.08784688544</v>
      </c>
      <c r="S67" s="129">
        <f t="shared" si="110"/>
        <v>250354.97673577431</v>
      </c>
      <c r="T67" s="129">
        <f t="shared" si="110"/>
        <v>254466.08784688544</v>
      </c>
      <c r="U67" s="129">
        <f t="shared" si="110"/>
        <v>248267.27916360763</v>
      </c>
      <c r="V67" s="129">
        <f t="shared" si="110"/>
        <v>248267.27916360763</v>
      </c>
      <c r="W67" s="129">
        <f t="shared" si="110"/>
        <v>256846.98465371877</v>
      </c>
      <c r="X67" s="129">
        <f t="shared" si="110"/>
        <v>251218.08302285767</v>
      </c>
      <c r="Y67" s="129">
        <f t="shared" si="110"/>
        <v>255329.19413396879</v>
      </c>
      <c r="Z67" s="129">
        <f t="shared" si="110"/>
        <v>251218.08302285767</v>
      </c>
      <c r="AA67" s="129">
        <f t="shared" si="110"/>
        <v>266975.1619751011</v>
      </c>
      <c r="AB67" s="129">
        <f t="shared" si="110"/>
        <v>275197.38419732335</v>
      </c>
      <c r="AC67" s="129">
        <f t="shared" si="110"/>
        <v>266975.1619751011</v>
      </c>
      <c r="AD67" s="129">
        <f t="shared" si="110"/>
        <v>271086.27308621223</v>
      </c>
      <c r="AE67" s="129">
        <f t="shared" si="110"/>
        <v>266975.1619751011</v>
      </c>
      <c r="AF67" s="129">
        <f t="shared" si="110"/>
        <v>271086.27308621223</v>
      </c>
      <c r="AG67" s="129">
        <f t="shared" si="110"/>
        <v>262685.81295368442</v>
      </c>
      <c r="AH67" s="129">
        <f t="shared" si="110"/>
        <v>262685.81295368442</v>
      </c>
      <c r="AI67" s="129">
        <f t="shared" si="110"/>
        <v>266796.92406479554</v>
      </c>
      <c r="AJ67" s="129">
        <f t="shared" si="110"/>
        <v>253202.80607835104</v>
      </c>
      <c r="AK67" s="129">
        <f t="shared" si="110"/>
        <v>257313.91718946217</v>
      </c>
      <c r="AL67" s="129">
        <f t="shared" si="110"/>
        <v>253202.80607835104</v>
      </c>
      <c r="AM67" s="129">
        <f t="shared" si="110"/>
        <v>269510.75114645297</v>
      </c>
      <c r="AN67" s="129">
        <f t="shared" si="110"/>
        <v>281844.08447978628</v>
      </c>
      <c r="AO67" s="129">
        <f t="shared" si="110"/>
        <v>269510.75114645297</v>
      </c>
      <c r="AP67" s="129">
        <f t="shared" si="110"/>
        <v>273621.86225756409</v>
      </c>
      <c r="AQ67" s="129">
        <f t="shared" si="110"/>
        <v>269510.75114645297</v>
      </c>
      <c r="AR67" s="129">
        <f t="shared" si="110"/>
        <v>273621.86225756409</v>
      </c>
      <c r="AS67" s="129">
        <f t="shared" si="110"/>
        <v>266725.55340481328</v>
      </c>
      <c r="AT67" s="129">
        <f t="shared" si="110"/>
        <v>266725.55340481328</v>
      </c>
      <c r="AU67" s="129">
        <f t="shared" si="110"/>
        <v>270836.66451592441</v>
      </c>
    </row>
    <row r="68" spans="1:47" hidden="1" outlineLevel="1">
      <c r="I68" s="120" t="s">
        <v>81</v>
      </c>
      <c r="J68" s="126">
        <f>L68</f>
        <v>0</v>
      </c>
      <c r="L68" s="126">
        <v>0</v>
      </c>
      <c r="M68" s="126">
        <f>L71</f>
        <v>0</v>
      </c>
      <c r="N68" s="126">
        <f t="shared" ref="N68:AU68" si="111">M71</f>
        <v>0</v>
      </c>
      <c r="O68" s="126">
        <f t="shared" si="111"/>
        <v>0</v>
      </c>
      <c r="P68" s="126">
        <f t="shared" si="111"/>
        <v>0</v>
      </c>
      <c r="Q68" s="126">
        <f t="shared" si="111"/>
        <v>0</v>
      </c>
      <c r="R68" s="126">
        <f t="shared" si="111"/>
        <v>0</v>
      </c>
      <c r="S68" s="126">
        <f t="shared" si="111"/>
        <v>0</v>
      </c>
      <c r="T68" s="126">
        <f t="shared" si="111"/>
        <v>0</v>
      </c>
      <c r="U68" s="126">
        <f t="shared" si="111"/>
        <v>0</v>
      </c>
      <c r="V68" s="126">
        <f t="shared" si="111"/>
        <v>0</v>
      </c>
      <c r="W68" s="126">
        <f t="shared" si="111"/>
        <v>0</v>
      </c>
      <c r="X68" s="126">
        <f t="shared" si="111"/>
        <v>0</v>
      </c>
      <c r="Y68" s="126">
        <f t="shared" si="111"/>
        <v>0</v>
      </c>
      <c r="Z68" s="126">
        <f t="shared" si="111"/>
        <v>0</v>
      </c>
      <c r="AA68" s="126">
        <f t="shared" si="111"/>
        <v>0</v>
      </c>
      <c r="AB68" s="126">
        <f t="shared" si="111"/>
        <v>0</v>
      </c>
      <c r="AC68" s="126">
        <f t="shared" si="111"/>
        <v>0</v>
      </c>
      <c r="AD68" s="126">
        <f t="shared" si="111"/>
        <v>0</v>
      </c>
      <c r="AE68" s="126">
        <f t="shared" si="111"/>
        <v>0</v>
      </c>
      <c r="AF68" s="126">
        <f t="shared" si="111"/>
        <v>0</v>
      </c>
      <c r="AG68" s="126">
        <f t="shared" si="111"/>
        <v>0</v>
      </c>
      <c r="AH68" s="126">
        <f t="shared" si="111"/>
        <v>0</v>
      </c>
      <c r="AI68" s="126">
        <f t="shared" si="111"/>
        <v>0</v>
      </c>
      <c r="AJ68" s="126">
        <f t="shared" si="111"/>
        <v>0</v>
      </c>
      <c r="AK68" s="126">
        <f t="shared" si="111"/>
        <v>0</v>
      </c>
      <c r="AL68" s="126">
        <f t="shared" si="111"/>
        <v>0</v>
      </c>
      <c r="AM68" s="126">
        <f t="shared" si="111"/>
        <v>0</v>
      </c>
      <c r="AN68" s="126">
        <f t="shared" si="111"/>
        <v>0</v>
      </c>
      <c r="AO68" s="126">
        <f t="shared" si="111"/>
        <v>0</v>
      </c>
      <c r="AP68" s="126">
        <f t="shared" si="111"/>
        <v>0</v>
      </c>
      <c r="AQ68" s="126">
        <f t="shared" si="111"/>
        <v>0</v>
      </c>
      <c r="AR68" s="126">
        <f t="shared" si="111"/>
        <v>0</v>
      </c>
      <c r="AS68" s="126">
        <f t="shared" si="111"/>
        <v>0</v>
      </c>
      <c r="AT68" s="126">
        <f t="shared" si="111"/>
        <v>0</v>
      </c>
      <c r="AU68" s="126">
        <f t="shared" si="111"/>
        <v>0</v>
      </c>
    </row>
    <row r="69" spans="1:47" hidden="1" outlineLevel="1">
      <c r="E69" s="119" t="s">
        <v>82</v>
      </c>
      <c r="F69" s="292"/>
      <c r="G69" s="126">
        <f>F69/12</f>
        <v>0</v>
      </c>
      <c r="I69" s="120" t="s">
        <v>78</v>
      </c>
      <c r="J69" s="126">
        <f>SUM(K69:AU69)</f>
        <v>0</v>
      </c>
      <c r="L69" s="201">
        <f>$G69</f>
        <v>0</v>
      </c>
      <c r="M69" s="201">
        <f t="shared" ref="M69:AU69" si="112">$G69</f>
        <v>0</v>
      </c>
      <c r="N69" s="201">
        <f t="shared" si="112"/>
        <v>0</v>
      </c>
      <c r="O69" s="201">
        <f t="shared" si="112"/>
        <v>0</v>
      </c>
      <c r="P69" s="201">
        <f t="shared" si="112"/>
        <v>0</v>
      </c>
      <c r="Q69" s="201">
        <f t="shared" si="112"/>
        <v>0</v>
      </c>
      <c r="R69" s="201">
        <f t="shared" si="112"/>
        <v>0</v>
      </c>
      <c r="S69" s="201">
        <f t="shared" si="112"/>
        <v>0</v>
      </c>
      <c r="T69" s="201">
        <f t="shared" si="112"/>
        <v>0</v>
      </c>
      <c r="U69" s="201">
        <f t="shared" si="112"/>
        <v>0</v>
      </c>
      <c r="V69" s="201">
        <f t="shared" si="112"/>
        <v>0</v>
      </c>
      <c r="W69" s="201">
        <f t="shared" si="112"/>
        <v>0</v>
      </c>
      <c r="X69" s="201">
        <f t="shared" si="112"/>
        <v>0</v>
      </c>
      <c r="Y69" s="201">
        <f t="shared" si="112"/>
        <v>0</v>
      </c>
      <c r="Z69" s="201">
        <f t="shared" si="112"/>
        <v>0</v>
      </c>
      <c r="AA69" s="201">
        <f t="shared" si="112"/>
        <v>0</v>
      </c>
      <c r="AB69" s="201">
        <f t="shared" si="112"/>
        <v>0</v>
      </c>
      <c r="AC69" s="201">
        <f t="shared" si="112"/>
        <v>0</v>
      </c>
      <c r="AD69" s="201">
        <f t="shared" si="112"/>
        <v>0</v>
      </c>
      <c r="AE69" s="201">
        <f t="shared" si="112"/>
        <v>0</v>
      </c>
      <c r="AF69" s="201">
        <f t="shared" si="112"/>
        <v>0</v>
      </c>
      <c r="AG69" s="201">
        <f t="shared" si="112"/>
        <v>0</v>
      </c>
      <c r="AH69" s="201">
        <f t="shared" si="112"/>
        <v>0</v>
      </c>
      <c r="AI69" s="201">
        <f t="shared" si="112"/>
        <v>0</v>
      </c>
      <c r="AJ69" s="201">
        <f t="shared" si="112"/>
        <v>0</v>
      </c>
      <c r="AK69" s="201">
        <f t="shared" si="112"/>
        <v>0</v>
      </c>
      <c r="AL69" s="201">
        <f t="shared" si="112"/>
        <v>0</v>
      </c>
      <c r="AM69" s="201">
        <f t="shared" si="112"/>
        <v>0</v>
      </c>
      <c r="AN69" s="201">
        <f t="shared" si="112"/>
        <v>0</v>
      </c>
      <c r="AO69" s="201">
        <f t="shared" si="112"/>
        <v>0</v>
      </c>
      <c r="AP69" s="201">
        <f t="shared" si="112"/>
        <v>0</v>
      </c>
      <c r="AQ69" s="201">
        <f t="shared" si="112"/>
        <v>0</v>
      </c>
      <c r="AR69" s="201">
        <f t="shared" si="112"/>
        <v>0</v>
      </c>
      <c r="AS69" s="201">
        <f t="shared" si="112"/>
        <v>0</v>
      </c>
      <c r="AT69" s="201">
        <f t="shared" si="112"/>
        <v>0</v>
      </c>
      <c r="AU69" s="201">
        <f t="shared" si="112"/>
        <v>0</v>
      </c>
    </row>
    <row r="70" spans="1:47" hidden="1" outlineLevel="1">
      <c r="I70" s="128" t="s">
        <v>83</v>
      </c>
      <c r="J70" s="129">
        <f>SUM(K70:AU70)</f>
        <v>0</v>
      </c>
      <c r="K70" s="125"/>
      <c r="L70" s="129">
        <f>-MAX(MIN(L67,SUM(L68:L69)),0)</f>
        <v>0</v>
      </c>
      <c r="M70" s="129">
        <f t="shared" ref="M70:AU70" si="113">-MAX(MIN(M67,SUM(M68:M69)),0)</f>
        <v>0</v>
      </c>
      <c r="N70" s="129">
        <f t="shared" si="113"/>
        <v>0</v>
      </c>
      <c r="O70" s="129">
        <f t="shared" si="113"/>
        <v>0</v>
      </c>
      <c r="P70" s="129">
        <f t="shared" si="113"/>
        <v>0</v>
      </c>
      <c r="Q70" s="129">
        <f t="shared" si="113"/>
        <v>0</v>
      </c>
      <c r="R70" s="129">
        <f t="shared" si="113"/>
        <v>0</v>
      </c>
      <c r="S70" s="129">
        <f t="shared" si="113"/>
        <v>0</v>
      </c>
      <c r="T70" s="129">
        <f t="shared" si="113"/>
        <v>0</v>
      </c>
      <c r="U70" s="129">
        <f t="shared" si="113"/>
        <v>0</v>
      </c>
      <c r="V70" s="129">
        <f t="shared" si="113"/>
        <v>0</v>
      </c>
      <c r="W70" s="129">
        <f t="shared" si="113"/>
        <v>0</v>
      </c>
      <c r="X70" s="129">
        <f t="shared" si="113"/>
        <v>0</v>
      </c>
      <c r="Y70" s="129">
        <f t="shared" si="113"/>
        <v>0</v>
      </c>
      <c r="Z70" s="129">
        <f t="shared" si="113"/>
        <v>0</v>
      </c>
      <c r="AA70" s="129">
        <f t="shared" si="113"/>
        <v>0</v>
      </c>
      <c r="AB70" s="129">
        <f t="shared" si="113"/>
        <v>0</v>
      </c>
      <c r="AC70" s="129">
        <f t="shared" si="113"/>
        <v>0</v>
      </c>
      <c r="AD70" s="129">
        <f t="shared" si="113"/>
        <v>0</v>
      </c>
      <c r="AE70" s="129">
        <f t="shared" si="113"/>
        <v>0</v>
      </c>
      <c r="AF70" s="129">
        <f t="shared" si="113"/>
        <v>0</v>
      </c>
      <c r="AG70" s="129">
        <f t="shared" si="113"/>
        <v>0</v>
      </c>
      <c r="AH70" s="129">
        <f t="shared" si="113"/>
        <v>0</v>
      </c>
      <c r="AI70" s="129">
        <f t="shared" si="113"/>
        <v>0</v>
      </c>
      <c r="AJ70" s="129">
        <f t="shared" si="113"/>
        <v>0</v>
      </c>
      <c r="AK70" s="129">
        <f t="shared" si="113"/>
        <v>0</v>
      </c>
      <c r="AL70" s="129">
        <f t="shared" si="113"/>
        <v>0</v>
      </c>
      <c r="AM70" s="129">
        <f t="shared" si="113"/>
        <v>0</v>
      </c>
      <c r="AN70" s="129">
        <f t="shared" si="113"/>
        <v>0</v>
      </c>
      <c r="AO70" s="129">
        <f t="shared" si="113"/>
        <v>0</v>
      </c>
      <c r="AP70" s="129">
        <f t="shared" si="113"/>
        <v>0</v>
      </c>
      <c r="AQ70" s="129">
        <f t="shared" si="113"/>
        <v>0</v>
      </c>
      <c r="AR70" s="129">
        <f t="shared" si="113"/>
        <v>0</v>
      </c>
      <c r="AS70" s="129">
        <f t="shared" si="113"/>
        <v>0</v>
      </c>
      <c r="AT70" s="129">
        <f t="shared" si="113"/>
        <v>0</v>
      </c>
      <c r="AU70" s="129">
        <f t="shared" si="113"/>
        <v>0</v>
      </c>
    </row>
    <row r="71" spans="1:47" hidden="1" outlineLevel="1">
      <c r="I71" s="130" t="s">
        <v>79</v>
      </c>
      <c r="J71" s="126">
        <f>SUM(J68:J70)</f>
        <v>0</v>
      </c>
      <c r="L71" s="126">
        <f>SUM(L68:L70)</f>
        <v>0</v>
      </c>
      <c r="M71" s="126">
        <f>SUM(M68:M70)</f>
        <v>0</v>
      </c>
      <c r="N71" s="126">
        <f t="shared" ref="N71:AU71" si="114">SUM(N68:N70)</f>
        <v>0</v>
      </c>
      <c r="O71" s="126">
        <f t="shared" si="114"/>
        <v>0</v>
      </c>
      <c r="P71" s="126">
        <f t="shared" si="114"/>
        <v>0</v>
      </c>
      <c r="Q71" s="126">
        <f t="shared" si="114"/>
        <v>0</v>
      </c>
      <c r="R71" s="126">
        <f t="shared" si="114"/>
        <v>0</v>
      </c>
      <c r="S71" s="126">
        <f t="shared" si="114"/>
        <v>0</v>
      </c>
      <c r="T71" s="126">
        <f t="shared" si="114"/>
        <v>0</v>
      </c>
      <c r="U71" s="126">
        <f t="shared" si="114"/>
        <v>0</v>
      </c>
      <c r="V71" s="126">
        <f t="shared" si="114"/>
        <v>0</v>
      </c>
      <c r="W71" s="126">
        <f t="shared" si="114"/>
        <v>0</v>
      </c>
      <c r="X71" s="126">
        <f t="shared" si="114"/>
        <v>0</v>
      </c>
      <c r="Y71" s="126">
        <f t="shared" si="114"/>
        <v>0</v>
      </c>
      <c r="Z71" s="126">
        <f t="shared" si="114"/>
        <v>0</v>
      </c>
      <c r="AA71" s="126">
        <f t="shared" si="114"/>
        <v>0</v>
      </c>
      <c r="AB71" s="126">
        <f t="shared" si="114"/>
        <v>0</v>
      </c>
      <c r="AC71" s="126">
        <f t="shared" si="114"/>
        <v>0</v>
      </c>
      <c r="AD71" s="126">
        <f t="shared" si="114"/>
        <v>0</v>
      </c>
      <c r="AE71" s="126">
        <f t="shared" si="114"/>
        <v>0</v>
      </c>
      <c r="AF71" s="126">
        <f t="shared" si="114"/>
        <v>0</v>
      </c>
      <c r="AG71" s="126">
        <f t="shared" si="114"/>
        <v>0</v>
      </c>
      <c r="AH71" s="126">
        <f t="shared" si="114"/>
        <v>0</v>
      </c>
      <c r="AI71" s="126">
        <f t="shared" si="114"/>
        <v>0</v>
      </c>
      <c r="AJ71" s="126">
        <f t="shared" si="114"/>
        <v>0</v>
      </c>
      <c r="AK71" s="126">
        <f t="shared" si="114"/>
        <v>0</v>
      </c>
      <c r="AL71" s="126">
        <f t="shared" si="114"/>
        <v>0</v>
      </c>
      <c r="AM71" s="126">
        <f t="shared" si="114"/>
        <v>0</v>
      </c>
      <c r="AN71" s="126">
        <f t="shared" si="114"/>
        <v>0</v>
      </c>
      <c r="AO71" s="126">
        <f t="shared" si="114"/>
        <v>0</v>
      </c>
      <c r="AP71" s="126">
        <f t="shared" si="114"/>
        <v>0</v>
      </c>
      <c r="AQ71" s="126">
        <f t="shared" si="114"/>
        <v>0</v>
      </c>
      <c r="AR71" s="126">
        <f t="shared" si="114"/>
        <v>0</v>
      </c>
      <c r="AS71" s="126">
        <f t="shared" si="114"/>
        <v>0</v>
      </c>
      <c r="AT71" s="126">
        <f t="shared" si="114"/>
        <v>0</v>
      </c>
      <c r="AU71" s="126">
        <f t="shared" si="114"/>
        <v>0</v>
      </c>
    </row>
    <row r="72" spans="1:47" hidden="1" outlineLevel="1"/>
    <row r="73" spans="1:47" hidden="1" outlineLevel="1"/>
    <row r="74" spans="1:47" hidden="1" outlineLevel="1"/>
    <row r="75" spans="1:47" collapsed="1">
      <c r="L75" s="126"/>
    </row>
    <row r="76" spans="1:47">
      <c r="C76" s="140"/>
      <c r="I76" s="120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</row>
    <row r="77" spans="1:47">
      <c r="B77" s="284" t="s">
        <v>284</v>
      </c>
      <c r="C77" s="284"/>
      <c r="J77" s="484">
        <v>1</v>
      </c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</row>
    <row r="78" spans="1:47">
      <c r="C78" s="140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</row>
    <row r="79" spans="1:47">
      <c r="I79" s="120" t="s">
        <v>84</v>
      </c>
      <c r="J79" s="118">
        <f>SUM(L79:AU79)</f>
        <v>1096</v>
      </c>
      <c r="L79" s="139">
        <f t="shared" ref="L79" si="115">(L$14-K$14)*L$9</f>
        <v>31</v>
      </c>
      <c r="M79" s="119">
        <f t="shared" ref="M79" si="116">(M$14-L$14)*M$9</f>
        <v>30</v>
      </c>
      <c r="N79" s="119">
        <f t="shared" ref="N79" si="117">(N$14-M$14)*N$9</f>
        <v>31</v>
      </c>
      <c r="O79" s="119">
        <f t="shared" ref="O79" si="118">(O$14-N$14)*O$9</f>
        <v>31</v>
      </c>
      <c r="P79" s="119">
        <f t="shared" ref="P79" si="119">(P$14-O$14)*P$9</f>
        <v>28</v>
      </c>
      <c r="Q79" s="119">
        <f t="shared" ref="Q79" si="120">(Q$14-P$14)*Q$9</f>
        <v>31</v>
      </c>
      <c r="R79" s="119">
        <f t="shared" ref="R79" si="121">(R$14-Q$14)*R$9</f>
        <v>30</v>
      </c>
      <c r="S79" s="119">
        <f t="shared" ref="S79" si="122">(S$14-R$14)*S$9</f>
        <v>31</v>
      </c>
      <c r="T79" s="119">
        <f t="shared" ref="T79" si="123">(T$14-S$14)*T$9</f>
        <v>30</v>
      </c>
      <c r="U79" s="119">
        <f t="shared" ref="U79" si="124">(U$14-T$14)*U$9</f>
        <v>31</v>
      </c>
      <c r="V79" s="119">
        <f t="shared" ref="V79" si="125">(V$14-U$14)*V$9</f>
        <v>31</v>
      </c>
      <c r="W79" s="119">
        <f t="shared" ref="W79" si="126">(W$14-V$14)*W$9</f>
        <v>30</v>
      </c>
      <c r="X79" s="119">
        <f t="shared" ref="X79" si="127">(X$14-W$14)*X$9</f>
        <v>31</v>
      </c>
      <c r="Y79" s="119">
        <f t="shared" ref="Y79" si="128">(Y$14-X$14)*Y$9</f>
        <v>30</v>
      </c>
      <c r="Z79" s="119">
        <f t="shared" ref="Z79" si="129">(Z$14-Y$14)*Z$9</f>
        <v>31</v>
      </c>
      <c r="AA79" s="119">
        <f t="shared" ref="AA79" si="130">(AA$14-Z$14)*AA$9</f>
        <v>31</v>
      </c>
      <c r="AB79" s="119">
        <f t="shared" ref="AB79" si="131">(AB$14-AA$14)*AB$9</f>
        <v>29</v>
      </c>
      <c r="AC79" s="119">
        <f t="shared" ref="AC79" si="132">(AC$14-AB$14)*AC$9</f>
        <v>31</v>
      </c>
      <c r="AD79" s="119">
        <f t="shared" ref="AD79" si="133">(AD$14-AC$14)*AD$9</f>
        <v>30</v>
      </c>
      <c r="AE79" s="119">
        <f t="shared" ref="AE79" si="134">(AE$14-AD$14)*AE$9</f>
        <v>31</v>
      </c>
      <c r="AF79" s="119">
        <f t="shared" ref="AF79" si="135">(AF$14-AE$14)*AF$9</f>
        <v>30</v>
      </c>
      <c r="AG79" s="119">
        <f t="shared" ref="AG79" si="136">(AG$14-AF$14)*AG$9</f>
        <v>31</v>
      </c>
      <c r="AH79" s="119">
        <f t="shared" ref="AH79" si="137">(AH$14-AG$14)*AH$9</f>
        <v>31</v>
      </c>
      <c r="AI79" s="119">
        <f t="shared" ref="AI79" si="138">(AI$14-AH$14)*AI$9</f>
        <v>30</v>
      </c>
      <c r="AJ79" s="119">
        <f t="shared" ref="AJ79" si="139">(AJ$14-AI$14)*AJ$9</f>
        <v>31</v>
      </c>
      <c r="AK79" s="119">
        <f t="shared" ref="AK79" si="140">(AK$14-AJ$14)*AK$9</f>
        <v>30</v>
      </c>
      <c r="AL79" s="119">
        <f t="shared" ref="AL79" si="141">(AL$14-AK$14)*AL$9</f>
        <v>31</v>
      </c>
      <c r="AM79" s="119">
        <f t="shared" ref="AM79" si="142">(AM$14-AL$14)*AM$9</f>
        <v>31</v>
      </c>
      <c r="AN79" s="119">
        <f t="shared" ref="AN79" si="143">(AN$14-AM$14)*AN$9</f>
        <v>28</v>
      </c>
      <c r="AO79" s="119">
        <f t="shared" ref="AO79" si="144">(AO$14-AN$14)*AO$9</f>
        <v>31</v>
      </c>
      <c r="AP79" s="119">
        <f t="shared" ref="AP79" si="145">(AP$14-AO$14)*AP$9</f>
        <v>30</v>
      </c>
      <c r="AQ79" s="119">
        <f t="shared" ref="AQ79" si="146">(AQ$14-AP$14)*AQ$9</f>
        <v>31</v>
      </c>
      <c r="AR79" s="119">
        <f t="shared" ref="AR79" si="147">(AR$14-AQ$14)*AR$9</f>
        <v>30</v>
      </c>
      <c r="AS79" s="119">
        <f t="shared" ref="AS79" si="148">(AS$14-AR$14)*AS$9</f>
        <v>31</v>
      </c>
      <c r="AT79" s="119">
        <f t="shared" ref="AT79" si="149">(AT$14-AS$14)*AT$9</f>
        <v>31</v>
      </c>
      <c r="AU79" s="119">
        <f t="shared" ref="AU79" si="150">(AU$14-AT$14)*AU$9</f>
        <v>30</v>
      </c>
    </row>
    <row r="80" spans="1:47">
      <c r="A80" s="119">
        <f>ROW()</f>
        <v>80</v>
      </c>
      <c r="C80" s="304" t="s">
        <v>85</v>
      </c>
      <c r="D80" s="304"/>
      <c r="E80" s="304"/>
      <c r="F80" s="304"/>
      <c r="G80" s="304"/>
      <c r="H80" s="304"/>
      <c r="I80" s="304"/>
      <c r="J80" s="305">
        <f>SUM(K80:AU80)</f>
        <v>-4990673.8686564937</v>
      </c>
      <c r="K80" s="306">
        <f t="shared" ref="K80:AP80" si="151">K81+K88+K95</f>
        <v>-304731.70731707313</v>
      </c>
      <c r="L80" s="306">
        <f t="shared" si="151"/>
        <v>0</v>
      </c>
      <c r="M80" s="306">
        <f t="shared" si="151"/>
        <v>0</v>
      </c>
      <c r="N80" s="306">
        <f t="shared" si="151"/>
        <v>-393345.50989345508</v>
      </c>
      <c r="O80" s="306">
        <f t="shared" si="151"/>
        <v>0</v>
      </c>
      <c r="P80" s="306">
        <f t="shared" si="151"/>
        <v>0</v>
      </c>
      <c r="Q80" s="306">
        <f t="shared" si="151"/>
        <v>-384794.52054794523</v>
      </c>
      <c r="R80" s="306">
        <f t="shared" si="151"/>
        <v>0</v>
      </c>
      <c r="S80" s="306">
        <f t="shared" si="151"/>
        <v>0</v>
      </c>
      <c r="T80" s="306">
        <f t="shared" si="151"/>
        <v>-389070.01522070012</v>
      </c>
      <c r="U80" s="306">
        <f t="shared" si="151"/>
        <v>0</v>
      </c>
      <c r="V80" s="306">
        <f t="shared" si="151"/>
        <v>0</v>
      </c>
      <c r="W80" s="306">
        <f t="shared" si="151"/>
        <v>-393345.50989345508</v>
      </c>
      <c r="X80" s="306">
        <f t="shared" si="151"/>
        <v>0</v>
      </c>
      <c r="Y80" s="306">
        <f t="shared" si="151"/>
        <v>0</v>
      </c>
      <c r="Z80" s="306">
        <f t="shared" si="151"/>
        <v>-393345.50989345508</v>
      </c>
      <c r="AA80" s="306">
        <f t="shared" si="151"/>
        <v>0</v>
      </c>
      <c r="AB80" s="306">
        <f t="shared" si="151"/>
        <v>0</v>
      </c>
      <c r="AC80" s="306">
        <f t="shared" si="151"/>
        <v>-389070.01522070018</v>
      </c>
      <c r="AD80" s="306">
        <f t="shared" si="151"/>
        <v>0</v>
      </c>
      <c r="AE80" s="306">
        <f t="shared" si="151"/>
        <v>0</v>
      </c>
      <c r="AF80" s="306">
        <f t="shared" si="151"/>
        <v>-389070.01522070012</v>
      </c>
      <c r="AG80" s="306">
        <f t="shared" si="151"/>
        <v>0</v>
      </c>
      <c r="AH80" s="306">
        <f t="shared" si="151"/>
        <v>0</v>
      </c>
      <c r="AI80" s="306">
        <f t="shared" si="151"/>
        <v>-393345.50989345508</v>
      </c>
      <c r="AJ80" s="306">
        <f t="shared" si="151"/>
        <v>0</v>
      </c>
      <c r="AK80" s="306">
        <f t="shared" si="151"/>
        <v>0</v>
      </c>
      <c r="AL80" s="306">
        <f t="shared" si="151"/>
        <v>-393345.50989345508</v>
      </c>
      <c r="AM80" s="306">
        <f t="shared" si="151"/>
        <v>0</v>
      </c>
      <c r="AN80" s="306">
        <f t="shared" si="151"/>
        <v>0</v>
      </c>
      <c r="AO80" s="306">
        <f t="shared" si="151"/>
        <v>-384794.52054794523</v>
      </c>
      <c r="AP80" s="306">
        <f t="shared" si="151"/>
        <v>0</v>
      </c>
      <c r="AQ80" s="306">
        <f t="shared" ref="AQ80:AU80" si="152">AQ81+AQ88+AQ95</f>
        <v>0</v>
      </c>
      <c r="AR80" s="306">
        <f t="shared" si="152"/>
        <v>-389070.01522070012</v>
      </c>
      <c r="AS80" s="306">
        <f t="shared" si="152"/>
        <v>0</v>
      </c>
      <c r="AT80" s="306">
        <f t="shared" si="152"/>
        <v>0</v>
      </c>
      <c r="AU80" s="306">
        <f t="shared" si="152"/>
        <v>-393345.50989345508</v>
      </c>
    </row>
    <row r="81" spans="1:47">
      <c r="A81" s="119">
        <f>ROW()</f>
        <v>81</v>
      </c>
      <c r="C81" s="477" t="s">
        <v>274</v>
      </c>
      <c r="D81" s="478"/>
      <c r="E81" s="200"/>
      <c r="F81" s="200"/>
      <c r="G81" s="478"/>
      <c r="H81" s="478"/>
      <c r="I81" s="479"/>
      <c r="J81" s="201">
        <f>SUM(K81:AU81)</f>
        <v>-4505777.7777777771</v>
      </c>
      <c r="K81" s="200"/>
      <c r="L81" s="201">
        <f t="shared" ref="L81:AQ81" si="153">L85</f>
        <v>0</v>
      </c>
      <c r="M81" s="201">
        <f t="shared" si="153"/>
        <v>0</v>
      </c>
      <c r="N81" s="201">
        <f t="shared" si="153"/>
        <v>-378222.22222222219</v>
      </c>
      <c r="O81" s="201">
        <f t="shared" si="153"/>
        <v>0</v>
      </c>
      <c r="P81" s="201">
        <f t="shared" si="153"/>
        <v>0</v>
      </c>
      <c r="Q81" s="201">
        <f t="shared" si="153"/>
        <v>-370000</v>
      </c>
      <c r="R81" s="201">
        <f t="shared" si="153"/>
        <v>0</v>
      </c>
      <c r="S81" s="201">
        <f t="shared" si="153"/>
        <v>0</v>
      </c>
      <c r="T81" s="201">
        <f t="shared" si="153"/>
        <v>-374111.11111111107</v>
      </c>
      <c r="U81" s="201">
        <f t="shared" si="153"/>
        <v>0</v>
      </c>
      <c r="V81" s="201">
        <f t="shared" si="153"/>
        <v>0</v>
      </c>
      <c r="W81" s="201">
        <f t="shared" si="153"/>
        <v>-378222.22222222219</v>
      </c>
      <c r="X81" s="201">
        <f t="shared" si="153"/>
        <v>0</v>
      </c>
      <c r="Y81" s="201">
        <f t="shared" si="153"/>
        <v>0</v>
      </c>
      <c r="Z81" s="201">
        <f t="shared" si="153"/>
        <v>-378222.22222222219</v>
      </c>
      <c r="AA81" s="201">
        <f t="shared" si="153"/>
        <v>0</v>
      </c>
      <c r="AB81" s="201">
        <f t="shared" si="153"/>
        <v>0</v>
      </c>
      <c r="AC81" s="201">
        <f t="shared" si="153"/>
        <v>-374111.11111111112</v>
      </c>
      <c r="AD81" s="201">
        <f t="shared" si="153"/>
        <v>0</v>
      </c>
      <c r="AE81" s="201">
        <f t="shared" si="153"/>
        <v>0</v>
      </c>
      <c r="AF81" s="201">
        <f t="shared" si="153"/>
        <v>-374111.11111111107</v>
      </c>
      <c r="AG81" s="201">
        <f t="shared" si="153"/>
        <v>0</v>
      </c>
      <c r="AH81" s="201">
        <f t="shared" si="153"/>
        <v>0</v>
      </c>
      <c r="AI81" s="201">
        <f t="shared" si="153"/>
        <v>-378222.22222222219</v>
      </c>
      <c r="AJ81" s="201">
        <f t="shared" si="153"/>
        <v>0</v>
      </c>
      <c r="AK81" s="201">
        <f t="shared" si="153"/>
        <v>0</v>
      </c>
      <c r="AL81" s="201">
        <f t="shared" si="153"/>
        <v>-378222.22222222219</v>
      </c>
      <c r="AM81" s="201">
        <f t="shared" si="153"/>
        <v>0</v>
      </c>
      <c r="AN81" s="201">
        <f t="shared" si="153"/>
        <v>0</v>
      </c>
      <c r="AO81" s="201">
        <f t="shared" si="153"/>
        <v>-370000</v>
      </c>
      <c r="AP81" s="201">
        <f t="shared" si="153"/>
        <v>0</v>
      </c>
      <c r="AQ81" s="201">
        <f t="shared" si="153"/>
        <v>0</v>
      </c>
      <c r="AR81" s="201">
        <f t="shared" ref="AR81:AU81" si="154">AR85</f>
        <v>-374111.11111111107</v>
      </c>
      <c r="AS81" s="201">
        <f t="shared" si="154"/>
        <v>0</v>
      </c>
      <c r="AT81" s="201">
        <f t="shared" si="154"/>
        <v>0</v>
      </c>
      <c r="AU81" s="201">
        <f t="shared" si="154"/>
        <v>-378222.22222222219</v>
      </c>
    </row>
    <row r="82" spans="1:47" hidden="1" outlineLevel="1">
      <c r="A82" s="119">
        <f>ROW()</f>
        <v>82</v>
      </c>
    </row>
    <row r="83" spans="1:47" hidden="1" outlineLevel="1">
      <c r="A83" s="119">
        <f>ROW()</f>
        <v>83</v>
      </c>
      <c r="D83" s="458" t="s">
        <v>269</v>
      </c>
      <c r="E83" s="123"/>
      <c r="F83" s="123"/>
      <c r="G83" s="475"/>
      <c r="H83" s="475"/>
      <c r="I83" s="124"/>
      <c r="J83" s="118"/>
      <c r="K83" s="123"/>
      <c r="L83" s="118">
        <v>0</v>
      </c>
      <c r="M83" s="118">
        <f t="shared" ref="M83:AR83" si="155">L86</f>
        <v>127444.44444444444</v>
      </c>
      <c r="N83" s="118">
        <f t="shared" si="155"/>
        <v>250777.77777777775</v>
      </c>
      <c r="O83" s="118">
        <f t="shared" si="155"/>
        <v>0</v>
      </c>
      <c r="P83" s="118">
        <f t="shared" si="155"/>
        <v>127444.44444444444</v>
      </c>
      <c r="Q83" s="118">
        <f t="shared" si="155"/>
        <v>242555.55555555556</v>
      </c>
      <c r="R83" s="118">
        <f t="shared" si="155"/>
        <v>0</v>
      </c>
      <c r="S83" s="118">
        <f t="shared" si="155"/>
        <v>123333.33333333333</v>
      </c>
      <c r="T83" s="118">
        <f t="shared" si="155"/>
        <v>250777.77777777775</v>
      </c>
      <c r="U83" s="118">
        <f t="shared" si="155"/>
        <v>0</v>
      </c>
      <c r="V83" s="118">
        <f t="shared" si="155"/>
        <v>127444.44444444444</v>
      </c>
      <c r="W83" s="118">
        <f t="shared" si="155"/>
        <v>254888.88888888888</v>
      </c>
      <c r="X83" s="118">
        <f t="shared" si="155"/>
        <v>0</v>
      </c>
      <c r="Y83" s="118">
        <f t="shared" si="155"/>
        <v>127444.44444444444</v>
      </c>
      <c r="Z83" s="118">
        <f t="shared" si="155"/>
        <v>250777.77777777775</v>
      </c>
      <c r="AA83" s="118">
        <f t="shared" si="155"/>
        <v>0</v>
      </c>
      <c r="AB83" s="118">
        <f t="shared" si="155"/>
        <v>127444.44444444444</v>
      </c>
      <c r="AC83" s="118">
        <f t="shared" si="155"/>
        <v>246666.66666666666</v>
      </c>
      <c r="AD83" s="118">
        <f t="shared" si="155"/>
        <v>0</v>
      </c>
      <c r="AE83" s="118">
        <f t="shared" si="155"/>
        <v>123333.33333333333</v>
      </c>
      <c r="AF83" s="118">
        <f t="shared" si="155"/>
        <v>250777.77777777775</v>
      </c>
      <c r="AG83" s="118">
        <f t="shared" si="155"/>
        <v>0</v>
      </c>
      <c r="AH83" s="118">
        <f t="shared" si="155"/>
        <v>127444.44444444444</v>
      </c>
      <c r="AI83" s="118">
        <f t="shared" si="155"/>
        <v>254888.88888888888</v>
      </c>
      <c r="AJ83" s="118">
        <f t="shared" si="155"/>
        <v>0</v>
      </c>
      <c r="AK83" s="118">
        <f t="shared" si="155"/>
        <v>127444.44444444444</v>
      </c>
      <c r="AL83" s="118">
        <f t="shared" si="155"/>
        <v>250777.77777777775</v>
      </c>
      <c r="AM83" s="118">
        <f t="shared" si="155"/>
        <v>0</v>
      </c>
      <c r="AN83" s="118">
        <f t="shared" si="155"/>
        <v>127444.44444444444</v>
      </c>
      <c r="AO83" s="118">
        <f t="shared" si="155"/>
        <v>242555.55555555556</v>
      </c>
      <c r="AP83" s="118">
        <f t="shared" si="155"/>
        <v>0</v>
      </c>
      <c r="AQ83" s="118">
        <f t="shared" si="155"/>
        <v>123333.33333333333</v>
      </c>
      <c r="AR83" s="118">
        <f t="shared" si="155"/>
        <v>250777.77777777775</v>
      </c>
      <c r="AS83" s="118">
        <f t="shared" ref="AS83:AU83" si="156">AR86</f>
        <v>0</v>
      </c>
      <c r="AT83" s="118">
        <f t="shared" si="156"/>
        <v>127444.44444444444</v>
      </c>
      <c r="AU83" s="118">
        <f t="shared" si="156"/>
        <v>254888.88888888888</v>
      </c>
    </row>
    <row r="84" spans="1:47" hidden="1" outlineLevel="1">
      <c r="A84" s="119">
        <f>ROW()</f>
        <v>84</v>
      </c>
      <c r="D84" s="458" t="s">
        <v>273</v>
      </c>
      <c r="E84" s="123"/>
      <c r="F84" s="123"/>
      <c r="G84" s="475"/>
      <c r="H84" s="475"/>
      <c r="I84" s="124"/>
      <c r="J84" s="118"/>
      <c r="K84" s="123"/>
      <c r="L84" s="118">
        <f t="shared" ref="L84:AQ84" si="157">-L46</f>
        <v>127444.44444444444</v>
      </c>
      <c r="M84" s="118">
        <f t="shared" si="157"/>
        <v>123333.33333333333</v>
      </c>
      <c r="N84" s="118">
        <f t="shared" si="157"/>
        <v>127444.44444444444</v>
      </c>
      <c r="O84" s="118">
        <f t="shared" si="157"/>
        <v>127444.44444444444</v>
      </c>
      <c r="P84" s="118">
        <f t="shared" si="157"/>
        <v>115111.11111111111</v>
      </c>
      <c r="Q84" s="118">
        <f t="shared" si="157"/>
        <v>127444.44444444444</v>
      </c>
      <c r="R84" s="118">
        <f t="shared" si="157"/>
        <v>123333.33333333333</v>
      </c>
      <c r="S84" s="118">
        <f t="shared" si="157"/>
        <v>127444.44444444444</v>
      </c>
      <c r="T84" s="118">
        <f t="shared" si="157"/>
        <v>123333.33333333333</v>
      </c>
      <c r="U84" s="118">
        <f t="shared" si="157"/>
        <v>127444.44444444444</v>
      </c>
      <c r="V84" s="118">
        <f t="shared" si="157"/>
        <v>127444.44444444444</v>
      </c>
      <c r="W84" s="118">
        <f t="shared" si="157"/>
        <v>123333.33333333333</v>
      </c>
      <c r="X84" s="118">
        <f t="shared" si="157"/>
        <v>127444.44444444444</v>
      </c>
      <c r="Y84" s="118">
        <f t="shared" si="157"/>
        <v>123333.33333333333</v>
      </c>
      <c r="Z84" s="118">
        <f t="shared" si="157"/>
        <v>127444.44444444444</v>
      </c>
      <c r="AA84" s="118">
        <f t="shared" si="157"/>
        <v>127444.44444444444</v>
      </c>
      <c r="AB84" s="118">
        <f t="shared" si="157"/>
        <v>119222.22222222222</v>
      </c>
      <c r="AC84" s="118">
        <f t="shared" si="157"/>
        <v>127444.44444444444</v>
      </c>
      <c r="AD84" s="118">
        <f t="shared" si="157"/>
        <v>123333.33333333333</v>
      </c>
      <c r="AE84" s="118">
        <f t="shared" si="157"/>
        <v>127444.44444444444</v>
      </c>
      <c r="AF84" s="118">
        <f t="shared" si="157"/>
        <v>123333.33333333333</v>
      </c>
      <c r="AG84" s="118">
        <f t="shared" si="157"/>
        <v>127444.44444444444</v>
      </c>
      <c r="AH84" s="118">
        <f t="shared" si="157"/>
        <v>127444.44444444444</v>
      </c>
      <c r="AI84" s="118">
        <f t="shared" si="157"/>
        <v>123333.33333333333</v>
      </c>
      <c r="AJ84" s="118">
        <f t="shared" si="157"/>
        <v>127444.44444444444</v>
      </c>
      <c r="AK84" s="118">
        <f t="shared" si="157"/>
        <v>123333.33333333333</v>
      </c>
      <c r="AL84" s="118">
        <f t="shared" si="157"/>
        <v>127444.44444444444</v>
      </c>
      <c r="AM84" s="118">
        <f t="shared" si="157"/>
        <v>127444.44444444444</v>
      </c>
      <c r="AN84" s="118">
        <f t="shared" si="157"/>
        <v>115111.11111111111</v>
      </c>
      <c r="AO84" s="118">
        <f t="shared" si="157"/>
        <v>127444.44444444444</v>
      </c>
      <c r="AP84" s="118">
        <f t="shared" si="157"/>
        <v>123333.33333333333</v>
      </c>
      <c r="AQ84" s="118">
        <f t="shared" si="157"/>
        <v>127444.44444444444</v>
      </c>
      <c r="AR84" s="118">
        <f t="shared" ref="AR84:AU84" si="158">-AR46</f>
        <v>123333.33333333333</v>
      </c>
      <c r="AS84" s="118">
        <f t="shared" si="158"/>
        <v>127444.44444444444</v>
      </c>
      <c r="AT84" s="118">
        <f t="shared" si="158"/>
        <v>127444.44444444444</v>
      </c>
      <c r="AU84" s="118">
        <f t="shared" si="158"/>
        <v>123333.33333333333</v>
      </c>
    </row>
    <row r="85" spans="1:47" hidden="1" outlineLevel="1">
      <c r="A85" s="119">
        <f>ROW()</f>
        <v>85</v>
      </c>
      <c r="D85" s="467" t="s">
        <v>271</v>
      </c>
      <c r="E85" s="125"/>
      <c r="F85" s="125" t="s">
        <v>272</v>
      </c>
      <c r="G85" s="470">
        <f>'A&amp;R'!H9</f>
        <v>3</v>
      </c>
      <c r="H85" s="468"/>
      <c r="I85" s="469"/>
      <c r="J85" s="129"/>
      <c r="K85" s="125"/>
      <c r="L85" s="129">
        <f>(MOD(L$8,3)=0)*-SUM(L83:L84)</f>
        <v>0</v>
      </c>
      <c r="M85" s="129">
        <f t="shared" ref="M85:AR85" si="159">(MOD(M8,3)=0)*-SUM(M83:M84)</f>
        <v>0</v>
      </c>
      <c r="N85" s="129">
        <f t="shared" si="159"/>
        <v>-378222.22222222219</v>
      </c>
      <c r="O85" s="129">
        <f t="shared" si="159"/>
        <v>0</v>
      </c>
      <c r="P85" s="129">
        <f t="shared" si="159"/>
        <v>0</v>
      </c>
      <c r="Q85" s="129">
        <f t="shared" si="159"/>
        <v>-370000</v>
      </c>
      <c r="R85" s="129">
        <f t="shared" si="159"/>
        <v>0</v>
      </c>
      <c r="S85" s="129">
        <f t="shared" si="159"/>
        <v>0</v>
      </c>
      <c r="T85" s="129">
        <f t="shared" si="159"/>
        <v>-374111.11111111107</v>
      </c>
      <c r="U85" s="129">
        <f t="shared" si="159"/>
        <v>0</v>
      </c>
      <c r="V85" s="129">
        <f t="shared" si="159"/>
        <v>0</v>
      </c>
      <c r="W85" s="129">
        <f t="shared" si="159"/>
        <v>-378222.22222222219</v>
      </c>
      <c r="X85" s="129">
        <f t="shared" si="159"/>
        <v>0</v>
      </c>
      <c r="Y85" s="129">
        <f t="shared" si="159"/>
        <v>0</v>
      </c>
      <c r="Z85" s="129">
        <f t="shared" si="159"/>
        <v>-378222.22222222219</v>
      </c>
      <c r="AA85" s="129">
        <f t="shared" si="159"/>
        <v>0</v>
      </c>
      <c r="AB85" s="129">
        <f t="shared" si="159"/>
        <v>0</v>
      </c>
      <c r="AC85" s="129">
        <f t="shared" si="159"/>
        <v>-374111.11111111112</v>
      </c>
      <c r="AD85" s="129">
        <f t="shared" si="159"/>
        <v>0</v>
      </c>
      <c r="AE85" s="129">
        <f t="shared" si="159"/>
        <v>0</v>
      </c>
      <c r="AF85" s="129">
        <f t="shared" si="159"/>
        <v>-374111.11111111107</v>
      </c>
      <c r="AG85" s="129">
        <f t="shared" si="159"/>
        <v>0</v>
      </c>
      <c r="AH85" s="129">
        <f t="shared" si="159"/>
        <v>0</v>
      </c>
      <c r="AI85" s="129">
        <f t="shared" si="159"/>
        <v>-378222.22222222219</v>
      </c>
      <c r="AJ85" s="129">
        <f t="shared" si="159"/>
        <v>0</v>
      </c>
      <c r="AK85" s="129">
        <f t="shared" si="159"/>
        <v>0</v>
      </c>
      <c r="AL85" s="129">
        <f t="shared" si="159"/>
        <v>-378222.22222222219</v>
      </c>
      <c r="AM85" s="129">
        <f t="shared" si="159"/>
        <v>0</v>
      </c>
      <c r="AN85" s="129">
        <f t="shared" si="159"/>
        <v>0</v>
      </c>
      <c r="AO85" s="129">
        <f t="shared" si="159"/>
        <v>-370000</v>
      </c>
      <c r="AP85" s="129">
        <f t="shared" si="159"/>
        <v>0</v>
      </c>
      <c r="AQ85" s="129">
        <f t="shared" si="159"/>
        <v>0</v>
      </c>
      <c r="AR85" s="129">
        <f t="shared" si="159"/>
        <v>-374111.11111111107</v>
      </c>
      <c r="AS85" s="129">
        <f t="shared" ref="AS85:AU85" si="160">(MOD(AS8,3)=0)*-SUM(AS83:AS84)</f>
        <v>0</v>
      </c>
      <c r="AT85" s="129">
        <f t="shared" si="160"/>
        <v>0</v>
      </c>
      <c r="AU85" s="129">
        <f t="shared" si="160"/>
        <v>-378222.22222222219</v>
      </c>
    </row>
    <row r="86" spans="1:47" hidden="1" outlineLevel="1">
      <c r="A86" s="119">
        <f>ROW()</f>
        <v>86</v>
      </c>
      <c r="D86" s="472" t="s">
        <v>270</v>
      </c>
      <c r="E86" s="208"/>
      <c r="F86" s="208"/>
      <c r="G86" s="473"/>
      <c r="H86" s="473"/>
      <c r="I86" s="474"/>
      <c r="J86" s="209"/>
      <c r="K86" s="208"/>
      <c r="L86" s="209">
        <f t="shared" ref="L86:AQ86" si="161">SUM(L83:L85)</f>
        <v>127444.44444444444</v>
      </c>
      <c r="M86" s="209">
        <f t="shared" si="161"/>
        <v>250777.77777777775</v>
      </c>
      <c r="N86" s="209">
        <f t="shared" si="161"/>
        <v>0</v>
      </c>
      <c r="O86" s="209">
        <f t="shared" si="161"/>
        <v>127444.44444444444</v>
      </c>
      <c r="P86" s="209">
        <f t="shared" si="161"/>
        <v>242555.55555555556</v>
      </c>
      <c r="Q86" s="209">
        <f t="shared" si="161"/>
        <v>0</v>
      </c>
      <c r="R86" s="209">
        <f t="shared" si="161"/>
        <v>123333.33333333333</v>
      </c>
      <c r="S86" s="209">
        <f t="shared" si="161"/>
        <v>250777.77777777775</v>
      </c>
      <c r="T86" s="209">
        <f t="shared" si="161"/>
        <v>0</v>
      </c>
      <c r="U86" s="209">
        <f t="shared" si="161"/>
        <v>127444.44444444444</v>
      </c>
      <c r="V86" s="209">
        <f t="shared" si="161"/>
        <v>254888.88888888888</v>
      </c>
      <c r="W86" s="209">
        <f t="shared" si="161"/>
        <v>0</v>
      </c>
      <c r="X86" s="209">
        <f t="shared" si="161"/>
        <v>127444.44444444444</v>
      </c>
      <c r="Y86" s="209">
        <f t="shared" si="161"/>
        <v>250777.77777777775</v>
      </c>
      <c r="Z86" s="209">
        <f t="shared" si="161"/>
        <v>0</v>
      </c>
      <c r="AA86" s="209">
        <f t="shared" si="161"/>
        <v>127444.44444444444</v>
      </c>
      <c r="AB86" s="209">
        <f t="shared" si="161"/>
        <v>246666.66666666666</v>
      </c>
      <c r="AC86" s="209">
        <f t="shared" si="161"/>
        <v>0</v>
      </c>
      <c r="AD86" s="209">
        <f t="shared" si="161"/>
        <v>123333.33333333333</v>
      </c>
      <c r="AE86" s="209">
        <f t="shared" si="161"/>
        <v>250777.77777777775</v>
      </c>
      <c r="AF86" s="209">
        <f t="shared" si="161"/>
        <v>0</v>
      </c>
      <c r="AG86" s="209">
        <f t="shared" si="161"/>
        <v>127444.44444444444</v>
      </c>
      <c r="AH86" s="209">
        <f t="shared" si="161"/>
        <v>254888.88888888888</v>
      </c>
      <c r="AI86" s="209">
        <f t="shared" si="161"/>
        <v>0</v>
      </c>
      <c r="AJ86" s="209">
        <f t="shared" si="161"/>
        <v>127444.44444444444</v>
      </c>
      <c r="AK86" s="209">
        <f t="shared" si="161"/>
        <v>250777.77777777775</v>
      </c>
      <c r="AL86" s="209">
        <f t="shared" si="161"/>
        <v>0</v>
      </c>
      <c r="AM86" s="209">
        <f t="shared" si="161"/>
        <v>127444.44444444444</v>
      </c>
      <c r="AN86" s="209">
        <f t="shared" si="161"/>
        <v>242555.55555555556</v>
      </c>
      <c r="AO86" s="209">
        <f t="shared" si="161"/>
        <v>0</v>
      </c>
      <c r="AP86" s="209">
        <f t="shared" si="161"/>
        <v>123333.33333333333</v>
      </c>
      <c r="AQ86" s="209">
        <f t="shared" si="161"/>
        <v>250777.77777777775</v>
      </c>
      <c r="AR86" s="209">
        <f t="shared" ref="AR86:AU86" si="162">SUM(AR83:AR85)</f>
        <v>0</v>
      </c>
      <c r="AS86" s="209">
        <f t="shared" si="162"/>
        <v>127444.44444444444</v>
      </c>
      <c r="AT86" s="209">
        <f t="shared" si="162"/>
        <v>254888.88888888888</v>
      </c>
      <c r="AU86" s="209">
        <f t="shared" si="162"/>
        <v>0</v>
      </c>
    </row>
    <row r="87" spans="1:47" hidden="1" outlineLevel="1">
      <c r="A87" s="119">
        <f>ROW()</f>
        <v>87</v>
      </c>
      <c r="D87" s="458"/>
      <c r="E87" s="123"/>
      <c r="F87" s="123"/>
      <c r="G87" s="475"/>
      <c r="H87" s="475"/>
      <c r="I87" s="124"/>
      <c r="J87" s="118"/>
      <c r="K87" s="123"/>
      <c r="L87" s="471"/>
      <c r="M87" s="471"/>
      <c r="N87" s="471"/>
      <c r="O87" s="471"/>
      <c r="P87" s="471"/>
      <c r="Q87" s="471"/>
      <c r="R87" s="471"/>
      <c r="S87" s="471"/>
      <c r="T87" s="471"/>
      <c r="U87" s="471"/>
      <c r="V87" s="471"/>
      <c r="W87" s="471"/>
      <c r="X87" s="471"/>
      <c r="Y87" s="471"/>
      <c r="Z87" s="471"/>
      <c r="AA87" s="471"/>
      <c r="AB87" s="471"/>
      <c r="AC87" s="471"/>
      <c r="AD87" s="471"/>
      <c r="AE87" s="471"/>
      <c r="AF87" s="471"/>
      <c r="AG87" s="471"/>
      <c r="AH87" s="471"/>
      <c r="AI87" s="471"/>
      <c r="AJ87" s="471"/>
      <c r="AK87" s="471"/>
      <c r="AL87" s="471"/>
      <c r="AM87" s="471"/>
      <c r="AN87" s="471"/>
      <c r="AO87" s="471"/>
      <c r="AP87" s="471"/>
      <c r="AQ87" s="471"/>
      <c r="AR87" s="471"/>
      <c r="AS87" s="471"/>
      <c r="AT87" s="471"/>
      <c r="AU87" s="471"/>
    </row>
    <row r="88" spans="1:47" collapsed="1">
      <c r="A88" s="119">
        <f>ROW()</f>
        <v>88</v>
      </c>
      <c r="C88" s="477" t="s">
        <v>275</v>
      </c>
      <c r="D88" s="478"/>
      <c r="E88" s="200"/>
      <c r="F88" s="200"/>
      <c r="J88" s="201"/>
      <c r="K88" s="200"/>
      <c r="L88" s="201">
        <f>L92</f>
        <v>0</v>
      </c>
      <c r="M88" s="201">
        <f t="shared" ref="M88:AU88" si="163">M92</f>
        <v>0</v>
      </c>
      <c r="N88" s="201">
        <f t="shared" si="163"/>
        <v>-15123.287671232876</v>
      </c>
      <c r="O88" s="201">
        <f t="shared" si="163"/>
        <v>0</v>
      </c>
      <c r="P88" s="201">
        <f t="shared" si="163"/>
        <v>0</v>
      </c>
      <c r="Q88" s="201">
        <f t="shared" si="163"/>
        <v>-14794.520547945205</v>
      </c>
      <c r="R88" s="201">
        <f t="shared" si="163"/>
        <v>0</v>
      </c>
      <c r="S88" s="201">
        <f t="shared" si="163"/>
        <v>0</v>
      </c>
      <c r="T88" s="201">
        <f t="shared" si="163"/>
        <v>-14958.904109589041</v>
      </c>
      <c r="U88" s="201">
        <f t="shared" si="163"/>
        <v>0</v>
      </c>
      <c r="V88" s="201">
        <f t="shared" si="163"/>
        <v>0</v>
      </c>
      <c r="W88" s="201">
        <f t="shared" si="163"/>
        <v>-15123.287671232876</v>
      </c>
      <c r="X88" s="201">
        <f t="shared" si="163"/>
        <v>0</v>
      </c>
      <c r="Y88" s="201">
        <f t="shared" si="163"/>
        <v>0</v>
      </c>
      <c r="Z88" s="201">
        <f t="shared" si="163"/>
        <v>-15123.287671232876</v>
      </c>
      <c r="AA88" s="201">
        <f t="shared" si="163"/>
        <v>0</v>
      </c>
      <c r="AB88" s="201">
        <f t="shared" si="163"/>
        <v>0</v>
      </c>
      <c r="AC88" s="201">
        <f t="shared" si="163"/>
        <v>-14958.904109589041</v>
      </c>
      <c r="AD88" s="201">
        <f t="shared" si="163"/>
        <v>0</v>
      </c>
      <c r="AE88" s="201">
        <f t="shared" si="163"/>
        <v>0</v>
      </c>
      <c r="AF88" s="201">
        <f t="shared" si="163"/>
        <v>-14958.904109589041</v>
      </c>
      <c r="AG88" s="201">
        <f t="shared" si="163"/>
        <v>0</v>
      </c>
      <c r="AH88" s="201">
        <f t="shared" si="163"/>
        <v>0</v>
      </c>
      <c r="AI88" s="201">
        <f t="shared" si="163"/>
        <v>-15123.287671232876</v>
      </c>
      <c r="AJ88" s="201">
        <f t="shared" si="163"/>
        <v>0</v>
      </c>
      <c r="AK88" s="201">
        <f t="shared" si="163"/>
        <v>0</v>
      </c>
      <c r="AL88" s="201">
        <f t="shared" si="163"/>
        <v>-15123.287671232876</v>
      </c>
      <c r="AM88" s="201">
        <f t="shared" si="163"/>
        <v>0</v>
      </c>
      <c r="AN88" s="201">
        <f t="shared" si="163"/>
        <v>0</v>
      </c>
      <c r="AO88" s="201">
        <f t="shared" si="163"/>
        <v>-14794.520547945205</v>
      </c>
      <c r="AP88" s="201">
        <f t="shared" si="163"/>
        <v>0</v>
      </c>
      <c r="AQ88" s="201">
        <f t="shared" si="163"/>
        <v>0</v>
      </c>
      <c r="AR88" s="201">
        <f t="shared" si="163"/>
        <v>-14958.904109589041</v>
      </c>
      <c r="AS88" s="201">
        <f t="shared" si="163"/>
        <v>0</v>
      </c>
      <c r="AT88" s="201">
        <f t="shared" si="163"/>
        <v>0</v>
      </c>
      <c r="AU88" s="201">
        <f t="shared" si="163"/>
        <v>-15123.287671232876</v>
      </c>
    </row>
    <row r="89" spans="1:47" hidden="1" outlineLevel="1">
      <c r="A89" s="119">
        <f>ROW()</f>
        <v>89</v>
      </c>
    </row>
    <row r="90" spans="1:47" hidden="1" outlineLevel="1">
      <c r="A90" s="119">
        <f>ROW()</f>
        <v>90</v>
      </c>
      <c r="D90" s="458" t="s">
        <v>269</v>
      </c>
      <c r="E90" s="123"/>
      <c r="F90" s="123"/>
      <c r="G90" s="475"/>
      <c r="H90" s="475"/>
      <c r="I90" s="124"/>
      <c r="J90" s="118"/>
      <c r="K90" s="123"/>
      <c r="L90" s="118">
        <v>0</v>
      </c>
      <c r="M90" s="118">
        <f t="shared" ref="M90:AR90" si="164">L93</f>
        <v>5095.8904109589039</v>
      </c>
      <c r="N90" s="118">
        <f t="shared" si="164"/>
        <v>10027.397260273972</v>
      </c>
      <c r="O90" s="118">
        <f t="shared" si="164"/>
        <v>0</v>
      </c>
      <c r="P90" s="118">
        <f t="shared" si="164"/>
        <v>5095.8904109589039</v>
      </c>
      <c r="Q90" s="118">
        <f t="shared" si="164"/>
        <v>9698.6301369863013</v>
      </c>
      <c r="R90" s="118">
        <f t="shared" si="164"/>
        <v>0</v>
      </c>
      <c r="S90" s="118">
        <f t="shared" si="164"/>
        <v>4931.5068493150684</v>
      </c>
      <c r="T90" s="118">
        <f t="shared" si="164"/>
        <v>10027.397260273972</v>
      </c>
      <c r="U90" s="118">
        <f t="shared" si="164"/>
        <v>0</v>
      </c>
      <c r="V90" s="118">
        <f t="shared" si="164"/>
        <v>5095.8904109589039</v>
      </c>
      <c r="W90" s="118">
        <f t="shared" si="164"/>
        <v>10191.780821917808</v>
      </c>
      <c r="X90" s="118">
        <f t="shared" si="164"/>
        <v>0</v>
      </c>
      <c r="Y90" s="118">
        <f t="shared" si="164"/>
        <v>5095.8904109589039</v>
      </c>
      <c r="Z90" s="118">
        <f t="shared" si="164"/>
        <v>10027.397260273972</v>
      </c>
      <c r="AA90" s="118">
        <f t="shared" si="164"/>
        <v>0</v>
      </c>
      <c r="AB90" s="118">
        <f t="shared" si="164"/>
        <v>5095.8904109589039</v>
      </c>
      <c r="AC90" s="118">
        <f t="shared" si="164"/>
        <v>9863.0136986301368</v>
      </c>
      <c r="AD90" s="118">
        <f t="shared" si="164"/>
        <v>0</v>
      </c>
      <c r="AE90" s="118">
        <f t="shared" si="164"/>
        <v>4931.5068493150684</v>
      </c>
      <c r="AF90" s="118">
        <f t="shared" si="164"/>
        <v>10027.397260273972</v>
      </c>
      <c r="AG90" s="118">
        <f t="shared" si="164"/>
        <v>0</v>
      </c>
      <c r="AH90" s="118">
        <f t="shared" si="164"/>
        <v>5095.8904109589039</v>
      </c>
      <c r="AI90" s="118">
        <f t="shared" si="164"/>
        <v>10191.780821917808</v>
      </c>
      <c r="AJ90" s="118">
        <f t="shared" si="164"/>
        <v>0</v>
      </c>
      <c r="AK90" s="118">
        <f t="shared" si="164"/>
        <v>5095.8904109589039</v>
      </c>
      <c r="AL90" s="118">
        <f t="shared" si="164"/>
        <v>10027.397260273972</v>
      </c>
      <c r="AM90" s="118">
        <f t="shared" si="164"/>
        <v>0</v>
      </c>
      <c r="AN90" s="118">
        <f t="shared" si="164"/>
        <v>5095.8904109589039</v>
      </c>
      <c r="AO90" s="118">
        <f t="shared" si="164"/>
        <v>9698.6301369863013</v>
      </c>
      <c r="AP90" s="118">
        <f t="shared" si="164"/>
        <v>0</v>
      </c>
      <c r="AQ90" s="118">
        <f t="shared" si="164"/>
        <v>4931.5068493150684</v>
      </c>
      <c r="AR90" s="118">
        <f t="shared" si="164"/>
        <v>10027.397260273972</v>
      </c>
      <c r="AS90" s="118">
        <f t="shared" ref="AS90:AU90" si="165">AR93</f>
        <v>0</v>
      </c>
      <c r="AT90" s="118">
        <f t="shared" si="165"/>
        <v>5095.8904109589039</v>
      </c>
      <c r="AU90" s="118">
        <f t="shared" si="165"/>
        <v>10191.780821917808</v>
      </c>
    </row>
    <row r="91" spans="1:47" hidden="1" outlineLevel="1">
      <c r="A91" s="119">
        <f>ROW()</f>
        <v>91</v>
      </c>
      <c r="D91" s="458" t="s">
        <v>273</v>
      </c>
      <c r="E91" s="123"/>
      <c r="F91" s="123"/>
      <c r="G91" s="480">
        <f>'A&amp;R'!N43</f>
        <v>60000</v>
      </c>
      <c r="H91" s="478" t="s">
        <v>276</v>
      </c>
      <c r="I91" s="201">
        <f>G91/365</f>
        <v>164.38356164383561</v>
      </c>
      <c r="J91" s="118"/>
      <c r="K91" s="123"/>
      <c r="L91" s="118">
        <f>$I91*L79</f>
        <v>5095.8904109589039</v>
      </c>
      <c r="M91" s="118">
        <f t="shared" ref="M91:AU91" si="166">$I91*M79</f>
        <v>4931.5068493150684</v>
      </c>
      <c r="N91" s="118">
        <f t="shared" si="166"/>
        <v>5095.8904109589039</v>
      </c>
      <c r="O91" s="118">
        <f t="shared" si="166"/>
        <v>5095.8904109589039</v>
      </c>
      <c r="P91" s="118">
        <f t="shared" si="166"/>
        <v>4602.7397260273974</v>
      </c>
      <c r="Q91" s="118">
        <f t="shared" si="166"/>
        <v>5095.8904109589039</v>
      </c>
      <c r="R91" s="118">
        <f t="shared" si="166"/>
        <v>4931.5068493150684</v>
      </c>
      <c r="S91" s="118">
        <f t="shared" si="166"/>
        <v>5095.8904109589039</v>
      </c>
      <c r="T91" s="118">
        <f t="shared" si="166"/>
        <v>4931.5068493150684</v>
      </c>
      <c r="U91" s="118">
        <f t="shared" si="166"/>
        <v>5095.8904109589039</v>
      </c>
      <c r="V91" s="118">
        <f t="shared" si="166"/>
        <v>5095.8904109589039</v>
      </c>
      <c r="W91" s="118">
        <f t="shared" si="166"/>
        <v>4931.5068493150684</v>
      </c>
      <c r="X91" s="118">
        <f t="shared" si="166"/>
        <v>5095.8904109589039</v>
      </c>
      <c r="Y91" s="118">
        <f t="shared" si="166"/>
        <v>4931.5068493150684</v>
      </c>
      <c r="Z91" s="118">
        <f t="shared" si="166"/>
        <v>5095.8904109589039</v>
      </c>
      <c r="AA91" s="118">
        <f t="shared" si="166"/>
        <v>5095.8904109589039</v>
      </c>
      <c r="AB91" s="118">
        <f t="shared" si="166"/>
        <v>4767.1232876712329</v>
      </c>
      <c r="AC91" s="118">
        <f t="shared" si="166"/>
        <v>5095.8904109589039</v>
      </c>
      <c r="AD91" s="118">
        <f t="shared" si="166"/>
        <v>4931.5068493150684</v>
      </c>
      <c r="AE91" s="118">
        <f t="shared" si="166"/>
        <v>5095.8904109589039</v>
      </c>
      <c r="AF91" s="118">
        <f t="shared" si="166"/>
        <v>4931.5068493150684</v>
      </c>
      <c r="AG91" s="118">
        <f t="shared" si="166"/>
        <v>5095.8904109589039</v>
      </c>
      <c r="AH91" s="118">
        <f t="shared" si="166"/>
        <v>5095.8904109589039</v>
      </c>
      <c r="AI91" s="118">
        <f t="shared" si="166"/>
        <v>4931.5068493150684</v>
      </c>
      <c r="AJ91" s="118">
        <f t="shared" si="166"/>
        <v>5095.8904109589039</v>
      </c>
      <c r="AK91" s="118">
        <f t="shared" si="166"/>
        <v>4931.5068493150684</v>
      </c>
      <c r="AL91" s="118">
        <f t="shared" si="166"/>
        <v>5095.8904109589039</v>
      </c>
      <c r="AM91" s="118">
        <f t="shared" si="166"/>
        <v>5095.8904109589039</v>
      </c>
      <c r="AN91" s="118">
        <f t="shared" si="166"/>
        <v>4602.7397260273974</v>
      </c>
      <c r="AO91" s="118">
        <f t="shared" si="166"/>
        <v>5095.8904109589039</v>
      </c>
      <c r="AP91" s="118">
        <f t="shared" si="166"/>
        <v>4931.5068493150684</v>
      </c>
      <c r="AQ91" s="118">
        <f t="shared" si="166"/>
        <v>5095.8904109589039</v>
      </c>
      <c r="AR91" s="118">
        <f t="shared" si="166"/>
        <v>4931.5068493150684</v>
      </c>
      <c r="AS91" s="118">
        <f t="shared" si="166"/>
        <v>5095.8904109589039</v>
      </c>
      <c r="AT91" s="118">
        <f t="shared" si="166"/>
        <v>5095.8904109589039</v>
      </c>
      <c r="AU91" s="118">
        <f t="shared" si="166"/>
        <v>4931.5068493150684</v>
      </c>
    </row>
    <row r="92" spans="1:47" hidden="1" outlineLevel="1">
      <c r="A92" s="119">
        <f>ROW()</f>
        <v>92</v>
      </c>
      <c r="D92" s="467" t="s">
        <v>271</v>
      </c>
      <c r="E92" s="125"/>
      <c r="F92" s="125" t="s">
        <v>272</v>
      </c>
      <c r="G92" s="470">
        <f>G85</f>
        <v>3</v>
      </c>
      <c r="H92" s="468"/>
      <c r="I92" s="469"/>
      <c r="J92" s="129"/>
      <c r="K92" s="125"/>
      <c r="L92" s="129">
        <f>(MOD(L$8,3)=0)*-SUM(L90:L91)</f>
        <v>0</v>
      </c>
      <c r="M92" s="129">
        <f t="shared" ref="M92:AU92" si="167">(MOD(M$8,3)=0)*-SUM(M90:M91)</f>
        <v>0</v>
      </c>
      <c r="N92" s="129">
        <f t="shared" si="167"/>
        <v>-15123.287671232876</v>
      </c>
      <c r="O92" s="129">
        <f t="shared" si="167"/>
        <v>0</v>
      </c>
      <c r="P92" s="129">
        <f t="shared" si="167"/>
        <v>0</v>
      </c>
      <c r="Q92" s="129">
        <f t="shared" si="167"/>
        <v>-14794.520547945205</v>
      </c>
      <c r="R92" s="129">
        <f t="shared" si="167"/>
        <v>0</v>
      </c>
      <c r="S92" s="129">
        <f t="shared" si="167"/>
        <v>0</v>
      </c>
      <c r="T92" s="129">
        <f t="shared" si="167"/>
        <v>-14958.904109589041</v>
      </c>
      <c r="U92" s="129">
        <f t="shared" si="167"/>
        <v>0</v>
      </c>
      <c r="V92" s="129">
        <f t="shared" si="167"/>
        <v>0</v>
      </c>
      <c r="W92" s="129">
        <f t="shared" si="167"/>
        <v>-15123.287671232876</v>
      </c>
      <c r="X92" s="129">
        <f t="shared" si="167"/>
        <v>0</v>
      </c>
      <c r="Y92" s="129">
        <f t="shared" si="167"/>
        <v>0</v>
      </c>
      <c r="Z92" s="129">
        <f t="shared" si="167"/>
        <v>-15123.287671232876</v>
      </c>
      <c r="AA92" s="129">
        <f t="shared" si="167"/>
        <v>0</v>
      </c>
      <c r="AB92" s="129">
        <f t="shared" si="167"/>
        <v>0</v>
      </c>
      <c r="AC92" s="129">
        <f t="shared" si="167"/>
        <v>-14958.904109589041</v>
      </c>
      <c r="AD92" s="129">
        <f t="shared" si="167"/>
        <v>0</v>
      </c>
      <c r="AE92" s="129">
        <f t="shared" si="167"/>
        <v>0</v>
      </c>
      <c r="AF92" s="129">
        <f t="shared" si="167"/>
        <v>-14958.904109589041</v>
      </c>
      <c r="AG92" s="129">
        <f t="shared" si="167"/>
        <v>0</v>
      </c>
      <c r="AH92" s="129">
        <f t="shared" si="167"/>
        <v>0</v>
      </c>
      <c r="AI92" s="129">
        <f t="shared" si="167"/>
        <v>-15123.287671232876</v>
      </c>
      <c r="AJ92" s="129">
        <f t="shared" si="167"/>
        <v>0</v>
      </c>
      <c r="AK92" s="129">
        <f t="shared" si="167"/>
        <v>0</v>
      </c>
      <c r="AL92" s="129">
        <f t="shared" si="167"/>
        <v>-15123.287671232876</v>
      </c>
      <c r="AM92" s="129">
        <f t="shared" si="167"/>
        <v>0</v>
      </c>
      <c r="AN92" s="129">
        <f t="shared" si="167"/>
        <v>0</v>
      </c>
      <c r="AO92" s="129">
        <f t="shared" si="167"/>
        <v>-14794.520547945205</v>
      </c>
      <c r="AP92" s="129">
        <f t="shared" si="167"/>
        <v>0</v>
      </c>
      <c r="AQ92" s="129">
        <f t="shared" si="167"/>
        <v>0</v>
      </c>
      <c r="AR92" s="129">
        <f t="shared" si="167"/>
        <v>-14958.904109589041</v>
      </c>
      <c r="AS92" s="129">
        <f t="shared" si="167"/>
        <v>0</v>
      </c>
      <c r="AT92" s="129">
        <f t="shared" si="167"/>
        <v>0</v>
      </c>
      <c r="AU92" s="129">
        <f t="shared" si="167"/>
        <v>-15123.287671232876</v>
      </c>
    </row>
    <row r="93" spans="1:47" hidden="1" outlineLevel="1">
      <c r="A93" s="119">
        <f>ROW()</f>
        <v>93</v>
      </c>
      <c r="D93" s="472" t="s">
        <v>270</v>
      </c>
      <c r="E93" s="208"/>
      <c r="F93" s="208"/>
      <c r="G93" s="473"/>
      <c r="H93" s="473"/>
      <c r="I93" s="474"/>
      <c r="J93" s="209"/>
      <c r="K93" s="208"/>
      <c r="L93" s="209">
        <f t="shared" ref="L93:AQ93" si="168">SUM(L90:L92)</f>
        <v>5095.8904109589039</v>
      </c>
      <c r="M93" s="209">
        <f t="shared" si="168"/>
        <v>10027.397260273972</v>
      </c>
      <c r="N93" s="209">
        <f t="shared" si="168"/>
        <v>0</v>
      </c>
      <c r="O93" s="209">
        <f t="shared" si="168"/>
        <v>5095.8904109589039</v>
      </c>
      <c r="P93" s="209">
        <f t="shared" si="168"/>
        <v>9698.6301369863013</v>
      </c>
      <c r="Q93" s="209">
        <f t="shared" si="168"/>
        <v>0</v>
      </c>
      <c r="R93" s="209">
        <f t="shared" si="168"/>
        <v>4931.5068493150684</v>
      </c>
      <c r="S93" s="209">
        <f t="shared" si="168"/>
        <v>10027.397260273972</v>
      </c>
      <c r="T93" s="209">
        <f t="shared" si="168"/>
        <v>0</v>
      </c>
      <c r="U93" s="209">
        <f t="shared" si="168"/>
        <v>5095.8904109589039</v>
      </c>
      <c r="V93" s="209">
        <f t="shared" si="168"/>
        <v>10191.780821917808</v>
      </c>
      <c r="W93" s="209">
        <f t="shared" si="168"/>
        <v>0</v>
      </c>
      <c r="X93" s="209">
        <f t="shared" si="168"/>
        <v>5095.8904109589039</v>
      </c>
      <c r="Y93" s="209">
        <f t="shared" si="168"/>
        <v>10027.397260273972</v>
      </c>
      <c r="Z93" s="209">
        <f t="shared" si="168"/>
        <v>0</v>
      </c>
      <c r="AA93" s="209">
        <f t="shared" si="168"/>
        <v>5095.8904109589039</v>
      </c>
      <c r="AB93" s="209">
        <f t="shared" si="168"/>
        <v>9863.0136986301368</v>
      </c>
      <c r="AC93" s="209">
        <f t="shared" si="168"/>
        <v>0</v>
      </c>
      <c r="AD93" s="209">
        <f t="shared" si="168"/>
        <v>4931.5068493150684</v>
      </c>
      <c r="AE93" s="209">
        <f t="shared" si="168"/>
        <v>10027.397260273972</v>
      </c>
      <c r="AF93" s="209">
        <f t="shared" si="168"/>
        <v>0</v>
      </c>
      <c r="AG93" s="209">
        <f t="shared" si="168"/>
        <v>5095.8904109589039</v>
      </c>
      <c r="AH93" s="209">
        <f t="shared" si="168"/>
        <v>10191.780821917808</v>
      </c>
      <c r="AI93" s="209">
        <f t="shared" si="168"/>
        <v>0</v>
      </c>
      <c r="AJ93" s="209">
        <f t="shared" si="168"/>
        <v>5095.8904109589039</v>
      </c>
      <c r="AK93" s="209">
        <f t="shared" si="168"/>
        <v>10027.397260273972</v>
      </c>
      <c r="AL93" s="209">
        <f t="shared" si="168"/>
        <v>0</v>
      </c>
      <c r="AM93" s="209">
        <f t="shared" si="168"/>
        <v>5095.8904109589039</v>
      </c>
      <c r="AN93" s="209">
        <f t="shared" si="168"/>
        <v>9698.6301369863013</v>
      </c>
      <c r="AO93" s="209">
        <f t="shared" si="168"/>
        <v>0</v>
      </c>
      <c r="AP93" s="209">
        <f t="shared" si="168"/>
        <v>4931.5068493150684</v>
      </c>
      <c r="AQ93" s="209">
        <f t="shared" si="168"/>
        <v>10027.397260273972</v>
      </c>
      <c r="AR93" s="209">
        <f t="shared" ref="AR93:AU93" si="169">SUM(AR90:AR92)</f>
        <v>0</v>
      </c>
      <c r="AS93" s="209">
        <f t="shared" si="169"/>
        <v>5095.8904109589039</v>
      </c>
      <c r="AT93" s="209">
        <f t="shared" si="169"/>
        <v>10191.780821917808</v>
      </c>
      <c r="AU93" s="209">
        <f t="shared" si="169"/>
        <v>0</v>
      </c>
    </row>
    <row r="94" spans="1:47" hidden="1" outlineLevel="1">
      <c r="A94" s="119">
        <f>ROW()</f>
        <v>94</v>
      </c>
      <c r="D94" s="458"/>
      <c r="E94" s="123"/>
      <c r="F94" s="123"/>
      <c r="G94" s="475"/>
      <c r="H94" s="475"/>
      <c r="I94" s="124"/>
      <c r="J94" s="118"/>
      <c r="K94" s="123"/>
      <c r="L94" s="471"/>
      <c r="M94" s="471"/>
      <c r="N94" s="471"/>
      <c r="O94" s="471"/>
      <c r="P94" s="471"/>
      <c r="Q94" s="471"/>
      <c r="R94" s="471"/>
      <c r="S94" s="471"/>
      <c r="T94" s="471"/>
      <c r="U94" s="471"/>
      <c r="V94" s="471"/>
      <c r="W94" s="471"/>
      <c r="X94" s="471"/>
      <c r="Y94" s="471"/>
      <c r="Z94" s="471"/>
      <c r="AA94" s="471"/>
      <c r="AB94" s="471"/>
      <c r="AC94" s="471"/>
      <c r="AD94" s="471"/>
      <c r="AE94" s="471"/>
      <c r="AF94" s="471"/>
      <c r="AG94" s="471"/>
      <c r="AH94" s="471"/>
      <c r="AI94" s="471"/>
      <c r="AJ94" s="471"/>
      <c r="AK94" s="471"/>
      <c r="AL94" s="471"/>
      <c r="AM94" s="471"/>
      <c r="AN94" s="471"/>
      <c r="AO94" s="471"/>
      <c r="AP94" s="471"/>
      <c r="AQ94" s="471"/>
      <c r="AR94" s="471"/>
      <c r="AS94" s="471"/>
      <c r="AT94" s="471"/>
      <c r="AU94" s="471"/>
    </row>
    <row r="95" spans="1:47" collapsed="1">
      <c r="A95" s="119">
        <f>ROW()</f>
        <v>95</v>
      </c>
      <c r="C95" s="477" t="s">
        <v>251</v>
      </c>
      <c r="D95" s="142"/>
      <c r="E95" s="200"/>
      <c r="F95" s="200"/>
      <c r="G95" s="294">
        <f>'A&amp;R'!G51</f>
        <v>304731.70731707313</v>
      </c>
      <c r="H95" s="200"/>
      <c r="I95" s="479"/>
      <c r="J95" s="201"/>
      <c r="K95" s="201">
        <f>-G95</f>
        <v>-304731.70731707313</v>
      </c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</row>
    <row r="96" spans="1:47">
      <c r="A96" s="119">
        <f>ROW()</f>
        <v>96</v>
      </c>
      <c r="C96" s="304" t="s">
        <v>87</v>
      </c>
      <c r="D96" s="307"/>
      <c r="E96" s="308"/>
      <c r="F96" s="305"/>
      <c r="G96" s="307"/>
      <c r="H96" s="307"/>
      <c r="I96" s="307"/>
      <c r="J96" s="305">
        <f>SUM(K96:AU96)</f>
        <v>0</v>
      </c>
      <c r="K96" s="305">
        <f>SUM(K97:K98)</f>
        <v>37000000</v>
      </c>
      <c r="L96" s="305">
        <f t="shared" ref="L96:AU96" si="170">SUM(L97:L98)</f>
        <v>0</v>
      </c>
      <c r="M96" s="305">
        <f t="shared" si="170"/>
        <v>0</v>
      </c>
      <c r="N96" s="305">
        <f t="shared" si="170"/>
        <v>0</v>
      </c>
      <c r="O96" s="305">
        <f t="shared" si="170"/>
        <v>0</v>
      </c>
      <c r="P96" s="305">
        <f t="shared" si="170"/>
        <v>0</v>
      </c>
      <c r="Q96" s="305">
        <f t="shared" si="170"/>
        <v>0</v>
      </c>
      <c r="R96" s="305">
        <f t="shared" si="170"/>
        <v>0</v>
      </c>
      <c r="S96" s="305">
        <f t="shared" si="170"/>
        <v>0</v>
      </c>
      <c r="T96" s="305">
        <f t="shared" si="170"/>
        <v>0</v>
      </c>
      <c r="U96" s="305">
        <f t="shared" si="170"/>
        <v>0</v>
      </c>
      <c r="V96" s="305">
        <f t="shared" si="170"/>
        <v>0</v>
      </c>
      <c r="W96" s="305">
        <f t="shared" si="170"/>
        <v>0</v>
      </c>
      <c r="X96" s="305">
        <f t="shared" si="170"/>
        <v>0</v>
      </c>
      <c r="Y96" s="305">
        <f t="shared" si="170"/>
        <v>0</v>
      </c>
      <c r="Z96" s="305">
        <f t="shared" si="170"/>
        <v>0</v>
      </c>
      <c r="AA96" s="305">
        <f t="shared" si="170"/>
        <v>0</v>
      </c>
      <c r="AB96" s="305">
        <f t="shared" si="170"/>
        <v>0</v>
      </c>
      <c r="AC96" s="305">
        <f t="shared" si="170"/>
        <v>0</v>
      </c>
      <c r="AD96" s="305">
        <f t="shared" si="170"/>
        <v>0</v>
      </c>
      <c r="AE96" s="305">
        <f t="shared" si="170"/>
        <v>0</v>
      </c>
      <c r="AF96" s="305">
        <f t="shared" si="170"/>
        <v>0</v>
      </c>
      <c r="AG96" s="305">
        <f t="shared" si="170"/>
        <v>0</v>
      </c>
      <c r="AH96" s="305">
        <f t="shared" si="170"/>
        <v>0</v>
      </c>
      <c r="AI96" s="305">
        <f t="shared" si="170"/>
        <v>0</v>
      </c>
      <c r="AJ96" s="305">
        <f t="shared" si="170"/>
        <v>0</v>
      </c>
      <c r="AK96" s="305">
        <f t="shared" si="170"/>
        <v>0</v>
      </c>
      <c r="AL96" s="305">
        <f t="shared" si="170"/>
        <v>0</v>
      </c>
      <c r="AM96" s="305">
        <f t="shared" si="170"/>
        <v>0</v>
      </c>
      <c r="AN96" s="305">
        <f t="shared" si="170"/>
        <v>0</v>
      </c>
      <c r="AO96" s="305">
        <f t="shared" si="170"/>
        <v>0</v>
      </c>
      <c r="AP96" s="305">
        <f t="shared" si="170"/>
        <v>0</v>
      </c>
      <c r="AQ96" s="305">
        <f t="shared" si="170"/>
        <v>0</v>
      </c>
      <c r="AR96" s="305">
        <f t="shared" si="170"/>
        <v>0</v>
      </c>
      <c r="AS96" s="305">
        <f t="shared" si="170"/>
        <v>0</v>
      </c>
      <c r="AT96" s="305">
        <f t="shared" si="170"/>
        <v>0</v>
      </c>
      <c r="AU96" s="305">
        <f t="shared" si="170"/>
        <v>-37000000</v>
      </c>
    </row>
    <row r="97" spans="1:47">
      <c r="A97" s="119">
        <f>ROW()</f>
        <v>97</v>
      </c>
      <c r="C97" s="133" t="s">
        <v>256</v>
      </c>
      <c r="G97" s="292">
        <f>'A&amp;R'!G50</f>
        <v>37000000</v>
      </c>
      <c r="J97" s="126">
        <f>SUM(K97:AU97)</f>
        <v>37000000</v>
      </c>
      <c r="K97" s="476">
        <f>G97</f>
        <v>37000000</v>
      </c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</row>
    <row r="98" spans="1:47">
      <c r="A98" s="119">
        <f>ROW()</f>
        <v>98</v>
      </c>
      <c r="C98" s="135" t="s">
        <v>93</v>
      </c>
      <c r="D98" s="125"/>
      <c r="E98" s="125"/>
      <c r="F98" s="296">
        <f>'A&amp;R'!$H$8</f>
        <v>44469</v>
      </c>
      <c r="G98" s="289">
        <f>-G97</f>
        <v>-37000000</v>
      </c>
      <c r="H98" s="129"/>
      <c r="I98" s="125"/>
      <c r="J98" s="129">
        <f>SUM(K98:AU98)</f>
        <v>-37000000</v>
      </c>
      <c r="K98" s="136"/>
      <c r="L98" s="138">
        <f>($F98=L$14)*$G98</f>
        <v>0</v>
      </c>
      <c r="M98" s="138">
        <f t="shared" ref="M98:AU98" si="171">($F98=M$14)*$G98</f>
        <v>0</v>
      </c>
      <c r="N98" s="138">
        <f t="shared" si="171"/>
        <v>0</v>
      </c>
      <c r="O98" s="138">
        <f t="shared" si="171"/>
        <v>0</v>
      </c>
      <c r="P98" s="138">
        <f t="shared" si="171"/>
        <v>0</v>
      </c>
      <c r="Q98" s="138">
        <f t="shared" si="171"/>
        <v>0</v>
      </c>
      <c r="R98" s="138">
        <f t="shared" si="171"/>
        <v>0</v>
      </c>
      <c r="S98" s="138">
        <f t="shared" si="171"/>
        <v>0</v>
      </c>
      <c r="T98" s="138">
        <f t="shared" si="171"/>
        <v>0</v>
      </c>
      <c r="U98" s="138">
        <f t="shared" si="171"/>
        <v>0</v>
      </c>
      <c r="V98" s="138">
        <f t="shared" si="171"/>
        <v>0</v>
      </c>
      <c r="W98" s="138">
        <f t="shared" si="171"/>
        <v>0</v>
      </c>
      <c r="X98" s="138">
        <f t="shared" si="171"/>
        <v>0</v>
      </c>
      <c r="Y98" s="138">
        <f t="shared" si="171"/>
        <v>0</v>
      </c>
      <c r="Z98" s="138">
        <f t="shared" si="171"/>
        <v>0</v>
      </c>
      <c r="AA98" s="138">
        <f t="shared" si="171"/>
        <v>0</v>
      </c>
      <c r="AB98" s="138">
        <f t="shared" si="171"/>
        <v>0</v>
      </c>
      <c r="AC98" s="138">
        <f t="shared" si="171"/>
        <v>0</v>
      </c>
      <c r="AD98" s="138">
        <f t="shared" si="171"/>
        <v>0</v>
      </c>
      <c r="AE98" s="138">
        <f t="shared" si="171"/>
        <v>0</v>
      </c>
      <c r="AF98" s="138">
        <f t="shared" si="171"/>
        <v>0</v>
      </c>
      <c r="AG98" s="138">
        <f t="shared" si="171"/>
        <v>0</v>
      </c>
      <c r="AH98" s="138">
        <f t="shared" si="171"/>
        <v>0</v>
      </c>
      <c r="AI98" s="138">
        <f t="shared" si="171"/>
        <v>0</v>
      </c>
      <c r="AJ98" s="138">
        <f t="shared" si="171"/>
        <v>0</v>
      </c>
      <c r="AK98" s="138">
        <f t="shared" si="171"/>
        <v>0</v>
      </c>
      <c r="AL98" s="138">
        <f t="shared" si="171"/>
        <v>0</v>
      </c>
      <c r="AM98" s="138">
        <f t="shared" si="171"/>
        <v>0</v>
      </c>
      <c r="AN98" s="138">
        <f t="shared" si="171"/>
        <v>0</v>
      </c>
      <c r="AO98" s="138">
        <f t="shared" si="171"/>
        <v>0</v>
      </c>
      <c r="AP98" s="138">
        <f t="shared" si="171"/>
        <v>0</v>
      </c>
      <c r="AQ98" s="138">
        <f t="shared" si="171"/>
        <v>0</v>
      </c>
      <c r="AR98" s="138">
        <f t="shared" si="171"/>
        <v>0</v>
      </c>
      <c r="AS98" s="138">
        <f t="shared" si="171"/>
        <v>0</v>
      </c>
      <c r="AT98" s="138">
        <f t="shared" si="171"/>
        <v>0</v>
      </c>
      <c r="AU98" s="138">
        <f t="shared" si="171"/>
        <v>-37000000</v>
      </c>
    </row>
    <row r="99" spans="1:47">
      <c r="A99" s="119">
        <f>ROW()</f>
        <v>99</v>
      </c>
      <c r="C99" s="301" t="s">
        <v>295</v>
      </c>
      <c r="D99" s="302"/>
      <c r="E99" s="302"/>
      <c r="F99" s="302"/>
      <c r="G99" s="302"/>
      <c r="H99" s="302"/>
      <c r="I99" s="302"/>
      <c r="J99" s="303">
        <f t="shared" ref="J99:AO99" si="172">J80+J96</f>
        <v>-4990673.8686564937</v>
      </c>
      <c r="K99" s="303">
        <f t="shared" si="172"/>
        <v>36695268.292682923</v>
      </c>
      <c r="L99" s="303">
        <f t="shared" si="172"/>
        <v>0</v>
      </c>
      <c r="M99" s="303">
        <f t="shared" si="172"/>
        <v>0</v>
      </c>
      <c r="N99" s="303">
        <f t="shared" si="172"/>
        <v>-393345.50989345508</v>
      </c>
      <c r="O99" s="303">
        <f t="shared" si="172"/>
        <v>0</v>
      </c>
      <c r="P99" s="303">
        <f t="shared" si="172"/>
        <v>0</v>
      </c>
      <c r="Q99" s="303">
        <f t="shared" si="172"/>
        <v>-384794.52054794523</v>
      </c>
      <c r="R99" s="303">
        <f t="shared" si="172"/>
        <v>0</v>
      </c>
      <c r="S99" s="303">
        <f t="shared" si="172"/>
        <v>0</v>
      </c>
      <c r="T99" s="303">
        <f t="shared" si="172"/>
        <v>-389070.01522070012</v>
      </c>
      <c r="U99" s="303">
        <f t="shared" si="172"/>
        <v>0</v>
      </c>
      <c r="V99" s="303">
        <f t="shared" si="172"/>
        <v>0</v>
      </c>
      <c r="W99" s="303">
        <f t="shared" si="172"/>
        <v>-393345.50989345508</v>
      </c>
      <c r="X99" s="303">
        <f t="shared" si="172"/>
        <v>0</v>
      </c>
      <c r="Y99" s="303">
        <f t="shared" si="172"/>
        <v>0</v>
      </c>
      <c r="Z99" s="303">
        <f t="shared" si="172"/>
        <v>-393345.50989345508</v>
      </c>
      <c r="AA99" s="303">
        <f t="shared" si="172"/>
        <v>0</v>
      </c>
      <c r="AB99" s="303">
        <f t="shared" si="172"/>
        <v>0</v>
      </c>
      <c r="AC99" s="303">
        <f t="shared" si="172"/>
        <v>-389070.01522070018</v>
      </c>
      <c r="AD99" s="303">
        <f t="shared" si="172"/>
        <v>0</v>
      </c>
      <c r="AE99" s="303">
        <f t="shared" si="172"/>
        <v>0</v>
      </c>
      <c r="AF99" s="303">
        <f t="shared" si="172"/>
        <v>-389070.01522070012</v>
      </c>
      <c r="AG99" s="303">
        <f t="shared" si="172"/>
        <v>0</v>
      </c>
      <c r="AH99" s="303">
        <f t="shared" si="172"/>
        <v>0</v>
      </c>
      <c r="AI99" s="303">
        <f t="shared" si="172"/>
        <v>-393345.50989345508</v>
      </c>
      <c r="AJ99" s="303">
        <f t="shared" si="172"/>
        <v>0</v>
      </c>
      <c r="AK99" s="303">
        <f t="shared" si="172"/>
        <v>0</v>
      </c>
      <c r="AL99" s="303">
        <f t="shared" si="172"/>
        <v>-393345.50989345508</v>
      </c>
      <c r="AM99" s="303">
        <f t="shared" si="172"/>
        <v>0</v>
      </c>
      <c r="AN99" s="303">
        <f t="shared" si="172"/>
        <v>0</v>
      </c>
      <c r="AO99" s="303">
        <f t="shared" si="172"/>
        <v>-384794.52054794523</v>
      </c>
      <c r="AP99" s="303">
        <f t="shared" ref="AP99:AU99" si="173">AP80+AP96</f>
        <v>0</v>
      </c>
      <c r="AQ99" s="303">
        <f t="shared" si="173"/>
        <v>0</v>
      </c>
      <c r="AR99" s="303">
        <f t="shared" si="173"/>
        <v>-389070.01522070012</v>
      </c>
      <c r="AS99" s="303">
        <f t="shared" si="173"/>
        <v>0</v>
      </c>
      <c r="AT99" s="303">
        <f t="shared" si="173"/>
        <v>0</v>
      </c>
      <c r="AU99" s="303">
        <f t="shared" si="173"/>
        <v>-37393345.509893455</v>
      </c>
    </row>
    <row r="100" spans="1:47" ht="12" thickBot="1">
      <c r="D100" s="140"/>
      <c r="J100" s="141"/>
      <c r="K100" s="141"/>
      <c r="L100" s="141"/>
      <c r="M100" s="141"/>
      <c r="N100" s="141"/>
      <c r="O100" s="141"/>
      <c r="P100" s="141"/>
      <c r="Q100" s="141"/>
      <c r="R100" s="141"/>
    </row>
    <row r="101" spans="1:47">
      <c r="E101" s="142"/>
      <c r="F101" s="143"/>
      <c r="G101" s="143"/>
      <c r="H101" s="142"/>
      <c r="I101" s="142"/>
      <c r="J101" s="297" t="s">
        <v>28</v>
      </c>
      <c r="K101" s="298">
        <f>(-J80/J97)*(365/J79)</f>
        <v>4.4920003009953156E-2</v>
      </c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4"/>
      <c r="AR101" s="144"/>
      <c r="AS101" s="144"/>
      <c r="AT101" s="144"/>
      <c r="AU101" s="144"/>
    </row>
    <row r="102" spans="1:47" ht="12" thickBot="1">
      <c r="E102" s="142"/>
      <c r="F102" s="145"/>
      <c r="G102" s="146"/>
      <c r="H102" s="142"/>
      <c r="I102" s="142"/>
      <c r="J102" s="299" t="s">
        <v>89</v>
      </c>
      <c r="K102" s="300">
        <f>XIRR(K99:AU99,K12:AU12)</f>
        <v>4.5894578099250793E-2</v>
      </c>
    </row>
    <row r="103" spans="1:47">
      <c r="E103" s="142"/>
      <c r="F103" s="147"/>
      <c r="G103" s="147"/>
      <c r="H103" s="142"/>
      <c r="I103" s="142"/>
    </row>
    <row r="104" spans="1:47">
      <c r="B104" s="284" t="s">
        <v>503</v>
      </c>
      <c r="C104" s="284"/>
      <c r="J104" s="483">
        <v>1000</v>
      </c>
    </row>
    <row r="105" spans="1:47" hidden="1" outlineLevel="1">
      <c r="I105" s="120" t="s">
        <v>84</v>
      </c>
      <c r="J105" s="118">
        <f>SUM(L105:AU105)</f>
        <v>1096</v>
      </c>
      <c r="L105" s="139">
        <f t="shared" ref="L105" si="174">(L$14-K$14)*L$9</f>
        <v>31</v>
      </c>
      <c r="M105" s="119">
        <f t="shared" ref="M105" si="175">(M$14-L$14)*M$9</f>
        <v>30</v>
      </c>
      <c r="N105" s="119">
        <f t="shared" ref="N105" si="176">(N$14-M$14)*N$9</f>
        <v>31</v>
      </c>
      <c r="O105" s="119">
        <f t="shared" ref="O105" si="177">(O$14-N$14)*O$9</f>
        <v>31</v>
      </c>
      <c r="P105" s="119">
        <f t="shared" ref="P105" si="178">(P$14-O$14)*P$9</f>
        <v>28</v>
      </c>
      <c r="Q105" s="119">
        <f t="shared" ref="Q105" si="179">(Q$14-P$14)*Q$9</f>
        <v>31</v>
      </c>
      <c r="R105" s="119">
        <f t="shared" ref="R105" si="180">(R$14-Q$14)*R$9</f>
        <v>30</v>
      </c>
      <c r="S105" s="119">
        <f t="shared" ref="S105" si="181">(S$14-R$14)*S$9</f>
        <v>31</v>
      </c>
      <c r="T105" s="119">
        <f t="shared" ref="T105" si="182">(T$14-S$14)*T$9</f>
        <v>30</v>
      </c>
      <c r="U105" s="119">
        <f t="shared" ref="U105" si="183">(U$14-T$14)*U$9</f>
        <v>31</v>
      </c>
      <c r="V105" s="119">
        <f t="shared" ref="V105" si="184">(V$14-U$14)*V$9</f>
        <v>31</v>
      </c>
      <c r="W105" s="119">
        <f t="shared" ref="W105" si="185">(W$14-V$14)*W$9</f>
        <v>30</v>
      </c>
      <c r="X105" s="119">
        <f t="shared" ref="X105" si="186">(X$14-W$14)*X$9</f>
        <v>31</v>
      </c>
      <c r="Y105" s="119">
        <f t="shared" ref="Y105" si="187">(Y$14-X$14)*Y$9</f>
        <v>30</v>
      </c>
      <c r="Z105" s="119">
        <f t="shared" ref="Z105" si="188">(Z$14-Y$14)*Z$9</f>
        <v>31</v>
      </c>
      <c r="AA105" s="119">
        <f t="shared" ref="AA105" si="189">(AA$14-Z$14)*AA$9</f>
        <v>31</v>
      </c>
      <c r="AB105" s="119">
        <f t="shared" ref="AB105" si="190">(AB$14-AA$14)*AB$9</f>
        <v>29</v>
      </c>
      <c r="AC105" s="119">
        <f t="shared" ref="AC105" si="191">(AC$14-AB$14)*AC$9</f>
        <v>31</v>
      </c>
      <c r="AD105" s="119">
        <f t="shared" ref="AD105" si="192">(AD$14-AC$14)*AD$9</f>
        <v>30</v>
      </c>
      <c r="AE105" s="119">
        <f t="shared" ref="AE105" si="193">(AE$14-AD$14)*AE$9</f>
        <v>31</v>
      </c>
      <c r="AF105" s="119">
        <f t="shared" ref="AF105" si="194">(AF$14-AE$14)*AF$9</f>
        <v>30</v>
      </c>
      <c r="AG105" s="119">
        <f t="shared" ref="AG105" si="195">(AG$14-AF$14)*AG$9</f>
        <v>31</v>
      </c>
      <c r="AH105" s="119">
        <f t="shared" ref="AH105" si="196">(AH$14-AG$14)*AH$9</f>
        <v>31</v>
      </c>
      <c r="AI105" s="119">
        <f t="shared" ref="AI105" si="197">(AI$14-AH$14)*AI$9</f>
        <v>30</v>
      </c>
      <c r="AJ105" s="119">
        <f t="shared" ref="AJ105" si="198">(AJ$14-AI$14)*AJ$9</f>
        <v>31</v>
      </c>
      <c r="AK105" s="119">
        <f t="shared" ref="AK105" si="199">(AK$14-AJ$14)*AK$9</f>
        <v>30</v>
      </c>
      <c r="AL105" s="119">
        <f t="shared" ref="AL105" si="200">(AL$14-AK$14)*AL$9</f>
        <v>31</v>
      </c>
      <c r="AM105" s="119">
        <f t="shared" ref="AM105" si="201">(AM$14-AL$14)*AM$9</f>
        <v>31</v>
      </c>
      <c r="AN105" s="119">
        <f t="shared" ref="AN105" si="202">(AN$14-AM$14)*AN$9</f>
        <v>28</v>
      </c>
      <c r="AO105" s="119">
        <f t="shared" ref="AO105" si="203">(AO$14-AN$14)*AO$9</f>
        <v>31</v>
      </c>
      <c r="AP105" s="119">
        <f t="shared" ref="AP105" si="204">(AP$14-AO$14)*AP$9</f>
        <v>30</v>
      </c>
      <c r="AQ105" s="119">
        <f t="shared" ref="AQ105" si="205">(AQ$14-AP$14)*AQ$9</f>
        <v>31</v>
      </c>
      <c r="AR105" s="119">
        <f t="shared" ref="AR105" si="206">(AR$14-AQ$14)*AR$9</f>
        <v>30</v>
      </c>
      <c r="AS105" s="119">
        <f t="shared" ref="AS105" si="207">(AS$14-AR$14)*AS$9</f>
        <v>31</v>
      </c>
      <c r="AT105" s="119">
        <f t="shared" ref="AT105" si="208">(AT$14-AS$14)*AT$9</f>
        <v>31</v>
      </c>
      <c r="AU105" s="119">
        <f t="shared" ref="AU105" si="209">(AU$14-AT$14)*AU$9</f>
        <v>30</v>
      </c>
    </row>
    <row r="106" spans="1:47" collapsed="1">
      <c r="A106" s="119">
        <f>ROW()</f>
        <v>106</v>
      </c>
      <c r="C106" s="304" t="s">
        <v>85</v>
      </c>
      <c r="D106" s="304"/>
      <c r="E106" s="304"/>
      <c r="F106" s="304"/>
      <c r="G106" s="304"/>
      <c r="H106" s="304"/>
      <c r="I106" s="304"/>
      <c r="J106" s="305">
        <f>SUM(K106:AU106)</f>
        <v>4505777.7777777771</v>
      </c>
      <c r="K106" s="304"/>
      <c r="L106" s="306">
        <f>L107+L110</f>
        <v>0</v>
      </c>
      <c r="M106" s="306">
        <f t="shared" ref="M106:AU106" si="210">M107+M110</f>
        <v>0</v>
      </c>
      <c r="N106" s="306">
        <f t="shared" si="210"/>
        <v>378222.22222222225</v>
      </c>
      <c r="O106" s="306">
        <f t="shared" si="210"/>
        <v>0</v>
      </c>
      <c r="P106" s="306">
        <f t="shared" si="210"/>
        <v>0</v>
      </c>
      <c r="Q106" s="306">
        <f t="shared" si="210"/>
        <v>370000</v>
      </c>
      <c r="R106" s="306">
        <f t="shared" si="210"/>
        <v>0</v>
      </c>
      <c r="S106" s="306">
        <f t="shared" si="210"/>
        <v>0</v>
      </c>
      <c r="T106" s="306">
        <f t="shared" si="210"/>
        <v>374111.11111111107</v>
      </c>
      <c r="U106" s="306">
        <f t="shared" si="210"/>
        <v>0</v>
      </c>
      <c r="V106" s="306">
        <f t="shared" si="210"/>
        <v>0</v>
      </c>
      <c r="W106" s="306">
        <f t="shared" si="210"/>
        <v>378222.22222222225</v>
      </c>
      <c r="X106" s="306">
        <f t="shared" si="210"/>
        <v>0</v>
      </c>
      <c r="Y106" s="306">
        <f t="shared" si="210"/>
        <v>0</v>
      </c>
      <c r="Z106" s="306">
        <f t="shared" si="210"/>
        <v>378222.22222222225</v>
      </c>
      <c r="AA106" s="306">
        <f t="shared" si="210"/>
        <v>0</v>
      </c>
      <c r="AB106" s="306">
        <f t="shared" si="210"/>
        <v>0</v>
      </c>
      <c r="AC106" s="306">
        <f t="shared" si="210"/>
        <v>374111.11111111112</v>
      </c>
      <c r="AD106" s="306">
        <f t="shared" si="210"/>
        <v>0</v>
      </c>
      <c r="AE106" s="306">
        <f t="shared" si="210"/>
        <v>0</v>
      </c>
      <c r="AF106" s="306">
        <f t="shared" si="210"/>
        <v>374111.11111111107</v>
      </c>
      <c r="AG106" s="306">
        <f t="shared" si="210"/>
        <v>0</v>
      </c>
      <c r="AH106" s="306">
        <f t="shared" si="210"/>
        <v>0</v>
      </c>
      <c r="AI106" s="306">
        <f t="shared" si="210"/>
        <v>378222.22222222225</v>
      </c>
      <c r="AJ106" s="306">
        <f t="shared" si="210"/>
        <v>0</v>
      </c>
      <c r="AK106" s="306">
        <f t="shared" si="210"/>
        <v>0</v>
      </c>
      <c r="AL106" s="306">
        <f t="shared" si="210"/>
        <v>378222.22222222225</v>
      </c>
      <c r="AM106" s="306">
        <f t="shared" si="210"/>
        <v>0</v>
      </c>
      <c r="AN106" s="306">
        <f t="shared" si="210"/>
        <v>0</v>
      </c>
      <c r="AO106" s="306">
        <f t="shared" si="210"/>
        <v>370000</v>
      </c>
      <c r="AP106" s="306">
        <f t="shared" si="210"/>
        <v>0</v>
      </c>
      <c r="AQ106" s="306">
        <f t="shared" si="210"/>
        <v>0</v>
      </c>
      <c r="AR106" s="306">
        <f t="shared" si="210"/>
        <v>374111.11111111107</v>
      </c>
      <c r="AS106" s="306">
        <f t="shared" si="210"/>
        <v>0</v>
      </c>
      <c r="AT106" s="306">
        <f t="shared" si="210"/>
        <v>0</v>
      </c>
      <c r="AU106" s="306">
        <f t="shared" si="210"/>
        <v>378222.22222222225</v>
      </c>
    </row>
    <row r="107" spans="1:47">
      <c r="A107" s="119">
        <f>ROW()</f>
        <v>107</v>
      </c>
      <c r="C107" s="477" t="s">
        <v>504</v>
      </c>
      <c r="D107" s="478"/>
      <c r="E107" s="200"/>
      <c r="F107" s="200"/>
      <c r="G107" s="478"/>
      <c r="H107" s="478"/>
      <c r="I107" s="479"/>
      <c r="J107" s="201"/>
      <c r="K107" s="200"/>
      <c r="L107" s="201">
        <f t="shared" ref="L107:AU107" si="211">L108+L109</f>
        <v>0</v>
      </c>
      <c r="M107" s="201">
        <f t="shared" si="211"/>
        <v>0</v>
      </c>
      <c r="N107" s="201">
        <f t="shared" si="211"/>
        <v>340400</v>
      </c>
      <c r="O107" s="201">
        <f t="shared" si="211"/>
        <v>0</v>
      </c>
      <c r="P107" s="201">
        <f t="shared" si="211"/>
        <v>0</v>
      </c>
      <c r="Q107" s="201">
        <f t="shared" si="211"/>
        <v>333000</v>
      </c>
      <c r="R107" s="201">
        <f t="shared" si="211"/>
        <v>0</v>
      </c>
      <c r="S107" s="201">
        <f t="shared" si="211"/>
        <v>0</v>
      </c>
      <c r="T107" s="201">
        <f t="shared" si="211"/>
        <v>336699.99999999994</v>
      </c>
      <c r="U107" s="201">
        <f t="shared" si="211"/>
        <v>0</v>
      </c>
      <c r="V107" s="201">
        <f t="shared" si="211"/>
        <v>0</v>
      </c>
      <c r="W107" s="201">
        <f t="shared" si="211"/>
        <v>340400</v>
      </c>
      <c r="X107" s="201">
        <f t="shared" si="211"/>
        <v>0</v>
      </c>
      <c r="Y107" s="201">
        <f t="shared" si="211"/>
        <v>0</v>
      </c>
      <c r="Z107" s="201">
        <f t="shared" si="211"/>
        <v>340400</v>
      </c>
      <c r="AA107" s="201">
        <f t="shared" si="211"/>
        <v>0</v>
      </c>
      <c r="AB107" s="201">
        <f t="shared" si="211"/>
        <v>0</v>
      </c>
      <c r="AC107" s="201">
        <f t="shared" si="211"/>
        <v>336700</v>
      </c>
      <c r="AD107" s="201">
        <f t="shared" si="211"/>
        <v>0</v>
      </c>
      <c r="AE107" s="201">
        <f t="shared" si="211"/>
        <v>0</v>
      </c>
      <c r="AF107" s="201">
        <f t="shared" si="211"/>
        <v>336699.99999999994</v>
      </c>
      <c r="AG107" s="201">
        <f t="shared" si="211"/>
        <v>0</v>
      </c>
      <c r="AH107" s="201">
        <f t="shared" si="211"/>
        <v>0</v>
      </c>
      <c r="AI107" s="201">
        <f t="shared" si="211"/>
        <v>340400</v>
      </c>
      <c r="AJ107" s="201">
        <f t="shared" si="211"/>
        <v>0</v>
      </c>
      <c r="AK107" s="201">
        <f t="shared" si="211"/>
        <v>0</v>
      </c>
      <c r="AL107" s="201">
        <f t="shared" si="211"/>
        <v>340400</v>
      </c>
      <c r="AM107" s="201">
        <f t="shared" si="211"/>
        <v>0</v>
      </c>
      <c r="AN107" s="201">
        <f t="shared" si="211"/>
        <v>0</v>
      </c>
      <c r="AO107" s="201">
        <f t="shared" si="211"/>
        <v>333000</v>
      </c>
      <c r="AP107" s="201">
        <f t="shared" si="211"/>
        <v>0</v>
      </c>
      <c r="AQ107" s="201">
        <f t="shared" si="211"/>
        <v>0</v>
      </c>
      <c r="AR107" s="201">
        <f t="shared" si="211"/>
        <v>336699.99999999994</v>
      </c>
      <c r="AS107" s="201">
        <f t="shared" si="211"/>
        <v>0</v>
      </c>
      <c r="AT107" s="201">
        <f t="shared" si="211"/>
        <v>0</v>
      </c>
      <c r="AU107" s="201">
        <f t="shared" si="211"/>
        <v>340400</v>
      </c>
    </row>
    <row r="108" spans="1:47">
      <c r="A108" s="119">
        <f>ROW()</f>
        <v>108</v>
      </c>
      <c r="C108" s="634" t="s">
        <v>300</v>
      </c>
      <c r="D108" s="633"/>
      <c r="E108" s="200"/>
      <c r="F108" s="200"/>
      <c r="G108" s="633"/>
      <c r="H108" s="633"/>
      <c r="I108" s="479"/>
      <c r="J108" s="201"/>
      <c r="K108" s="200"/>
      <c r="L108" s="201">
        <f>-L81</f>
        <v>0</v>
      </c>
      <c r="M108" s="201">
        <f t="shared" ref="M108:AU108" si="212">-M81</f>
        <v>0</v>
      </c>
      <c r="N108" s="201">
        <f t="shared" si="212"/>
        <v>378222.22222222219</v>
      </c>
      <c r="O108" s="201">
        <f t="shared" si="212"/>
        <v>0</v>
      </c>
      <c r="P108" s="201">
        <f t="shared" si="212"/>
        <v>0</v>
      </c>
      <c r="Q108" s="201">
        <f t="shared" si="212"/>
        <v>370000</v>
      </c>
      <c r="R108" s="201">
        <f t="shared" si="212"/>
        <v>0</v>
      </c>
      <c r="S108" s="201">
        <f t="shared" si="212"/>
        <v>0</v>
      </c>
      <c r="T108" s="201">
        <f t="shared" si="212"/>
        <v>374111.11111111107</v>
      </c>
      <c r="U108" s="201">
        <f t="shared" si="212"/>
        <v>0</v>
      </c>
      <c r="V108" s="201">
        <f t="shared" si="212"/>
        <v>0</v>
      </c>
      <c r="W108" s="201">
        <f t="shared" si="212"/>
        <v>378222.22222222219</v>
      </c>
      <c r="X108" s="201">
        <f t="shared" si="212"/>
        <v>0</v>
      </c>
      <c r="Y108" s="201">
        <f t="shared" si="212"/>
        <v>0</v>
      </c>
      <c r="Z108" s="201">
        <f t="shared" si="212"/>
        <v>378222.22222222219</v>
      </c>
      <c r="AA108" s="201">
        <f t="shared" si="212"/>
        <v>0</v>
      </c>
      <c r="AB108" s="201">
        <f t="shared" si="212"/>
        <v>0</v>
      </c>
      <c r="AC108" s="201">
        <f t="shared" si="212"/>
        <v>374111.11111111112</v>
      </c>
      <c r="AD108" s="201">
        <f t="shared" si="212"/>
        <v>0</v>
      </c>
      <c r="AE108" s="201">
        <f t="shared" si="212"/>
        <v>0</v>
      </c>
      <c r="AF108" s="201">
        <f t="shared" si="212"/>
        <v>374111.11111111107</v>
      </c>
      <c r="AG108" s="201">
        <f t="shared" si="212"/>
        <v>0</v>
      </c>
      <c r="AH108" s="201">
        <f t="shared" si="212"/>
        <v>0</v>
      </c>
      <c r="AI108" s="201">
        <f t="shared" si="212"/>
        <v>378222.22222222219</v>
      </c>
      <c r="AJ108" s="201">
        <f t="shared" si="212"/>
        <v>0</v>
      </c>
      <c r="AK108" s="201">
        <f t="shared" si="212"/>
        <v>0</v>
      </c>
      <c r="AL108" s="201">
        <f t="shared" si="212"/>
        <v>378222.22222222219</v>
      </c>
      <c r="AM108" s="201">
        <f t="shared" si="212"/>
        <v>0</v>
      </c>
      <c r="AN108" s="201">
        <f t="shared" si="212"/>
        <v>0</v>
      </c>
      <c r="AO108" s="201">
        <f t="shared" si="212"/>
        <v>370000</v>
      </c>
      <c r="AP108" s="201">
        <f t="shared" si="212"/>
        <v>0</v>
      </c>
      <c r="AQ108" s="201">
        <f t="shared" si="212"/>
        <v>0</v>
      </c>
      <c r="AR108" s="201">
        <f t="shared" si="212"/>
        <v>374111.11111111107</v>
      </c>
      <c r="AS108" s="201">
        <f t="shared" si="212"/>
        <v>0</v>
      </c>
      <c r="AT108" s="201">
        <f t="shared" si="212"/>
        <v>0</v>
      </c>
      <c r="AU108" s="201">
        <f t="shared" si="212"/>
        <v>378222.22222222219</v>
      </c>
    </row>
    <row r="109" spans="1:47">
      <c r="A109" s="119">
        <f>ROW()</f>
        <v>109</v>
      </c>
      <c r="C109" s="634" t="s">
        <v>505</v>
      </c>
      <c r="D109" s="142"/>
      <c r="E109" s="200"/>
      <c r="F109" s="200" t="s">
        <v>255</v>
      </c>
      <c r="G109" s="457">
        <f>'A&amp;R'!$H$12</f>
        <v>0.1</v>
      </c>
      <c r="H109" s="478"/>
      <c r="I109" s="479"/>
      <c r="J109" s="201"/>
      <c r="K109" s="200"/>
      <c r="L109" s="201">
        <f t="shared" ref="L109:AU109" si="213">-L108*$G109</f>
        <v>0</v>
      </c>
      <c r="M109" s="201">
        <f t="shared" si="213"/>
        <v>0</v>
      </c>
      <c r="N109" s="201">
        <f t="shared" si="213"/>
        <v>-37822.222222222219</v>
      </c>
      <c r="O109" s="201">
        <f t="shared" si="213"/>
        <v>0</v>
      </c>
      <c r="P109" s="201">
        <f t="shared" si="213"/>
        <v>0</v>
      </c>
      <c r="Q109" s="201">
        <f t="shared" si="213"/>
        <v>-37000</v>
      </c>
      <c r="R109" s="201">
        <f t="shared" si="213"/>
        <v>0</v>
      </c>
      <c r="S109" s="201">
        <f t="shared" si="213"/>
        <v>0</v>
      </c>
      <c r="T109" s="201">
        <f t="shared" si="213"/>
        <v>-37411.111111111109</v>
      </c>
      <c r="U109" s="201">
        <f t="shared" si="213"/>
        <v>0</v>
      </c>
      <c r="V109" s="201">
        <f t="shared" si="213"/>
        <v>0</v>
      </c>
      <c r="W109" s="201">
        <f t="shared" si="213"/>
        <v>-37822.222222222219</v>
      </c>
      <c r="X109" s="201">
        <f t="shared" si="213"/>
        <v>0</v>
      </c>
      <c r="Y109" s="201">
        <f t="shared" si="213"/>
        <v>0</v>
      </c>
      <c r="Z109" s="201">
        <f t="shared" si="213"/>
        <v>-37822.222222222219</v>
      </c>
      <c r="AA109" s="201">
        <f t="shared" si="213"/>
        <v>0</v>
      </c>
      <c r="AB109" s="201">
        <f t="shared" si="213"/>
        <v>0</v>
      </c>
      <c r="AC109" s="201">
        <f t="shared" si="213"/>
        <v>-37411.111111111117</v>
      </c>
      <c r="AD109" s="201">
        <f t="shared" si="213"/>
        <v>0</v>
      </c>
      <c r="AE109" s="201">
        <f t="shared" si="213"/>
        <v>0</v>
      </c>
      <c r="AF109" s="201">
        <f t="shared" si="213"/>
        <v>-37411.111111111109</v>
      </c>
      <c r="AG109" s="201">
        <f t="shared" si="213"/>
        <v>0</v>
      </c>
      <c r="AH109" s="201">
        <f t="shared" si="213"/>
        <v>0</v>
      </c>
      <c r="AI109" s="201">
        <f t="shared" si="213"/>
        <v>-37822.222222222219</v>
      </c>
      <c r="AJ109" s="201">
        <f t="shared" si="213"/>
        <v>0</v>
      </c>
      <c r="AK109" s="201">
        <f t="shared" si="213"/>
        <v>0</v>
      </c>
      <c r="AL109" s="201">
        <f t="shared" si="213"/>
        <v>-37822.222222222219</v>
      </c>
      <c r="AM109" s="201">
        <f t="shared" si="213"/>
        <v>0</v>
      </c>
      <c r="AN109" s="201">
        <f t="shared" si="213"/>
        <v>0</v>
      </c>
      <c r="AO109" s="201">
        <f t="shared" si="213"/>
        <v>-37000</v>
      </c>
      <c r="AP109" s="201">
        <f t="shared" si="213"/>
        <v>0</v>
      </c>
      <c r="AQ109" s="201">
        <f t="shared" si="213"/>
        <v>0</v>
      </c>
      <c r="AR109" s="201">
        <f t="shared" si="213"/>
        <v>-37411.111111111109</v>
      </c>
      <c r="AS109" s="201">
        <f t="shared" si="213"/>
        <v>0</v>
      </c>
      <c r="AT109" s="201">
        <f t="shared" si="213"/>
        <v>0</v>
      </c>
      <c r="AU109" s="201">
        <f t="shared" si="213"/>
        <v>-37822.222222222219</v>
      </c>
    </row>
    <row r="110" spans="1:47">
      <c r="A110" s="119">
        <f>ROW()</f>
        <v>110</v>
      </c>
      <c r="C110" s="477" t="s">
        <v>258</v>
      </c>
      <c r="D110" s="142"/>
      <c r="E110" s="200"/>
      <c r="F110" s="200"/>
      <c r="G110" s="200"/>
      <c r="H110" s="200"/>
      <c r="I110" s="479"/>
      <c r="J110" s="201"/>
      <c r="K110" s="200"/>
      <c r="L110" s="201">
        <f>MIN(L111,L112)</f>
        <v>0</v>
      </c>
      <c r="M110" s="201">
        <f t="shared" ref="M110:AU110" si="214">MIN(M111,M112)</f>
        <v>0</v>
      </c>
      <c r="N110" s="201">
        <f t="shared" si="214"/>
        <v>37822.222222222219</v>
      </c>
      <c r="O110" s="201">
        <f t="shared" si="214"/>
        <v>0</v>
      </c>
      <c r="P110" s="201">
        <f t="shared" si="214"/>
        <v>0</v>
      </c>
      <c r="Q110" s="201">
        <f t="shared" si="214"/>
        <v>37000</v>
      </c>
      <c r="R110" s="201">
        <f t="shared" si="214"/>
        <v>0</v>
      </c>
      <c r="S110" s="201">
        <f t="shared" si="214"/>
        <v>0</v>
      </c>
      <c r="T110" s="201">
        <f t="shared" si="214"/>
        <v>37411.111111111109</v>
      </c>
      <c r="U110" s="201">
        <f t="shared" si="214"/>
        <v>0</v>
      </c>
      <c r="V110" s="201">
        <f t="shared" si="214"/>
        <v>0</v>
      </c>
      <c r="W110" s="201">
        <f t="shared" si="214"/>
        <v>37822.222222222219</v>
      </c>
      <c r="X110" s="201">
        <f t="shared" si="214"/>
        <v>0</v>
      </c>
      <c r="Y110" s="201">
        <f t="shared" si="214"/>
        <v>0</v>
      </c>
      <c r="Z110" s="201">
        <f t="shared" si="214"/>
        <v>37822.222222222219</v>
      </c>
      <c r="AA110" s="201">
        <f t="shared" si="214"/>
        <v>0</v>
      </c>
      <c r="AB110" s="201">
        <f t="shared" si="214"/>
        <v>0</v>
      </c>
      <c r="AC110" s="201">
        <f t="shared" si="214"/>
        <v>37411.111111111117</v>
      </c>
      <c r="AD110" s="201">
        <f t="shared" si="214"/>
        <v>0</v>
      </c>
      <c r="AE110" s="201">
        <f t="shared" si="214"/>
        <v>0</v>
      </c>
      <c r="AF110" s="201">
        <f t="shared" si="214"/>
        <v>37411.111111111109</v>
      </c>
      <c r="AG110" s="201">
        <f t="shared" si="214"/>
        <v>0</v>
      </c>
      <c r="AH110" s="201">
        <f t="shared" si="214"/>
        <v>0</v>
      </c>
      <c r="AI110" s="201">
        <f t="shared" si="214"/>
        <v>37822.222222222219</v>
      </c>
      <c r="AJ110" s="201">
        <f t="shared" si="214"/>
        <v>0</v>
      </c>
      <c r="AK110" s="201">
        <f t="shared" si="214"/>
        <v>0</v>
      </c>
      <c r="AL110" s="201">
        <f t="shared" si="214"/>
        <v>37822.222222222219</v>
      </c>
      <c r="AM110" s="201">
        <f t="shared" si="214"/>
        <v>0</v>
      </c>
      <c r="AN110" s="201">
        <f t="shared" si="214"/>
        <v>0</v>
      </c>
      <c r="AO110" s="201">
        <f t="shared" si="214"/>
        <v>37000</v>
      </c>
      <c r="AP110" s="201">
        <f t="shared" si="214"/>
        <v>0</v>
      </c>
      <c r="AQ110" s="201">
        <f t="shared" si="214"/>
        <v>0</v>
      </c>
      <c r="AR110" s="201">
        <f t="shared" si="214"/>
        <v>37411.111111111109</v>
      </c>
      <c r="AS110" s="201">
        <f t="shared" si="214"/>
        <v>0</v>
      </c>
      <c r="AT110" s="201">
        <f t="shared" si="214"/>
        <v>0</v>
      </c>
      <c r="AU110" s="201">
        <f t="shared" si="214"/>
        <v>37822.222222222219</v>
      </c>
    </row>
    <row r="111" spans="1:47" hidden="1" outlineLevel="1">
      <c r="A111" s="119">
        <f>ROW()</f>
        <v>111</v>
      </c>
      <c r="C111" s="455" t="s">
        <v>261</v>
      </c>
      <c r="E111" s="123"/>
      <c r="F111" s="123"/>
      <c r="H111" s="123"/>
      <c r="I111" s="120" t="s">
        <v>262</v>
      </c>
      <c r="J111" s="118"/>
      <c r="K111" s="123"/>
      <c r="L111" s="118">
        <f>-L109</f>
        <v>0</v>
      </c>
      <c r="M111" s="118">
        <f t="shared" ref="M111:AU111" si="215">-M109</f>
        <v>0</v>
      </c>
      <c r="N111" s="118">
        <f t="shared" si="215"/>
        <v>37822.222222222219</v>
      </c>
      <c r="O111" s="118">
        <f t="shared" si="215"/>
        <v>0</v>
      </c>
      <c r="P111" s="118">
        <f t="shared" si="215"/>
        <v>0</v>
      </c>
      <c r="Q111" s="118">
        <f t="shared" si="215"/>
        <v>37000</v>
      </c>
      <c r="R111" s="118">
        <f t="shared" si="215"/>
        <v>0</v>
      </c>
      <c r="S111" s="118">
        <f t="shared" si="215"/>
        <v>0</v>
      </c>
      <c r="T111" s="118">
        <f t="shared" si="215"/>
        <v>37411.111111111109</v>
      </c>
      <c r="U111" s="118">
        <f t="shared" si="215"/>
        <v>0</v>
      </c>
      <c r="V111" s="118">
        <f t="shared" si="215"/>
        <v>0</v>
      </c>
      <c r="W111" s="118">
        <f t="shared" si="215"/>
        <v>37822.222222222219</v>
      </c>
      <c r="X111" s="118">
        <f t="shared" si="215"/>
        <v>0</v>
      </c>
      <c r="Y111" s="118">
        <f t="shared" si="215"/>
        <v>0</v>
      </c>
      <c r="Z111" s="118">
        <f t="shared" si="215"/>
        <v>37822.222222222219</v>
      </c>
      <c r="AA111" s="118">
        <f t="shared" si="215"/>
        <v>0</v>
      </c>
      <c r="AB111" s="118">
        <f t="shared" si="215"/>
        <v>0</v>
      </c>
      <c r="AC111" s="118">
        <f t="shared" si="215"/>
        <v>37411.111111111117</v>
      </c>
      <c r="AD111" s="118">
        <f t="shared" si="215"/>
        <v>0</v>
      </c>
      <c r="AE111" s="118">
        <f t="shared" si="215"/>
        <v>0</v>
      </c>
      <c r="AF111" s="118">
        <f t="shared" si="215"/>
        <v>37411.111111111109</v>
      </c>
      <c r="AG111" s="118">
        <f t="shared" si="215"/>
        <v>0</v>
      </c>
      <c r="AH111" s="118">
        <f t="shared" si="215"/>
        <v>0</v>
      </c>
      <c r="AI111" s="118">
        <f t="shared" si="215"/>
        <v>37822.222222222219</v>
      </c>
      <c r="AJ111" s="118">
        <f t="shared" si="215"/>
        <v>0</v>
      </c>
      <c r="AK111" s="118">
        <f t="shared" si="215"/>
        <v>0</v>
      </c>
      <c r="AL111" s="118">
        <f t="shared" si="215"/>
        <v>37822.222222222219</v>
      </c>
      <c r="AM111" s="118">
        <f t="shared" si="215"/>
        <v>0</v>
      </c>
      <c r="AN111" s="118">
        <f t="shared" si="215"/>
        <v>0</v>
      </c>
      <c r="AO111" s="118">
        <f t="shared" si="215"/>
        <v>37000</v>
      </c>
      <c r="AP111" s="118">
        <f t="shared" si="215"/>
        <v>0</v>
      </c>
      <c r="AQ111" s="118">
        <f t="shared" si="215"/>
        <v>0</v>
      </c>
      <c r="AR111" s="118">
        <f t="shared" si="215"/>
        <v>37411.111111111109</v>
      </c>
      <c r="AS111" s="118">
        <f t="shared" si="215"/>
        <v>0</v>
      </c>
      <c r="AT111" s="118">
        <f t="shared" si="215"/>
        <v>0</v>
      </c>
      <c r="AU111" s="118">
        <f t="shared" si="215"/>
        <v>37822.222222222219</v>
      </c>
    </row>
    <row r="112" spans="1:47" hidden="1" outlineLevel="1">
      <c r="A112" s="119">
        <f>ROW()</f>
        <v>112</v>
      </c>
      <c r="C112" s="455" t="s">
        <v>268</v>
      </c>
      <c r="E112" s="123"/>
      <c r="F112" s="123" t="s">
        <v>263</v>
      </c>
      <c r="G112" s="460">
        <f>'A&amp;R'!$H$13</f>
        <v>0.25</v>
      </c>
      <c r="H112" s="123"/>
      <c r="I112" s="127" t="s">
        <v>264</v>
      </c>
      <c r="J112" s="118"/>
      <c r="K112" s="123"/>
      <c r="L112" s="118">
        <f>L108*$G112</f>
        <v>0</v>
      </c>
      <c r="M112" s="118">
        <f t="shared" ref="M112:AU112" si="216">M108*$G112</f>
        <v>0</v>
      </c>
      <c r="N112" s="118">
        <f t="shared" si="216"/>
        <v>94555.555555555547</v>
      </c>
      <c r="O112" s="118">
        <f t="shared" si="216"/>
        <v>0</v>
      </c>
      <c r="P112" s="118">
        <f t="shared" si="216"/>
        <v>0</v>
      </c>
      <c r="Q112" s="118">
        <f t="shared" si="216"/>
        <v>92500</v>
      </c>
      <c r="R112" s="118">
        <f t="shared" si="216"/>
        <v>0</v>
      </c>
      <c r="S112" s="118">
        <f t="shared" si="216"/>
        <v>0</v>
      </c>
      <c r="T112" s="118">
        <f t="shared" si="216"/>
        <v>93527.777777777766</v>
      </c>
      <c r="U112" s="118">
        <f t="shared" si="216"/>
        <v>0</v>
      </c>
      <c r="V112" s="118">
        <f t="shared" si="216"/>
        <v>0</v>
      </c>
      <c r="W112" s="118">
        <f t="shared" si="216"/>
        <v>94555.555555555547</v>
      </c>
      <c r="X112" s="118">
        <f t="shared" si="216"/>
        <v>0</v>
      </c>
      <c r="Y112" s="118">
        <f t="shared" si="216"/>
        <v>0</v>
      </c>
      <c r="Z112" s="118">
        <f t="shared" si="216"/>
        <v>94555.555555555547</v>
      </c>
      <c r="AA112" s="118">
        <f t="shared" si="216"/>
        <v>0</v>
      </c>
      <c r="AB112" s="118">
        <f t="shared" si="216"/>
        <v>0</v>
      </c>
      <c r="AC112" s="118">
        <f t="shared" si="216"/>
        <v>93527.777777777781</v>
      </c>
      <c r="AD112" s="118">
        <f t="shared" si="216"/>
        <v>0</v>
      </c>
      <c r="AE112" s="118">
        <f t="shared" si="216"/>
        <v>0</v>
      </c>
      <c r="AF112" s="118">
        <f t="shared" si="216"/>
        <v>93527.777777777766</v>
      </c>
      <c r="AG112" s="118">
        <f t="shared" si="216"/>
        <v>0</v>
      </c>
      <c r="AH112" s="118">
        <f t="shared" si="216"/>
        <v>0</v>
      </c>
      <c r="AI112" s="118">
        <f t="shared" si="216"/>
        <v>94555.555555555547</v>
      </c>
      <c r="AJ112" s="118">
        <f t="shared" si="216"/>
        <v>0</v>
      </c>
      <c r="AK112" s="118">
        <f t="shared" si="216"/>
        <v>0</v>
      </c>
      <c r="AL112" s="118">
        <f t="shared" si="216"/>
        <v>94555.555555555547</v>
      </c>
      <c r="AM112" s="118">
        <f t="shared" si="216"/>
        <v>0</v>
      </c>
      <c r="AN112" s="118">
        <f t="shared" si="216"/>
        <v>0</v>
      </c>
      <c r="AO112" s="118">
        <f t="shared" si="216"/>
        <v>92500</v>
      </c>
      <c r="AP112" s="118">
        <f t="shared" si="216"/>
        <v>0</v>
      </c>
      <c r="AQ112" s="118">
        <f t="shared" si="216"/>
        <v>0</v>
      </c>
      <c r="AR112" s="118">
        <f t="shared" si="216"/>
        <v>93527.777777777766</v>
      </c>
      <c r="AS112" s="118">
        <f t="shared" si="216"/>
        <v>0</v>
      </c>
      <c r="AT112" s="118">
        <f t="shared" si="216"/>
        <v>0</v>
      </c>
      <c r="AU112" s="118">
        <f t="shared" si="216"/>
        <v>94555.555555555547</v>
      </c>
    </row>
    <row r="113" spans="1:47" collapsed="1">
      <c r="A113" s="119">
        <f>ROW()</f>
        <v>113</v>
      </c>
      <c r="C113" s="304" t="s">
        <v>87</v>
      </c>
      <c r="D113" s="307"/>
      <c r="E113" s="308"/>
      <c r="F113" s="305"/>
      <c r="G113" s="307"/>
      <c r="H113" s="307"/>
      <c r="I113" s="307"/>
      <c r="J113" s="305">
        <f>SUM(K113:AU113)</f>
        <v>0</v>
      </c>
      <c r="K113" s="305">
        <f>SUM(K114:K115)</f>
        <v>-37000000</v>
      </c>
      <c r="L113" s="305">
        <f t="shared" ref="L113:AU113" si="217">SUM(L114:L115)</f>
        <v>0</v>
      </c>
      <c r="M113" s="305">
        <f t="shared" si="217"/>
        <v>0</v>
      </c>
      <c r="N113" s="305">
        <f t="shared" si="217"/>
        <v>0</v>
      </c>
      <c r="O113" s="305">
        <f t="shared" si="217"/>
        <v>0</v>
      </c>
      <c r="P113" s="305">
        <f t="shared" si="217"/>
        <v>0</v>
      </c>
      <c r="Q113" s="305">
        <f t="shared" si="217"/>
        <v>0</v>
      </c>
      <c r="R113" s="305">
        <f t="shared" si="217"/>
        <v>0</v>
      </c>
      <c r="S113" s="305">
        <f t="shared" si="217"/>
        <v>0</v>
      </c>
      <c r="T113" s="305">
        <f t="shared" si="217"/>
        <v>0</v>
      </c>
      <c r="U113" s="305">
        <f t="shared" si="217"/>
        <v>0</v>
      </c>
      <c r="V113" s="305">
        <f t="shared" si="217"/>
        <v>0</v>
      </c>
      <c r="W113" s="305">
        <f t="shared" si="217"/>
        <v>0</v>
      </c>
      <c r="X113" s="305">
        <f t="shared" si="217"/>
        <v>0</v>
      </c>
      <c r="Y113" s="305">
        <f t="shared" si="217"/>
        <v>0</v>
      </c>
      <c r="Z113" s="305">
        <f t="shared" si="217"/>
        <v>0</v>
      </c>
      <c r="AA113" s="305">
        <f t="shared" si="217"/>
        <v>0</v>
      </c>
      <c r="AB113" s="305">
        <f t="shared" si="217"/>
        <v>0</v>
      </c>
      <c r="AC113" s="305">
        <f t="shared" si="217"/>
        <v>0</v>
      </c>
      <c r="AD113" s="305">
        <f t="shared" si="217"/>
        <v>0</v>
      </c>
      <c r="AE113" s="305">
        <f t="shared" si="217"/>
        <v>0</v>
      </c>
      <c r="AF113" s="305">
        <f t="shared" si="217"/>
        <v>0</v>
      </c>
      <c r="AG113" s="305">
        <f t="shared" si="217"/>
        <v>0</v>
      </c>
      <c r="AH113" s="305">
        <f t="shared" si="217"/>
        <v>0</v>
      </c>
      <c r="AI113" s="305">
        <f t="shared" si="217"/>
        <v>0</v>
      </c>
      <c r="AJ113" s="305">
        <f t="shared" si="217"/>
        <v>0</v>
      </c>
      <c r="AK113" s="305">
        <f t="shared" si="217"/>
        <v>0</v>
      </c>
      <c r="AL113" s="305">
        <f t="shared" si="217"/>
        <v>0</v>
      </c>
      <c r="AM113" s="305">
        <f t="shared" si="217"/>
        <v>0</v>
      </c>
      <c r="AN113" s="305">
        <f t="shared" si="217"/>
        <v>0</v>
      </c>
      <c r="AO113" s="305">
        <f t="shared" si="217"/>
        <v>0</v>
      </c>
      <c r="AP113" s="305">
        <f t="shared" si="217"/>
        <v>0</v>
      </c>
      <c r="AQ113" s="305">
        <f t="shared" si="217"/>
        <v>0</v>
      </c>
      <c r="AR113" s="305">
        <f t="shared" si="217"/>
        <v>0</v>
      </c>
      <c r="AS113" s="305">
        <f t="shared" si="217"/>
        <v>0</v>
      </c>
      <c r="AT113" s="305">
        <f t="shared" si="217"/>
        <v>0</v>
      </c>
      <c r="AU113" s="305">
        <f t="shared" si="217"/>
        <v>37000000</v>
      </c>
    </row>
    <row r="114" spans="1:47">
      <c r="A114" s="119">
        <f>ROW()</f>
        <v>114</v>
      </c>
      <c r="C114" s="133" t="s">
        <v>256</v>
      </c>
      <c r="G114" s="292">
        <f>-'A&amp;R'!G50</f>
        <v>-37000000</v>
      </c>
      <c r="J114" s="126">
        <f>SUM(K114:AU114)</f>
        <v>-37000000</v>
      </c>
      <c r="K114" s="476">
        <f>G114</f>
        <v>-37000000</v>
      </c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</row>
    <row r="115" spans="1:47">
      <c r="A115" s="119">
        <f>ROW()</f>
        <v>115</v>
      </c>
      <c r="C115" s="135" t="s">
        <v>257</v>
      </c>
      <c r="D115" s="125"/>
      <c r="E115" s="125"/>
      <c r="F115" s="296">
        <f>'A&amp;R'!$H$8</f>
        <v>44469</v>
      </c>
      <c r="G115" s="289">
        <f>-G114</f>
        <v>37000000</v>
      </c>
      <c r="H115" s="129"/>
      <c r="I115" s="125"/>
      <c r="J115" s="129">
        <f>SUM(K115:AU115)</f>
        <v>37000000</v>
      </c>
      <c r="K115" s="136"/>
      <c r="L115" s="138">
        <f>($F115=L$14)*$G115</f>
        <v>0</v>
      </c>
      <c r="M115" s="138">
        <f t="shared" ref="M115:AU115" si="218">($F115=M$14)*$G115</f>
        <v>0</v>
      </c>
      <c r="N115" s="138">
        <f t="shared" si="218"/>
        <v>0</v>
      </c>
      <c r="O115" s="138">
        <f t="shared" si="218"/>
        <v>0</v>
      </c>
      <c r="P115" s="138">
        <f t="shared" si="218"/>
        <v>0</v>
      </c>
      <c r="Q115" s="138">
        <f t="shared" si="218"/>
        <v>0</v>
      </c>
      <c r="R115" s="138">
        <f t="shared" si="218"/>
        <v>0</v>
      </c>
      <c r="S115" s="138">
        <f t="shared" si="218"/>
        <v>0</v>
      </c>
      <c r="T115" s="138">
        <f t="shared" si="218"/>
        <v>0</v>
      </c>
      <c r="U115" s="138">
        <f t="shared" si="218"/>
        <v>0</v>
      </c>
      <c r="V115" s="138">
        <f t="shared" si="218"/>
        <v>0</v>
      </c>
      <c r="W115" s="138">
        <f t="shared" si="218"/>
        <v>0</v>
      </c>
      <c r="X115" s="138">
        <f t="shared" si="218"/>
        <v>0</v>
      </c>
      <c r="Y115" s="138">
        <f t="shared" si="218"/>
        <v>0</v>
      </c>
      <c r="Z115" s="138">
        <f t="shared" si="218"/>
        <v>0</v>
      </c>
      <c r="AA115" s="138">
        <f t="shared" si="218"/>
        <v>0</v>
      </c>
      <c r="AB115" s="138">
        <f t="shared" si="218"/>
        <v>0</v>
      </c>
      <c r="AC115" s="138">
        <f t="shared" si="218"/>
        <v>0</v>
      </c>
      <c r="AD115" s="138">
        <f t="shared" si="218"/>
        <v>0</v>
      </c>
      <c r="AE115" s="138">
        <f t="shared" si="218"/>
        <v>0</v>
      </c>
      <c r="AF115" s="138">
        <f t="shared" si="218"/>
        <v>0</v>
      </c>
      <c r="AG115" s="138">
        <f t="shared" si="218"/>
        <v>0</v>
      </c>
      <c r="AH115" s="138">
        <f t="shared" si="218"/>
        <v>0</v>
      </c>
      <c r="AI115" s="138">
        <f t="shared" si="218"/>
        <v>0</v>
      </c>
      <c r="AJ115" s="138">
        <f t="shared" si="218"/>
        <v>0</v>
      </c>
      <c r="AK115" s="138">
        <f t="shared" si="218"/>
        <v>0</v>
      </c>
      <c r="AL115" s="138">
        <f t="shared" si="218"/>
        <v>0</v>
      </c>
      <c r="AM115" s="138">
        <f t="shared" si="218"/>
        <v>0</v>
      </c>
      <c r="AN115" s="138">
        <f t="shared" si="218"/>
        <v>0</v>
      </c>
      <c r="AO115" s="138">
        <f t="shared" si="218"/>
        <v>0</v>
      </c>
      <c r="AP115" s="138">
        <f t="shared" si="218"/>
        <v>0</v>
      </c>
      <c r="AQ115" s="138">
        <f t="shared" si="218"/>
        <v>0</v>
      </c>
      <c r="AR115" s="138">
        <f t="shared" si="218"/>
        <v>0</v>
      </c>
      <c r="AS115" s="138">
        <f t="shared" si="218"/>
        <v>0</v>
      </c>
      <c r="AT115" s="138">
        <f t="shared" si="218"/>
        <v>0</v>
      </c>
      <c r="AU115" s="138">
        <f t="shared" si="218"/>
        <v>37000000</v>
      </c>
    </row>
    <row r="116" spans="1:47">
      <c r="A116" s="119">
        <f>ROW()</f>
        <v>116</v>
      </c>
      <c r="C116" s="301" t="s">
        <v>252</v>
      </c>
      <c r="D116" s="302"/>
      <c r="E116" s="302"/>
      <c r="F116" s="302"/>
      <c r="G116" s="302"/>
      <c r="H116" s="302"/>
      <c r="I116" s="302"/>
      <c r="J116" s="303">
        <f t="shared" ref="J116:AO116" si="219">J106+J113</f>
        <v>4505777.7777777771</v>
      </c>
      <c r="K116" s="303">
        <f t="shared" si="219"/>
        <v>-37000000</v>
      </c>
      <c r="L116" s="303">
        <f t="shared" si="219"/>
        <v>0</v>
      </c>
      <c r="M116" s="303">
        <f t="shared" si="219"/>
        <v>0</v>
      </c>
      <c r="N116" s="303">
        <f t="shared" si="219"/>
        <v>378222.22222222225</v>
      </c>
      <c r="O116" s="303">
        <f t="shared" si="219"/>
        <v>0</v>
      </c>
      <c r="P116" s="303">
        <f t="shared" si="219"/>
        <v>0</v>
      </c>
      <c r="Q116" s="303">
        <f t="shared" si="219"/>
        <v>370000</v>
      </c>
      <c r="R116" s="303">
        <f t="shared" si="219"/>
        <v>0</v>
      </c>
      <c r="S116" s="303">
        <f t="shared" si="219"/>
        <v>0</v>
      </c>
      <c r="T116" s="303">
        <f t="shared" si="219"/>
        <v>374111.11111111107</v>
      </c>
      <c r="U116" s="303">
        <f t="shared" si="219"/>
        <v>0</v>
      </c>
      <c r="V116" s="303">
        <f t="shared" si="219"/>
        <v>0</v>
      </c>
      <c r="W116" s="303">
        <f t="shared" si="219"/>
        <v>378222.22222222225</v>
      </c>
      <c r="X116" s="303">
        <f t="shared" si="219"/>
        <v>0</v>
      </c>
      <c r="Y116" s="303">
        <f t="shared" si="219"/>
        <v>0</v>
      </c>
      <c r="Z116" s="303">
        <f t="shared" si="219"/>
        <v>378222.22222222225</v>
      </c>
      <c r="AA116" s="303">
        <f t="shared" si="219"/>
        <v>0</v>
      </c>
      <c r="AB116" s="303">
        <f t="shared" si="219"/>
        <v>0</v>
      </c>
      <c r="AC116" s="303">
        <f t="shared" si="219"/>
        <v>374111.11111111112</v>
      </c>
      <c r="AD116" s="303">
        <f t="shared" si="219"/>
        <v>0</v>
      </c>
      <c r="AE116" s="303">
        <f t="shared" si="219"/>
        <v>0</v>
      </c>
      <c r="AF116" s="303">
        <f t="shared" si="219"/>
        <v>374111.11111111107</v>
      </c>
      <c r="AG116" s="303">
        <f t="shared" si="219"/>
        <v>0</v>
      </c>
      <c r="AH116" s="303">
        <f t="shared" si="219"/>
        <v>0</v>
      </c>
      <c r="AI116" s="303">
        <f t="shared" si="219"/>
        <v>378222.22222222225</v>
      </c>
      <c r="AJ116" s="303">
        <f t="shared" si="219"/>
        <v>0</v>
      </c>
      <c r="AK116" s="303">
        <f t="shared" si="219"/>
        <v>0</v>
      </c>
      <c r="AL116" s="303">
        <f t="shared" si="219"/>
        <v>378222.22222222225</v>
      </c>
      <c r="AM116" s="303">
        <f t="shared" si="219"/>
        <v>0</v>
      </c>
      <c r="AN116" s="303">
        <f t="shared" si="219"/>
        <v>0</v>
      </c>
      <c r="AO116" s="303">
        <f t="shared" si="219"/>
        <v>370000</v>
      </c>
      <c r="AP116" s="303">
        <f t="shared" ref="AP116:AU116" si="220">AP106+AP113</f>
        <v>0</v>
      </c>
      <c r="AQ116" s="303">
        <f t="shared" si="220"/>
        <v>0</v>
      </c>
      <c r="AR116" s="303">
        <f t="shared" si="220"/>
        <v>374111.11111111107</v>
      </c>
      <c r="AS116" s="303">
        <f t="shared" si="220"/>
        <v>0</v>
      </c>
      <c r="AT116" s="303">
        <f t="shared" si="220"/>
        <v>0</v>
      </c>
      <c r="AU116" s="303">
        <f t="shared" si="220"/>
        <v>37378222.222222224</v>
      </c>
    </row>
    <row r="117" spans="1:47" ht="12" thickBot="1">
      <c r="E117" s="149"/>
      <c r="F117" s="146"/>
      <c r="G117" s="146"/>
      <c r="H117" s="146"/>
      <c r="I117" s="142"/>
      <c r="Q117" s="126"/>
    </row>
    <row r="118" spans="1:47">
      <c r="E118" s="149"/>
      <c r="F118" s="146"/>
      <c r="G118" s="146"/>
      <c r="H118" s="146"/>
      <c r="I118" s="142"/>
      <c r="J118" s="297" t="s">
        <v>88</v>
      </c>
      <c r="K118" s="298">
        <f>(-J106/J114)*(365/J105)</f>
        <v>4.0555555555555553E-2</v>
      </c>
      <c r="Q118" s="126"/>
    </row>
    <row r="119" spans="1:47" ht="12" thickBot="1">
      <c r="E119" s="149"/>
      <c r="F119" s="146"/>
      <c r="G119" s="146"/>
      <c r="H119" s="146"/>
      <c r="I119" s="142"/>
      <c r="J119" s="299" t="s">
        <v>10</v>
      </c>
      <c r="K119" s="300">
        <f>XIRR(K116:AU116,K14:AU14)</f>
        <v>4.1176310181617742E-2</v>
      </c>
      <c r="Q119" s="126"/>
    </row>
    <row r="120" spans="1:47">
      <c r="E120" s="149"/>
      <c r="F120" s="146"/>
      <c r="G120" s="146"/>
      <c r="H120" s="146"/>
      <c r="I120" s="142"/>
      <c r="Q120" s="126"/>
    </row>
    <row r="121" spans="1:47">
      <c r="E121" s="149"/>
      <c r="F121" s="146"/>
      <c r="G121" s="146"/>
      <c r="H121" s="146"/>
      <c r="I121" s="142"/>
      <c r="Q121" s="126"/>
    </row>
    <row r="122" spans="1:47" hidden="1">
      <c r="E122" s="149"/>
      <c r="F122" s="146"/>
      <c r="G122" s="146"/>
      <c r="H122" s="146"/>
      <c r="I122" s="142"/>
      <c r="Q122" s="126"/>
    </row>
    <row r="123" spans="1:47" hidden="1">
      <c r="B123" s="284" t="s">
        <v>285</v>
      </c>
      <c r="C123" s="284"/>
      <c r="G123" s="295">
        <f>'A&amp;R'!H11</f>
        <v>820</v>
      </c>
      <c r="J123" s="483">
        <v>1000</v>
      </c>
    </row>
    <row r="124" spans="1:47" hidden="1" outlineLevel="1">
      <c r="I124" s="120" t="s">
        <v>84</v>
      </c>
      <c r="J124" s="118">
        <f>SUM(L124:AU124)</f>
        <v>1096</v>
      </c>
      <c r="L124" s="139">
        <f t="shared" ref="L124:AU124" si="221">(L$14-K$14)*L$9</f>
        <v>31</v>
      </c>
      <c r="M124" s="119">
        <f t="shared" si="221"/>
        <v>30</v>
      </c>
      <c r="N124" s="119">
        <f t="shared" si="221"/>
        <v>31</v>
      </c>
      <c r="O124" s="119">
        <f t="shared" si="221"/>
        <v>31</v>
      </c>
      <c r="P124" s="119">
        <f t="shared" si="221"/>
        <v>28</v>
      </c>
      <c r="Q124" s="119">
        <f t="shared" si="221"/>
        <v>31</v>
      </c>
      <c r="R124" s="119">
        <f t="shared" si="221"/>
        <v>30</v>
      </c>
      <c r="S124" s="119">
        <f t="shared" si="221"/>
        <v>31</v>
      </c>
      <c r="T124" s="119">
        <f t="shared" si="221"/>
        <v>30</v>
      </c>
      <c r="U124" s="119">
        <f t="shared" si="221"/>
        <v>31</v>
      </c>
      <c r="V124" s="119">
        <f t="shared" si="221"/>
        <v>31</v>
      </c>
      <c r="W124" s="119">
        <f t="shared" si="221"/>
        <v>30</v>
      </c>
      <c r="X124" s="119">
        <f t="shared" si="221"/>
        <v>31</v>
      </c>
      <c r="Y124" s="119">
        <f t="shared" si="221"/>
        <v>30</v>
      </c>
      <c r="Z124" s="119">
        <f t="shared" si="221"/>
        <v>31</v>
      </c>
      <c r="AA124" s="119">
        <f t="shared" si="221"/>
        <v>31</v>
      </c>
      <c r="AB124" s="119">
        <f t="shared" si="221"/>
        <v>29</v>
      </c>
      <c r="AC124" s="119">
        <f t="shared" si="221"/>
        <v>31</v>
      </c>
      <c r="AD124" s="119">
        <f t="shared" si="221"/>
        <v>30</v>
      </c>
      <c r="AE124" s="119">
        <f t="shared" si="221"/>
        <v>31</v>
      </c>
      <c r="AF124" s="119">
        <f t="shared" si="221"/>
        <v>30</v>
      </c>
      <c r="AG124" s="119">
        <f t="shared" si="221"/>
        <v>31</v>
      </c>
      <c r="AH124" s="119">
        <f t="shared" si="221"/>
        <v>31</v>
      </c>
      <c r="AI124" s="119">
        <f t="shared" si="221"/>
        <v>30</v>
      </c>
      <c r="AJ124" s="119">
        <f t="shared" si="221"/>
        <v>31</v>
      </c>
      <c r="AK124" s="119">
        <f t="shared" si="221"/>
        <v>30</v>
      </c>
      <c r="AL124" s="119">
        <f t="shared" si="221"/>
        <v>31</v>
      </c>
      <c r="AM124" s="119">
        <f t="shared" si="221"/>
        <v>31</v>
      </c>
      <c r="AN124" s="119">
        <f t="shared" si="221"/>
        <v>28</v>
      </c>
      <c r="AO124" s="119">
        <f t="shared" si="221"/>
        <v>31</v>
      </c>
      <c r="AP124" s="119">
        <f t="shared" si="221"/>
        <v>30</v>
      </c>
      <c r="AQ124" s="119">
        <f t="shared" si="221"/>
        <v>31</v>
      </c>
      <c r="AR124" s="119">
        <f t="shared" si="221"/>
        <v>30</v>
      </c>
      <c r="AS124" s="119">
        <f t="shared" si="221"/>
        <v>31</v>
      </c>
      <c r="AT124" s="119">
        <f t="shared" si="221"/>
        <v>31</v>
      </c>
      <c r="AU124" s="119">
        <f t="shared" si="221"/>
        <v>30</v>
      </c>
    </row>
    <row r="125" spans="1:47" hidden="1" collapsed="1">
      <c r="A125" s="119">
        <f>ROW()</f>
        <v>125</v>
      </c>
      <c r="C125" s="304" t="s">
        <v>85</v>
      </c>
      <c r="D125" s="304"/>
      <c r="E125" s="304"/>
      <c r="F125" s="304"/>
      <c r="G125" s="304"/>
      <c r="H125" s="304"/>
      <c r="I125" s="304"/>
      <c r="J125" s="305">
        <f>SUM(K125:AU125)</f>
        <v>3694737.7777777771</v>
      </c>
      <c r="K125" s="304"/>
      <c r="L125" s="306">
        <f t="shared" ref="L125:AQ125" si="222">L126+L131</f>
        <v>0</v>
      </c>
      <c r="M125" s="306">
        <f t="shared" si="222"/>
        <v>0</v>
      </c>
      <c r="N125" s="306">
        <f t="shared" si="222"/>
        <v>310142.22222222225</v>
      </c>
      <c r="O125" s="306">
        <f t="shared" si="222"/>
        <v>0</v>
      </c>
      <c r="P125" s="306">
        <f t="shared" si="222"/>
        <v>0</v>
      </c>
      <c r="Q125" s="306">
        <f t="shared" si="222"/>
        <v>303400</v>
      </c>
      <c r="R125" s="306">
        <f t="shared" si="222"/>
        <v>0</v>
      </c>
      <c r="S125" s="306">
        <f t="shared" si="222"/>
        <v>0</v>
      </c>
      <c r="T125" s="306">
        <f t="shared" si="222"/>
        <v>306771.11111111107</v>
      </c>
      <c r="U125" s="306">
        <f t="shared" si="222"/>
        <v>0</v>
      </c>
      <c r="V125" s="306">
        <f t="shared" si="222"/>
        <v>0</v>
      </c>
      <c r="W125" s="306">
        <f t="shared" si="222"/>
        <v>310142.22222222225</v>
      </c>
      <c r="X125" s="306">
        <f t="shared" si="222"/>
        <v>0</v>
      </c>
      <c r="Y125" s="306">
        <f t="shared" si="222"/>
        <v>0</v>
      </c>
      <c r="Z125" s="306">
        <f t="shared" si="222"/>
        <v>310142.22222222225</v>
      </c>
      <c r="AA125" s="306">
        <f t="shared" si="222"/>
        <v>0</v>
      </c>
      <c r="AB125" s="306">
        <f t="shared" si="222"/>
        <v>0</v>
      </c>
      <c r="AC125" s="306">
        <f t="shared" si="222"/>
        <v>306771.11111111112</v>
      </c>
      <c r="AD125" s="306">
        <f t="shared" si="222"/>
        <v>0</v>
      </c>
      <c r="AE125" s="306">
        <f t="shared" si="222"/>
        <v>0</v>
      </c>
      <c r="AF125" s="306">
        <f t="shared" si="222"/>
        <v>306771.11111111107</v>
      </c>
      <c r="AG125" s="306">
        <f t="shared" si="222"/>
        <v>0</v>
      </c>
      <c r="AH125" s="306">
        <f t="shared" si="222"/>
        <v>0</v>
      </c>
      <c r="AI125" s="306">
        <f t="shared" si="222"/>
        <v>310142.22222222225</v>
      </c>
      <c r="AJ125" s="306">
        <f t="shared" si="222"/>
        <v>0</v>
      </c>
      <c r="AK125" s="306">
        <f t="shared" si="222"/>
        <v>0</v>
      </c>
      <c r="AL125" s="306">
        <f t="shared" si="222"/>
        <v>310142.22222222225</v>
      </c>
      <c r="AM125" s="306">
        <f t="shared" si="222"/>
        <v>0</v>
      </c>
      <c r="AN125" s="306">
        <f t="shared" si="222"/>
        <v>0</v>
      </c>
      <c r="AO125" s="306">
        <f t="shared" si="222"/>
        <v>303400</v>
      </c>
      <c r="AP125" s="306">
        <f t="shared" si="222"/>
        <v>0</v>
      </c>
      <c r="AQ125" s="306">
        <f t="shared" si="222"/>
        <v>0</v>
      </c>
      <c r="AR125" s="306">
        <f t="shared" ref="AR125:AU125" si="223">AR126+AR131</f>
        <v>306771.11111111107</v>
      </c>
      <c r="AS125" s="306">
        <f t="shared" si="223"/>
        <v>0</v>
      </c>
      <c r="AT125" s="306">
        <f t="shared" si="223"/>
        <v>0</v>
      </c>
      <c r="AU125" s="306">
        <f t="shared" si="223"/>
        <v>310142.22222222225</v>
      </c>
    </row>
    <row r="126" spans="1:47" hidden="1">
      <c r="A126" s="119">
        <f>ROW()</f>
        <v>126</v>
      </c>
      <c r="C126" s="466" t="s">
        <v>265</v>
      </c>
      <c r="D126" s="465"/>
      <c r="E126" s="462"/>
      <c r="F126" s="462"/>
      <c r="G126" s="465"/>
      <c r="H126" s="465"/>
      <c r="I126" s="463"/>
      <c r="J126" s="464">
        <f>SUM(K126:AU126)</f>
        <v>3325264</v>
      </c>
      <c r="K126" s="462"/>
      <c r="L126" s="464">
        <f>L127*L128/$J123</f>
        <v>0</v>
      </c>
      <c r="M126" s="464">
        <f t="shared" ref="M126:AU126" si="224">M127*M128/$J123</f>
        <v>0</v>
      </c>
      <c r="N126" s="464">
        <f t="shared" si="224"/>
        <v>279128</v>
      </c>
      <c r="O126" s="464">
        <f t="shared" si="224"/>
        <v>0</v>
      </c>
      <c r="P126" s="464">
        <f t="shared" si="224"/>
        <v>0</v>
      </c>
      <c r="Q126" s="464">
        <f t="shared" si="224"/>
        <v>273060</v>
      </c>
      <c r="R126" s="464">
        <f t="shared" si="224"/>
        <v>0</v>
      </c>
      <c r="S126" s="464">
        <f t="shared" si="224"/>
        <v>0</v>
      </c>
      <c r="T126" s="464">
        <f t="shared" si="224"/>
        <v>276093.99999999994</v>
      </c>
      <c r="U126" s="464">
        <f t="shared" si="224"/>
        <v>0</v>
      </c>
      <c r="V126" s="464">
        <f t="shared" si="224"/>
        <v>0</v>
      </c>
      <c r="W126" s="464">
        <f t="shared" si="224"/>
        <v>279128</v>
      </c>
      <c r="X126" s="464">
        <f t="shared" si="224"/>
        <v>0</v>
      </c>
      <c r="Y126" s="464">
        <f t="shared" si="224"/>
        <v>0</v>
      </c>
      <c r="Z126" s="464">
        <f t="shared" si="224"/>
        <v>279128</v>
      </c>
      <c r="AA126" s="464">
        <f t="shared" si="224"/>
        <v>0</v>
      </c>
      <c r="AB126" s="464">
        <f t="shared" si="224"/>
        <v>0</v>
      </c>
      <c r="AC126" s="464">
        <f t="shared" si="224"/>
        <v>276094</v>
      </c>
      <c r="AD126" s="464">
        <f t="shared" si="224"/>
        <v>0</v>
      </c>
      <c r="AE126" s="464">
        <f t="shared" si="224"/>
        <v>0</v>
      </c>
      <c r="AF126" s="464">
        <f t="shared" si="224"/>
        <v>276093.99999999994</v>
      </c>
      <c r="AG126" s="464">
        <f t="shared" si="224"/>
        <v>0</v>
      </c>
      <c r="AH126" s="464">
        <f t="shared" si="224"/>
        <v>0</v>
      </c>
      <c r="AI126" s="464">
        <f t="shared" si="224"/>
        <v>279128</v>
      </c>
      <c r="AJ126" s="464">
        <f t="shared" si="224"/>
        <v>0</v>
      </c>
      <c r="AK126" s="464">
        <f t="shared" si="224"/>
        <v>0</v>
      </c>
      <c r="AL126" s="464">
        <f t="shared" si="224"/>
        <v>279128</v>
      </c>
      <c r="AM126" s="464">
        <f t="shared" si="224"/>
        <v>0</v>
      </c>
      <c r="AN126" s="464">
        <f t="shared" si="224"/>
        <v>0</v>
      </c>
      <c r="AO126" s="464">
        <f t="shared" si="224"/>
        <v>273060</v>
      </c>
      <c r="AP126" s="464">
        <f t="shared" si="224"/>
        <v>0</v>
      </c>
      <c r="AQ126" s="464">
        <f t="shared" si="224"/>
        <v>0</v>
      </c>
      <c r="AR126" s="464">
        <f t="shared" si="224"/>
        <v>276093.99999999994</v>
      </c>
      <c r="AS126" s="464">
        <f t="shared" si="224"/>
        <v>0</v>
      </c>
      <c r="AT126" s="464">
        <f t="shared" si="224"/>
        <v>0</v>
      </c>
      <c r="AU126" s="464">
        <f t="shared" si="224"/>
        <v>279128</v>
      </c>
    </row>
    <row r="127" spans="1:47" hidden="1">
      <c r="A127" s="119">
        <f>ROW()</f>
        <v>127</v>
      </c>
      <c r="C127" s="455" t="s">
        <v>266</v>
      </c>
      <c r="D127" s="122"/>
      <c r="E127" s="123"/>
      <c r="F127" s="123"/>
      <c r="G127" s="122"/>
      <c r="H127" s="122"/>
      <c r="I127" s="124"/>
      <c r="J127" s="118"/>
      <c r="K127" s="123"/>
      <c r="L127" s="456">
        <f>G123</f>
        <v>820</v>
      </c>
      <c r="M127" s="456">
        <f>L127</f>
        <v>820</v>
      </c>
      <c r="N127" s="456">
        <f t="shared" ref="N127:AU127" si="225">M127</f>
        <v>820</v>
      </c>
      <c r="O127" s="456">
        <f t="shared" si="225"/>
        <v>820</v>
      </c>
      <c r="P127" s="456">
        <f t="shared" si="225"/>
        <v>820</v>
      </c>
      <c r="Q127" s="456">
        <f t="shared" si="225"/>
        <v>820</v>
      </c>
      <c r="R127" s="456">
        <f t="shared" si="225"/>
        <v>820</v>
      </c>
      <c r="S127" s="456">
        <f t="shared" si="225"/>
        <v>820</v>
      </c>
      <c r="T127" s="456">
        <f t="shared" si="225"/>
        <v>820</v>
      </c>
      <c r="U127" s="456">
        <f t="shared" si="225"/>
        <v>820</v>
      </c>
      <c r="V127" s="456">
        <f t="shared" si="225"/>
        <v>820</v>
      </c>
      <c r="W127" s="456">
        <f t="shared" si="225"/>
        <v>820</v>
      </c>
      <c r="X127" s="456">
        <f t="shared" si="225"/>
        <v>820</v>
      </c>
      <c r="Y127" s="456">
        <f t="shared" si="225"/>
        <v>820</v>
      </c>
      <c r="Z127" s="456">
        <f t="shared" si="225"/>
        <v>820</v>
      </c>
      <c r="AA127" s="456">
        <f t="shared" si="225"/>
        <v>820</v>
      </c>
      <c r="AB127" s="456">
        <f t="shared" si="225"/>
        <v>820</v>
      </c>
      <c r="AC127" s="456">
        <f t="shared" si="225"/>
        <v>820</v>
      </c>
      <c r="AD127" s="456">
        <f t="shared" si="225"/>
        <v>820</v>
      </c>
      <c r="AE127" s="456">
        <f t="shared" si="225"/>
        <v>820</v>
      </c>
      <c r="AF127" s="456">
        <f t="shared" si="225"/>
        <v>820</v>
      </c>
      <c r="AG127" s="456">
        <f t="shared" si="225"/>
        <v>820</v>
      </c>
      <c r="AH127" s="456">
        <f t="shared" si="225"/>
        <v>820</v>
      </c>
      <c r="AI127" s="456">
        <f t="shared" si="225"/>
        <v>820</v>
      </c>
      <c r="AJ127" s="456">
        <f t="shared" si="225"/>
        <v>820</v>
      </c>
      <c r="AK127" s="456">
        <f t="shared" si="225"/>
        <v>820</v>
      </c>
      <c r="AL127" s="456">
        <f t="shared" si="225"/>
        <v>820</v>
      </c>
      <c r="AM127" s="456">
        <f t="shared" si="225"/>
        <v>820</v>
      </c>
      <c r="AN127" s="456">
        <f t="shared" si="225"/>
        <v>820</v>
      </c>
      <c r="AO127" s="456">
        <f t="shared" si="225"/>
        <v>820</v>
      </c>
      <c r="AP127" s="456">
        <f t="shared" si="225"/>
        <v>820</v>
      </c>
      <c r="AQ127" s="456">
        <f t="shared" si="225"/>
        <v>820</v>
      </c>
      <c r="AR127" s="456">
        <f t="shared" si="225"/>
        <v>820</v>
      </c>
      <c r="AS127" s="456">
        <f t="shared" si="225"/>
        <v>820</v>
      </c>
      <c r="AT127" s="456">
        <f t="shared" si="225"/>
        <v>820</v>
      </c>
      <c r="AU127" s="456">
        <f t="shared" si="225"/>
        <v>820</v>
      </c>
    </row>
    <row r="128" spans="1:47" hidden="1">
      <c r="A128" s="119">
        <f>ROW()</f>
        <v>128</v>
      </c>
      <c r="C128" s="455" t="s">
        <v>267</v>
      </c>
      <c r="D128" s="122"/>
      <c r="E128" s="123"/>
      <c r="F128" s="123"/>
      <c r="G128" s="122"/>
      <c r="H128" s="122"/>
      <c r="I128" s="124"/>
      <c r="J128" s="118"/>
      <c r="K128" s="123"/>
      <c r="L128" s="471">
        <f t="shared" ref="L128:AQ128" si="226">L129+L130</f>
        <v>0</v>
      </c>
      <c r="M128" s="471">
        <f t="shared" si="226"/>
        <v>0</v>
      </c>
      <c r="N128" s="471">
        <f t="shared" si="226"/>
        <v>340400</v>
      </c>
      <c r="O128" s="471">
        <f t="shared" si="226"/>
        <v>0</v>
      </c>
      <c r="P128" s="471">
        <f t="shared" si="226"/>
        <v>0</v>
      </c>
      <c r="Q128" s="471">
        <f t="shared" si="226"/>
        <v>333000</v>
      </c>
      <c r="R128" s="471">
        <f t="shared" si="226"/>
        <v>0</v>
      </c>
      <c r="S128" s="471">
        <f t="shared" si="226"/>
        <v>0</v>
      </c>
      <c r="T128" s="471">
        <f t="shared" si="226"/>
        <v>336699.99999999994</v>
      </c>
      <c r="U128" s="471">
        <f t="shared" si="226"/>
        <v>0</v>
      </c>
      <c r="V128" s="471">
        <f t="shared" si="226"/>
        <v>0</v>
      </c>
      <c r="W128" s="471">
        <f t="shared" si="226"/>
        <v>340400</v>
      </c>
      <c r="X128" s="471">
        <f t="shared" si="226"/>
        <v>0</v>
      </c>
      <c r="Y128" s="471">
        <f t="shared" si="226"/>
        <v>0</v>
      </c>
      <c r="Z128" s="471">
        <f t="shared" si="226"/>
        <v>340400</v>
      </c>
      <c r="AA128" s="471">
        <f t="shared" si="226"/>
        <v>0</v>
      </c>
      <c r="AB128" s="471">
        <f t="shared" si="226"/>
        <v>0</v>
      </c>
      <c r="AC128" s="471">
        <f t="shared" si="226"/>
        <v>336700</v>
      </c>
      <c r="AD128" s="471">
        <f t="shared" si="226"/>
        <v>0</v>
      </c>
      <c r="AE128" s="471">
        <f t="shared" si="226"/>
        <v>0</v>
      </c>
      <c r="AF128" s="471">
        <f t="shared" si="226"/>
        <v>336699.99999999994</v>
      </c>
      <c r="AG128" s="471">
        <f t="shared" si="226"/>
        <v>0</v>
      </c>
      <c r="AH128" s="471">
        <f t="shared" si="226"/>
        <v>0</v>
      </c>
      <c r="AI128" s="471">
        <f t="shared" si="226"/>
        <v>340400</v>
      </c>
      <c r="AJ128" s="471">
        <f t="shared" si="226"/>
        <v>0</v>
      </c>
      <c r="AK128" s="471">
        <f t="shared" si="226"/>
        <v>0</v>
      </c>
      <c r="AL128" s="471">
        <f t="shared" si="226"/>
        <v>340400</v>
      </c>
      <c r="AM128" s="471">
        <f t="shared" si="226"/>
        <v>0</v>
      </c>
      <c r="AN128" s="471">
        <f t="shared" si="226"/>
        <v>0</v>
      </c>
      <c r="AO128" s="471">
        <f t="shared" si="226"/>
        <v>333000</v>
      </c>
      <c r="AP128" s="471">
        <f t="shared" si="226"/>
        <v>0</v>
      </c>
      <c r="AQ128" s="471">
        <f t="shared" si="226"/>
        <v>0</v>
      </c>
      <c r="AR128" s="471">
        <f t="shared" ref="AR128:AU128" si="227">AR129+AR130</f>
        <v>336699.99999999994</v>
      </c>
      <c r="AS128" s="471">
        <f t="shared" si="227"/>
        <v>0</v>
      </c>
      <c r="AT128" s="471">
        <f t="shared" si="227"/>
        <v>0</v>
      </c>
      <c r="AU128" s="471">
        <f t="shared" si="227"/>
        <v>340400</v>
      </c>
    </row>
    <row r="129" spans="1:47" hidden="1">
      <c r="A129" s="119">
        <f>ROW()</f>
        <v>129</v>
      </c>
      <c r="C129" s="454" t="s">
        <v>253</v>
      </c>
      <c r="D129" s="475"/>
      <c r="E129" s="123"/>
      <c r="F129" s="123"/>
      <c r="G129" s="475"/>
      <c r="H129" s="475"/>
      <c r="I129" s="124"/>
      <c r="J129" s="118"/>
      <c r="K129" s="123"/>
      <c r="L129" s="471">
        <f t="shared" ref="L129:AQ129" si="228">-L81</f>
        <v>0</v>
      </c>
      <c r="M129" s="471">
        <f t="shared" si="228"/>
        <v>0</v>
      </c>
      <c r="N129" s="471">
        <f t="shared" si="228"/>
        <v>378222.22222222219</v>
      </c>
      <c r="O129" s="471">
        <f t="shared" si="228"/>
        <v>0</v>
      </c>
      <c r="P129" s="471">
        <f t="shared" si="228"/>
        <v>0</v>
      </c>
      <c r="Q129" s="471">
        <f t="shared" si="228"/>
        <v>370000</v>
      </c>
      <c r="R129" s="471">
        <f t="shared" si="228"/>
        <v>0</v>
      </c>
      <c r="S129" s="471">
        <f t="shared" si="228"/>
        <v>0</v>
      </c>
      <c r="T129" s="471">
        <f t="shared" si="228"/>
        <v>374111.11111111107</v>
      </c>
      <c r="U129" s="471">
        <f t="shared" si="228"/>
        <v>0</v>
      </c>
      <c r="V129" s="471">
        <f t="shared" si="228"/>
        <v>0</v>
      </c>
      <c r="W129" s="471">
        <f t="shared" si="228"/>
        <v>378222.22222222219</v>
      </c>
      <c r="X129" s="471">
        <f t="shared" si="228"/>
        <v>0</v>
      </c>
      <c r="Y129" s="471">
        <f t="shared" si="228"/>
        <v>0</v>
      </c>
      <c r="Z129" s="471">
        <f t="shared" si="228"/>
        <v>378222.22222222219</v>
      </c>
      <c r="AA129" s="471">
        <f t="shared" si="228"/>
        <v>0</v>
      </c>
      <c r="AB129" s="471">
        <f t="shared" si="228"/>
        <v>0</v>
      </c>
      <c r="AC129" s="471">
        <f t="shared" si="228"/>
        <v>374111.11111111112</v>
      </c>
      <c r="AD129" s="471">
        <f t="shared" si="228"/>
        <v>0</v>
      </c>
      <c r="AE129" s="471">
        <f t="shared" si="228"/>
        <v>0</v>
      </c>
      <c r="AF129" s="471">
        <f t="shared" si="228"/>
        <v>374111.11111111107</v>
      </c>
      <c r="AG129" s="471">
        <f t="shared" si="228"/>
        <v>0</v>
      </c>
      <c r="AH129" s="471">
        <f t="shared" si="228"/>
        <v>0</v>
      </c>
      <c r="AI129" s="471">
        <f t="shared" si="228"/>
        <v>378222.22222222219</v>
      </c>
      <c r="AJ129" s="471">
        <f t="shared" si="228"/>
        <v>0</v>
      </c>
      <c r="AK129" s="471">
        <f t="shared" si="228"/>
        <v>0</v>
      </c>
      <c r="AL129" s="471">
        <f t="shared" si="228"/>
        <v>378222.22222222219</v>
      </c>
      <c r="AM129" s="471">
        <f t="shared" si="228"/>
        <v>0</v>
      </c>
      <c r="AN129" s="471">
        <f t="shared" si="228"/>
        <v>0</v>
      </c>
      <c r="AO129" s="471">
        <f t="shared" si="228"/>
        <v>370000</v>
      </c>
      <c r="AP129" s="471">
        <f t="shared" si="228"/>
        <v>0</v>
      </c>
      <c r="AQ129" s="471">
        <f t="shared" si="228"/>
        <v>0</v>
      </c>
      <c r="AR129" s="471">
        <f t="shared" ref="AR129:AU129" si="229">-AR81</f>
        <v>374111.11111111107</v>
      </c>
      <c r="AS129" s="471">
        <f t="shared" si="229"/>
        <v>0</v>
      </c>
      <c r="AT129" s="471">
        <f t="shared" si="229"/>
        <v>0</v>
      </c>
      <c r="AU129" s="471">
        <f t="shared" si="229"/>
        <v>378222.22222222219</v>
      </c>
    </row>
    <row r="130" spans="1:47" hidden="1">
      <c r="A130" s="119">
        <f>ROW()</f>
        <v>130</v>
      </c>
      <c r="C130" s="454" t="s">
        <v>254</v>
      </c>
      <c r="E130" s="123"/>
      <c r="F130" s="123" t="s">
        <v>255</v>
      </c>
      <c r="G130" s="457">
        <f>'A&amp;R'!$H$12</f>
        <v>0.1</v>
      </c>
      <c r="H130" s="122"/>
      <c r="I130" s="124"/>
      <c r="J130" s="118"/>
      <c r="K130" s="123"/>
      <c r="L130" s="471">
        <f t="shared" ref="L130:AQ130" si="230">-L129*$G130</f>
        <v>0</v>
      </c>
      <c r="M130" s="471">
        <f t="shared" si="230"/>
        <v>0</v>
      </c>
      <c r="N130" s="471">
        <f t="shared" si="230"/>
        <v>-37822.222222222219</v>
      </c>
      <c r="O130" s="471">
        <f t="shared" si="230"/>
        <v>0</v>
      </c>
      <c r="P130" s="471">
        <f t="shared" si="230"/>
        <v>0</v>
      </c>
      <c r="Q130" s="471">
        <f t="shared" si="230"/>
        <v>-37000</v>
      </c>
      <c r="R130" s="471">
        <f t="shared" si="230"/>
        <v>0</v>
      </c>
      <c r="S130" s="471">
        <f t="shared" si="230"/>
        <v>0</v>
      </c>
      <c r="T130" s="471">
        <f t="shared" si="230"/>
        <v>-37411.111111111109</v>
      </c>
      <c r="U130" s="471">
        <f t="shared" si="230"/>
        <v>0</v>
      </c>
      <c r="V130" s="471">
        <f t="shared" si="230"/>
        <v>0</v>
      </c>
      <c r="W130" s="471">
        <f t="shared" si="230"/>
        <v>-37822.222222222219</v>
      </c>
      <c r="X130" s="471">
        <f t="shared" si="230"/>
        <v>0</v>
      </c>
      <c r="Y130" s="471">
        <f t="shared" si="230"/>
        <v>0</v>
      </c>
      <c r="Z130" s="471">
        <f t="shared" si="230"/>
        <v>-37822.222222222219</v>
      </c>
      <c r="AA130" s="471">
        <f t="shared" si="230"/>
        <v>0</v>
      </c>
      <c r="AB130" s="471">
        <f t="shared" si="230"/>
        <v>0</v>
      </c>
      <c r="AC130" s="471">
        <f t="shared" si="230"/>
        <v>-37411.111111111117</v>
      </c>
      <c r="AD130" s="471">
        <f t="shared" si="230"/>
        <v>0</v>
      </c>
      <c r="AE130" s="471">
        <f t="shared" si="230"/>
        <v>0</v>
      </c>
      <c r="AF130" s="471">
        <f t="shared" si="230"/>
        <v>-37411.111111111109</v>
      </c>
      <c r="AG130" s="471">
        <f t="shared" si="230"/>
        <v>0</v>
      </c>
      <c r="AH130" s="471">
        <f t="shared" si="230"/>
        <v>0</v>
      </c>
      <c r="AI130" s="471">
        <f t="shared" si="230"/>
        <v>-37822.222222222219</v>
      </c>
      <c r="AJ130" s="471">
        <f t="shared" si="230"/>
        <v>0</v>
      </c>
      <c r="AK130" s="471">
        <f t="shared" si="230"/>
        <v>0</v>
      </c>
      <c r="AL130" s="471">
        <f t="shared" si="230"/>
        <v>-37822.222222222219</v>
      </c>
      <c r="AM130" s="471">
        <f t="shared" si="230"/>
        <v>0</v>
      </c>
      <c r="AN130" s="471">
        <f t="shared" si="230"/>
        <v>0</v>
      </c>
      <c r="AO130" s="471">
        <f t="shared" si="230"/>
        <v>-37000</v>
      </c>
      <c r="AP130" s="471">
        <f t="shared" si="230"/>
        <v>0</v>
      </c>
      <c r="AQ130" s="471">
        <f t="shared" si="230"/>
        <v>0</v>
      </c>
      <c r="AR130" s="471">
        <f t="shared" ref="AR130:AU130" si="231">-AR129*$G130</f>
        <v>-37411.111111111109</v>
      </c>
      <c r="AS130" s="471">
        <f t="shared" si="231"/>
        <v>0</v>
      </c>
      <c r="AT130" s="471">
        <f t="shared" si="231"/>
        <v>0</v>
      </c>
      <c r="AU130" s="471">
        <f t="shared" si="231"/>
        <v>-37822.222222222219</v>
      </c>
    </row>
    <row r="131" spans="1:47" hidden="1">
      <c r="A131" s="119">
        <f>ROW()</f>
        <v>131</v>
      </c>
      <c r="C131" s="466" t="s">
        <v>258</v>
      </c>
      <c r="D131" s="461"/>
      <c r="E131" s="462"/>
      <c r="F131" s="462"/>
      <c r="G131" s="462"/>
      <c r="H131" s="462"/>
      <c r="I131" s="463"/>
      <c r="J131" s="464"/>
      <c r="K131" s="462"/>
      <c r="L131" s="464">
        <f>MIN(L132,L133)</f>
        <v>0</v>
      </c>
      <c r="M131" s="464">
        <f t="shared" ref="M131:AU131" si="232">MIN(M132,M133)</f>
        <v>0</v>
      </c>
      <c r="N131" s="464">
        <f t="shared" si="232"/>
        <v>31014.222222222219</v>
      </c>
      <c r="O131" s="464">
        <f t="shared" si="232"/>
        <v>0</v>
      </c>
      <c r="P131" s="464">
        <f t="shared" si="232"/>
        <v>0</v>
      </c>
      <c r="Q131" s="464">
        <f t="shared" si="232"/>
        <v>30340</v>
      </c>
      <c r="R131" s="464">
        <f t="shared" si="232"/>
        <v>0</v>
      </c>
      <c r="S131" s="464">
        <f t="shared" si="232"/>
        <v>0</v>
      </c>
      <c r="T131" s="464">
        <f t="shared" si="232"/>
        <v>30677.111111111109</v>
      </c>
      <c r="U131" s="464">
        <f t="shared" si="232"/>
        <v>0</v>
      </c>
      <c r="V131" s="464">
        <f t="shared" si="232"/>
        <v>0</v>
      </c>
      <c r="W131" s="464">
        <f t="shared" si="232"/>
        <v>31014.222222222219</v>
      </c>
      <c r="X131" s="464">
        <f t="shared" si="232"/>
        <v>0</v>
      </c>
      <c r="Y131" s="464">
        <f t="shared" si="232"/>
        <v>0</v>
      </c>
      <c r="Z131" s="464">
        <f t="shared" si="232"/>
        <v>31014.222222222219</v>
      </c>
      <c r="AA131" s="464">
        <f t="shared" si="232"/>
        <v>0</v>
      </c>
      <c r="AB131" s="464">
        <f t="shared" si="232"/>
        <v>0</v>
      </c>
      <c r="AC131" s="464">
        <f t="shared" si="232"/>
        <v>30677.111111111117</v>
      </c>
      <c r="AD131" s="464">
        <f t="shared" si="232"/>
        <v>0</v>
      </c>
      <c r="AE131" s="464">
        <f t="shared" si="232"/>
        <v>0</v>
      </c>
      <c r="AF131" s="464">
        <f t="shared" si="232"/>
        <v>30677.111111111109</v>
      </c>
      <c r="AG131" s="464">
        <f t="shared" si="232"/>
        <v>0</v>
      </c>
      <c r="AH131" s="464">
        <f t="shared" si="232"/>
        <v>0</v>
      </c>
      <c r="AI131" s="464">
        <f t="shared" si="232"/>
        <v>31014.222222222219</v>
      </c>
      <c r="AJ131" s="464">
        <f t="shared" si="232"/>
        <v>0</v>
      </c>
      <c r="AK131" s="464">
        <f t="shared" si="232"/>
        <v>0</v>
      </c>
      <c r="AL131" s="464">
        <f t="shared" si="232"/>
        <v>31014.222222222219</v>
      </c>
      <c r="AM131" s="464">
        <f t="shared" si="232"/>
        <v>0</v>
      </c>
      <c r="AN131" s="464">
        <f t="shared" si="232"/>
        <v>0</v>
      </c>
      <c r="AO131" s="464">
        <f t="shared" si="232"/>
        <v>30340</v>
      </c>
      <c r="AP131" s="464">
        <f t="shared" si="232"/>
        <v>0</v>
      </c>
      <c r="AQ131" s="464">
        <f t="shared" si="232"/>
        <v>0</v>
      </c>
      <c r="AR131" s="464">
        <f t="shared" si="232"/>
        <v>30677.111111111109</v>
      </c>
      <c r="AS131" s="464">
        <f t="shared" si="232"/>
        <v>0</v>
      </c>
      <c r="AT131" s="464">
        <f t="shared" si="232"/>
        <v>0</v>
      </c>
      <c r="AU131" s="464">
        <f t="shared" si="232"/>
        <v>31014.222222222219</v>
      </c>
    </row>
    <row r="132" spans="1:47" hidden="1" outlineLevel="1">
      <c r="A132" s="119">
        <f>ROW()</f>
        <v>132</v>
      </c>
      <c r="C132" s="455" t="s">
        <v>261</v>
      </c>
      <c r="E132" s="123"/>
      <c r="F132" s="123"/>
      <c r="H132" s="123"/>
      <c r="I132" s="120" t="s">
        <v>262</v>
      </c>
      <c r="J132" s="118"/>
      <c r="K132" s="123"/>
      <c r="L132" s="118">
        <f t="shared" ref="L132:AQ132" si="233">-L130*L127/$J123</f>
        <v>0</v>
      </c>
      <c r="M132" s="118">
        <f t="shared" si="233"/>
        <v>0</v>
      </c>
      <c r="N132" s="118">
        <f t="shared" si="233"/>
        <v>31014.222222222219</v>
      </c>
      <c r="O132" s="118">
        <f t="shared" si="233"/>
        <v>0</v>
      </c>
      <c r="P132" s="118">
        <f t="shared" si="233"/>
        <v>0</v>
      </c>
      <c r="Q132" s="118">
        <f t="shared" si="233"/>
        <v>30340</v>
      </c>
      <c r="R132" s="118">
        <f t="shared" si="233"/>
        <v>0</v>
      </c>
      <c r="S132" s="118">
        <f t="shared" si="233"/>
        <v>0</v>
      </c>
      <c r="T132" s="118">
        <f t="shared" si="233"/>
        <v>30677.111111111109</v>
      </c>
      <c r="U132" s="118">
        <f t="shared" si="233"/>
        <v>0</v>
      </c>
      <c r="V132" s="118">
        <f t="shared" si="233"/>
        <v>0</v>
      </c>
      <c r="W132" s="118">
        <f t="shared" si="233"/>
        <v>31014.222222222219</v>
      </c>
      <c r="X132" s="118">
        <f t="shared" si="233"/>
        <v>0</v>
      </c>
      <c r="Y132" s="118">
        <f t="shared" si="233"/>
        <v>0</v>
      </c>
      <c r="Z132" s="118">
        <f t="shared" si="233"/>
        <v>31014.222222222219</v>
      </c>
      <c r="AA132" s="118">
        <f t="shared" si="233"/>
        <v>0</v>
      </c>
      <c r="AB132" s="118">
        <f t="shared" si="233"/>
        <v>0</v>
      </c>
      <c r="AC132" s="118">
        <f t="shared" si="233"/>
        <v>30677.111111111117</v>
      </c>
      <c r="AD132" s="118">
        <f t="shared" si="233"/>
        <v>0</v>
      </c>
      <c r="AE132" s="118">
        <f t="shared" si="233"/>
        <v>0</v>
      </c>
      <c r="AF132" s="118">
        <f t="shared" si="233"/>
        <v>30677.111111111109</v>
      </c>
      <c r="AG132" s="118">
        <f t="shared" si="233"/>
        <v>0</v>
      </c>
      <c r="AH132" s="118">
        <f t="shared" si="233"/>
        <v>0</v>
      </c>
      <c r="AI132" s="118">
        <f t="shared" si="233"/>
        <v>31014.222222222219</v>
      </c>
      <c r="AJ132" s="118">
        <f t="shared" si="233"/>
        <v>0</v>
      </c>
      <c r="AK132" s="118">
        <f t="shared" si="233"/>
        <v>0</v>
      </c>
      <c r="AL132" s="118">
        <f t="shared" si="233"/>
        <v>31014.222222222219</v>
      </c>
      <c r="AM132" s="118">
        <f t="shared" si="233"/>
        <v>0</v>
      </c>
      <c r="AN132" s="118">
        <f t="shared" si="233"/>
        <v>0</v>
      </c>
      <c r="AO132" s="118">
        <f t="shared" si="233"/>
        <v>30340</v>
      </c>
      <c r="AP132" s="118">
        <f t="shared" si="233"/>
        <v>0</v>
      </c>
      <c r="AQ132" s="118">
        <f t="shared" si="233"/>
        <v>0</v>
      </c>
      <c r="AR132" s="118">
        <f t="shared" ref="AR132:AU132" si="234">-AR130*AR127/$J123</f>
        <v>30677.111111111109</v>
      </c>
      <c r="AS132" s="118">
        <f t="shared" si="234"/>
        <v>0</v>
      </c>
      <c r="AT132" s="118">
        <f t="shared" si="234"/>
        <v>0</v>
      </c>
      <c r="AU132" s="118">
        <f t="shared" si="234"/>
        <v>31014.222222222219</v>
      </c>
    </row>
    <row r="133" spans="1:47" hidden="1" outlineLevel="1">
      <c r="A133" s="119">
        <f>ROW()</f>
        <v>133</v>
      </c>
      <c r="C133" s="455" t="s">
        <v>268</v>
      </c>
      <c r="E133" s="123"/>
      <c r="F133" s="123" t="s">
        <v>263</v>
      </c>
      <c r="G133" s="460">
        <f>'A&amp;R'!$H$13</f>
        <v>0.25</v>
      </c>
      <c r="H133" s="123"/>
      <c r="I133" s="127" t="s">
        <v>264</v>
      </c>
      <c r="J133" s="118"/>
      <c r="K133" s="123"/>
      <c r="L133" s="118">
        <f t="shared" ref="L133:AQ133" si="235">L129*L127*$G133/$J123</f>
        <v>0</v>
      </c>
      <c r="M133" s="118">
        <f t="shared" si="235"/>
        <v>0</v>
      </c>
      <c r="N133" s="118">
        <f t="shared" si="235"/>
        <v>77535.555555555547</v>
      </c>
      <c r="O133" s="118">
        <f t="shared" si="235"/>
        <v>0</v>
      </c>
      <c r="P133" s="118">
        <f t="shared" si="235"/>
        <v>0</v>
      </c>
      <c r="Q133" s="118">
        <f t="shared" si="235"/>
        <v>75850</v>
      </c>
      <c r="R133" s="118">
        <f t="shared" si="235"/>
        <v>0</v>
      </c>
      <c r="S133" s="118">
        <f t="shared" si="235"/>
        <v>0</v>
      </c>
      <c r="T133" s="118">
        <f t="shared" si="235"/>
        <v>76692.777777777766</v>
      </c>
      <c r="U133" s="118">
        <f t="shared" si="235"/>
        <v>0</v>
      </c>
      <c r="V133" s="118">
        <f t="shared" si="235"/>
        <v>0</v>
      </c>
      <c r="W133" s="118">
        <f t="shared" si="235"/>
        <v>77535.555555555547</v>
      </c>
      <c r="X133" s="118">
        <f t="shared" si="235"/>
        <v>0</v>
      </c>
      <c r="Y133" s="118">
        <f t="shared" si="235"/>
        <v>0</v>
      </c>
      <c r="Z133" s="118">
        <f t="shared" si="235"/>
        <v>77535.555555555547</v>
      </c>
      <c r="AA133" s="118">
        <f t="shared" si="235"/>
        <v>0</v>
      </c>
      <c r="AB133" s="118">
        <f t="shared" si="235"/>
        <v>0</v>
      </c>
      <c r="AC133" s="118">
        <f t="shared" si="235"/>
        <v>76692.777777777781</v>
      </c>
      <c r="AD133" s="118">
        <f t="shared" si="235"/>
        <v>0</v>
      </c>
      <c r="AE133" s="118">
        <f t="shared" si="235"/>
        <v>0</v>
      </c>
      <c r="AF133" s="118">
        <f t="shared" si="235"/>
        <v>76692.777777777766</v>
      </c>
      <c r="AG133" s="118">
        <f t="shared" si="235"/>
        <v>0</v>
      </c>
      <c r="AH133" s="118">
        <f t="shared" si="235"/>
        <v>0</v>
      </c>
      <c r="AI133" s="118">
        <f t="shared" si="235"/>
        <v>77535.555555555547</v>
      </c>
      <c r="AJ133" s="118">
        <f t="shared" si="235"/>
        <v>0</v>
      </c>
      <c r="AK133" s="118">
        <f t="shared" si="235"/>
        <v>0</v>
      </c>
      <c r="AL133" s="118">
        <f t="shared" si="235"/>
        <v>77535.555555555547</v>
      </c>
      <c r="AM133" s="118">
        <f t="shared" si="235"/>
        <v>0</v>
      </c>
      <c r="AN133" s="118">
        <f t="shared" si="235"/>
        <v>0</v>
      </c>
      <c r="AO133" s="118">
        <f t="shared" si="235"/>
        <v>75850</v>
      </c>
      <c r="AP133" s="118">
        <f t="shared" si="235"/>
        <v>0</v>
      </c>
      <c r="AQ133" s="118">
        <f t="shared" si="235"/>
        <v>0</v>
      </c>
      <c r="AR133" s="118">
        <f t="shared" ref="AR133:AU133" si="236">AR129*AR127*$G133/$J123</f>
        <v>76692.777777777766</v>
      </c>
      <c r="AS133" s="118">
        <f t="shared" si="236"/>
        <v>0</v>
      </c>
      <c r="AT133" s="118">
        <f t="shared" si="236"/>
        <v>0</v>
      </c>
      <c r="AU133" s="118">
        <f t="shared" si="236"/>
        <v>77535.555555555547</v>
      </c>
    </row>
    <row r="134" spans="1:47" hidden="1" collapsed="1">
      <c r="A134" s="119">
        <f>ROW()</f>
        <v>134</v>
      </c>
      <c r="C134" s="304" t="s">
        <v>87</v>
      </c>
      <c r="D134" s="307"/>
      <c r="E134" s="308"/>
      <c r="F134" s="305"/>
      <c r="G134" s="307"/>
      <c r="H134" s="307"/>
      <c r="I134" s="307"/>
      <c r="J134" s="305">
        <f>SUM(K134:AU134)</f>
        <v>0</v>
      </c>
      <c r="K134" s="305">
        <f>SUM(K135:K136)</f>
        <v>-30340000</v>
      </c>
      <c r="L134" s="305">
        <f t="shared" ref="L134:AU134" si="237">SUM(L135:L136)</f>
        <v>0</v>
      </c>
      <c r="M134" s="305">
        <f t="shared" si="237"/>
        <v>0</v>
      </c>
      <c r="N134" s="305">
        <f t="shared" si="237"/>
        <v>0</v>
      </c>
      <c r="O134" s="305">
        <f t="shared" si="237"/>
        <v>0</v>
      </c>
      <c r="P134" s="305">
        <f t="shared" si="237"/>
        <v>0</v>
      </c>
      <c r="Q134" s="305">
        <f t="shared" si="237"/>
        <v>0</v>
      </c>
      <c r="R134" s="305">
        <f t="shared" si="237"/>
        <v>0</v>
      </c>
      <c r="S134" s="305">
        <f t="shared" si="237"/>
        <v>0</v>
      </c>
      <c r="T134" s="305">
        <f t="shared" si="237"/>
        <v>0</v>
      </c>
      <c r="U134" s="305">
        <f t="shared" si="237"/>
        <v>0</v>
      </c>
      <c r="V134" s="305">
        <f t="shared" si="237"/>
        <v>0</v>
      </c>
      <c r="W134" s="305">
        <f t="shared" si="237"/>
        <v>0</v>
      </c>
      <c r="X134" s="305">
        <f t="shared" si="237"/>
        <v>0</v>
      </c>
      <c r="Y134" s="305">
        <f t="shared" si="237"/>
        <v>0</v>
      </c>
      <c r="Z134" s="305">
        <f t="shared" si="237"/>
        <v>0</v>
      </c>
      <c r="AA134" s="305">
        <f t="shared" si="237"/>
        <v>0</v>
      </c>
      <c r="AB134" s="305">
        <f t="shared" si="237"/>
        <v>0</v>
      </c>
      <c r="AC134" s="305">
        <f t="shared" si="237"/>
        <v>0</v>
      </c>
      <c r="AD134" s="305">
        <f t="shared" si="237"/>
        <v>0</v>
      </c>
      <c r="AE134" s="305">
        <f t="shared" si="237"/>
        <v>0</v>
      </c>
      <c r="AF134" s="305">
        <f t="shared" si="237"/>
        <v>0</v>
      </c>
      <c r="AG134" s="305">
        <f t="shared" si="237"/>
        <v>0</v>
      </c>
      <c r="AH134" s="305">
        <f t="shared" si="237"/>
        <v>0</v>
      </c>
      <c r="AI134" s="305">
        <f t="shared" si="237"/>
        <v>0</v>
      </c>
      <c r="AJ134" s="305">
        <f t="shared" si="237"/>
        <v>0</v>
      </c>
      <c r="AK134" s="305">
        <f t="shared" si="237"/>
        <v>0</v>
      </c>
      <c r="AL134" s="305">
        <f t="shared" si="237"/>
        <v>0</v>
      </c>
      <c r="AM134" s="305">
        <f t="shared" si="237"/>
        <v>0</v>
      </c>
      <c r="AN134" s="305">
        <f t="shared" si="237"/>
        <v>0</v>
      </c>
      <c r="AO134" s="305">
        <f t="shared" si="237"/>
        <v>0</v>
      </c>
      <c r="AP134" s="305">
        <f t="shared" si="237"/>
        <v>0</v>
      </c>
      <c r="AQ134" s="305">
        <f t="shared" si="237"/>
        <v>0</v>
      </c>
      <c r="AR134" s="305">
        <f t="shared" si="237"/>
        <v>0</v>
      </c>
      <c r="AS134" s="305">
        <f t="shared" si="237"/>
        <v>0</v>
      </c>
      <c r="AT134" s="305">
        <f t="shared" si="237"/>
        <v>0</v>
      </c>
      <c r="AU134" s="305">
        <f t="shared" si="237"/>
        <v>30340000</v>
      </c>
    </row>
    <row r="135" spans="1:47" hidden="1">
      <c r="A135" s="119">
        <f>ROW()</f>
        <v>135</v>
      </c>
      <c r="C135" s="133" t="s">
        <v>256</v>
      </c>
      <c r="G135" s="292">
        <f>-'A&amp;R'!H50</f>
        <v>-30340000</v>
      </c>
      <c r="J135" s="126">
        <f>SUM(K135:AU135)</f>
        <v>-30340000</v>
      </c>
      <c r="K135" s="476">
        <f>G135</f>
        <v>-30340000</v>
      </c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</row>
    <row r="136" spans="1:47" hidden="1">
      <c r="A136" s="119">
        <f>ROW()</f>
        <v>136</v>
      </c>
      <c r="C136" s="135" t="s">
        <v>257</v>
      </c>
      <c r="D136" s="125"/>
      <c r="E136" s="125"/>
      <c r="F136" s="296">
        <f>'A&amp;R'!$H$8</f>
        <v>44469</v>
      </c>
      <c r="G136" s="289">
        <f>-G135</f>
        <v>30340000</v>
      </c>
      <c r="H136" s="129"/>
      <c r="I136" s="125"/>
      <c r="J136" s="129">
        <f>SUM(K136:AU136)</f>
        <v>30340000</v>
      </c>
      <c r="K136" s="136"/>
      <c r="L136" s="138">
        <f>($F136=L$14)*$G136</f>
        <v>0</v>
      </c>
      <c r="M136" s="138">
        <f t="shared" ref="M136:AU136" si="238">($F136=M$14)*$G136</f>
        <v>0</v>
      </c>
      <c r="N136" s="138">
        <f t="shared" si="238"/>
        <v>0</v>
      </c>
      <c r="O136" s="138">
        <f t="shared" si="238"/>
        <v>0</v>
      </c>
      <c r="P136" s="138">
        <f t="shared" si="238"/>
        <v>0</v>
      </c>
      <c r="Q136" s="138">
        <f t="shared" si="238"/>
        <v>0</v>
      </c>
      <c r="R136" s="138">
        <f t="shared" si="238"/>
        <v>0</v>
      </c>
      <c r="S136" s="138">
        <f t="shared" si="238"/>
        <v>0</v>
      </c>
      <c r="T136" s="138">
        <f t="shared" si="238"/>
        <v>0</v>
      </c>
      <c r="U136" s="138">
        <f t="shared" si="238"/>
        <v>0</v>
      </c>
      <c r="V136" s="138">
        <f t="shared" si="238"/>
        <v>0</v>
      </c>
      <c r="W136" s="138">
        <f t="shared" si="238"/>
        <v>0</v>
      </c>
      <c r="X136" s="138">
        <f t="shared" si="238"/>
        <v>0</v>
      </c>
      <c r="Y136" s="138">
        <f t="shared" si="238"/>
        <v>0</v>
      </c>
      <c r="Z136" s="138">
        <f t="shared" si="238"/>
        <v>0</v>
      </c>
      <c r="AA136" s="138">
        <f t="shared" si="238"/>
        <v>0</v>
      </c>
      <c r="AB136" s="138">
        <f t="shared" si="238"/>
        <v>0</v>
      </c>
      <c r="AC136" s="138">
        <f t="shared" si="238"/>
        <v>0</v>
      </c>
      <c r="AD136" s="138">
        <f t="shared" si="238"/>
        <v>0</v>
      </c>
      <c r="AE136" s="138">
        <f t="shared" si="238"/>
        <v>0</v>
      </c>
      <c r="AF136" s="138">
        <f t="shared" si="238"/>
        <v>0</v>
      </c>
      <c r="AG136" s="138">
        <f t="shared" si="238"/>
        <v>0</v>
      </c>
      <c r="AH136" s="138">
        <f t="shared" si="238"/>
        <v>0</v>
      </c>
      <c r="AI136" s="138">
        <f t="shared" si="238"/>
        <v>0</v>
      </c>
      <c r="AJ136" s="138">
        <f t="shared" si="238"/>
        <v>0</v>
      </c>
      <c r="AK136" s="138">
        <f t="shared" si="238"/>
        <v>0</v>
      </c>
      <c r="AL136" s="138">
        <f t="shared" si="238"/>
        <v>0</v>
      </c>
      <c r="AM136" s="138">
        <f t="shared" si="238"/>
        <v>0</v>
      </c>
      <c r="AN136" s="138">
        <f t="shared" si="238"/>
        <v>0</v>
      </c>
      <c r="AO136" s="138">
        <f t="shared" si="238"/>
        <v>0</v>
      </c>
      <c r="AP136" s="138">
        <f t="shared" si="238"/>
        <v>0</v>
      </c>
      <c r="AQ136" s="138">
        <f t="shared" si="238"/>
        <v>0</v>
      </c>
      <c r="AR136" s="138">
        <f t="shared" si="238"/>
        <v>0</v>
      </c>
      <c r="AS136" s="138">
        <f t="shared" si="238"/>
        <v>0</v>
      </c>
      <c r="AT136" s="138">
        <f t="shared" si="238"/>
        <v>0</v>
      </c>
      <c r="AU136" s="138">
        <f t="shared" si="238"/>
        <v>30340000</v>
      </c>
    </row>
    <row r="137" spans="1:47" hidden="1">
      <c r="A137" s="119">
        <f>ROW()</f>
        <v>137</v>
      </c>
      <c r="C137" s="301" t="s">
        <v>252</v>
      </c>
      <c r="D137" s="302"/>
      <c r="E137" s="302"/>
      <c r="F137" s="302"/>
      <c r="G137" s="302"/>
      <c r="H137" s="302"/>
      <c r="I137" s="302"/>
      <c r="J137" s="303">
        <f t="shared" ref="J137:AO137" si="239">J125+J134</f>
        <v>3694737.7777777771</v>
      </c>
      <c r="K137" s="303">
        <f t="shared" si="239"/>
        <v>-30340000</v>
      </c>
      <c r="L137" s="303">
        <f t="shared" si="239"/>
        <v>0</v>
      </c>
      <c r="M137" s="303">
        <f t="shared" si="239"/>
        <v>0</v>
      </c>
      <c r="N137" s="303">
        <f t="shared" si="239"/>
        <v>310142.22222222225</v>
      </c>
      <c r="O137" s="303">
        <f t="shared" si="239"/>
        <v>0</v>
      </c>
      <c r="P137" s="303">
        <f t="shared" si="239"/>
        <v>0</v>
      </c>
      <c r="Q137" s="303">
        <f t="shared" si="239"/>
        <v>303400</v>
      </c>
      <c r="R137" s="303">
        <f t="shared" si="239"/>
        <v>0</v>
      </c>
      <c r="S137" s="303">
        <f t="shared" si="239"/>
        <v>0</v>
      </c>
      <c r="T137" s="303">
        <f t="shared" si="239"/>
        <v>306771.11111111107</v>
      </c>
      <c r="U137" s="303">
        <f t="shared" si="239"/>
        <v>0</v>
      </c>
      <c r="V137" s="303">
        <f t="shared" si="239"/>
        <v>0</v>
      </c>
      <c r="W137" s="303">
        <f t="shared" si="239"/>
        <v>310142.22222222225</v>
      </c>
      <c r="X137" s="303">
        <f t="shared" si="239"/>
        <v>0</v>
      </c>
      <c r="Y137" s="303">
        <f t="shared" si="239"/>
        <v>0</v>
      </c>
      <c r="Z137" s="303">
        <f t="shared" si="239"/>
        <v>310142.22222222225</v>
      </c>
      <c r="AA137" s="303">
        <f t="shared" si="239"/>
        <v>0</v>
      </c>
      <c r="AB137" s="303">
        <f t="shared" si="239"/>
        <v>0</v>
      </c>
      <c r="AC137" s="303">
        <f t="shared" si="239"/>
        <v>306771.11111111112</v>
      </c>
      <c r="AD137" s="303">
        <f t="shared" si="239"/>
        <v>0</v>
      </c>
      <c r="AE137" s="303">
        <f t="shared" si="239"/>
        <v>0</v>
      </c>
      <c r="AF137" s="303">
        <f t="shared" si="239"/>
        <v>306771.11111111107</v>
      </c>
      <c r="AG137" s="303">
        <f t="shared" si="239"/>
        <v>0</v>
      </c>
      <c r="AH137" s="303">
        <f t="shared" si="239"/>
        <v>0</v>
      </c>
      <c r="AI137" s="303">
        <f t="shared" si="239"/>
        <v>310142.22222222225</v>
      </c>
      <c r="AJ137" s="303">
        <f t="shared" si="239"/>
        <v>0</v>
      </c>
      <c r="AK137" s="303">
        <f t="shared" si="239"/>
        <v>0</v>
      </c>
      <c r="AL137" s="303">
        <f t="shared" si="239"/>
        <v>310142.22222222225</v>
      </c>
      <c r="AM137" s="303">
        <f t="shared" si="239"/>
        <v>0</v>
      </c>
      <c r="AN137" s="303">
        <f t="shared" si="239"/>
        <v>0</v>
      </c>
      <c r="AO137" s="303">
        <f t="shared" si="239"/>
        <v>303400</v>
      </c>
      <c r="AP137" s="303">
        <f t="shared" ref="AP137:AU137" si="240">AP125+AP134</f>
        <v>0</v>
      </c>
      <c r="AQ137" s="303">
        <f t="shared" si="240"/>
        <v>0</v>
      </c>
      <c r="AR137" s="303">
        <f t="shared" si="240"/>
        <v>306771.11111111107</v>
      </c>
      <c r="AS137" s="303">
        <f t="shared" si="240"/>
        <v>0</v>
      </c>
      <c r="AT137" s="303">
        <f t="shared" si="240"/>
        <v>0</v>
      </c>
      <c r="AU137" s="303">
        <f t="shared" si="240"/>
        <v>30650142.222222224</v>
      </c>
    </row>
    <row r="138" spans="1:47" hidden="1">
      <c r="A138" s="119">
        <f>ROW()</f>
        <v>138</v>
      </c>
      <c r="D138" s="140"/>
      <c r="J138" s="141"/>
      <c r="K138" s="141"/>
      <c r="L138" s="141"/>
      <c r="M138" s="141"/>
      <c r="N138" s="141"/>
      <c r="O138" s="141"/>
      <c r="P138" s="141"/>
      <c r="Q138" s="141"/>
      <c r="R138" s="141"/>
    </row>
    <row r="139" spans="1:47" hidden="1">
      <c r="A139" s="119">
        <f>ROW()</f>
        <v>139</v>
      </c>
      <c r="E139" s="142"/>
      <c r="F139" s="143"/>
      <c r="G139" s="143"/>
      <c r="H139" s="142"/>
      <c r="I139" s="142"/>
      <c r="J139" s="297" t="s">
        <v>88</v>
      </c>
      <c r="K139" s="298">
        <f>(-J125/J135)*(365/J124)</f>
        <v>4.0555555555555546E-2</v>
      </c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  <c r="AA139" s="144"/>
      <c r="AB139" s="144"/>
      <c r="AC139" s="144"/>
      <c r="AD139" s="144"/>
      <c r="AE139" s="144"/>
      <c r="AF139" s="144"/>
      <c r="AG139" s="144"/>
      <c r="AH139" s="144"/>
      <c r="AI139" s="144"/>
      <c r="AJ139" s="144"/>
      <c r="AK139" s="144"/>
      <c r="AL139" s="144"/>
      <c r="AM139" s="144"/>
      <c r="AN139" s="144"/>
      <c r="AO139" s="144"/>
      <c r="AP139" s="144"/>
      <c r="AQ139" s="144"/>
      <c r="AR139" s="144"/>
      <c r="AS139" s="144"/>
      <c r="AT139" s="144"/>
      <c r="AU139" s="144"/>
    </row>
    <row r="140" spans="1:47" ht="12" hidden="1" thickBot="1">
      <c r="A140" s="119">
        <f>ROW()</f>
        <v>140</v>
      </c>
      <c r="E140" s="142"/>
      <c r="F140" s="145"/>
      <c r="G140" s="146"/>
      <c r="H140" s="142"/>
      <c r="I140" s="142"/>
      <c r="J140" s="299" t="s">
        <v>89</v>
      </c>
      <c r="K140" s="300">
        <f>XIRR(K137:AU137,K14:AU14)</f>
        <v>4.1176310181617742E-2</v>
      </c>
    </row>
    <row r="141" spans="1:47" hidden="1">
      <c r="E141" s="142"/>
      <c r="F141" s="147"/>
      <c r="G141" s="147"/>
      <c r="H141" s="142"/>
      <c r="I141" s="142"/>
    </row>
    <row r="142" spans="1:47" hidden="1">
      <c r="E142" s="142"/>
      <c r="F142" s="148"/>
      <c r="G142" s="148"/>
      <c r="H142" s="142"/>
      <c r="I142" s="142"/>
      <c r="K142" s="481"/>
      <c r="Q142" s="126"/>
      <c r="R142" s="144"/>
    </row>
    <row r="143" spans="1:47">
      <c r="E143" s="149"/>
      <c r="F143" s="146"/>
      <c r="G143" s="146"/>
      <c r="H143" s="146"/>
      <c r="I143" s="142"/>
      <c r="Q143" s="126"/>
    </row>
    <row r="145" spans="11:11">
      <c r="K145" s="539"/>
    </row>
  </sheetData>
  <autoFilter ref="A8:AE8"/>
  <phoneticPr fontId="3" type="noConversion"/>
  <pageMargins left="0.7" right="0.7" top="0.75" bottom="0.75" header="0.3" footer="0.3"/>
  <pageSetup paperSize="9" orientation="landscape" horizont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showGridLines="0" topLeftCell="J51" workbookViewId="0">
      <selection activeCell="Y67" sqref="Y67"/>
    </sheetView>
  </sheetViews>
  <sheetFormatPr defaultRowHeight="12"/>
  <cols>
    <col min="1" max="1" width="11.28515625" bestFit="1" customWidth="1"/>
    <col min="2" max="7" width="14.85546875" customWidth="1"/>
    <col min="8" max="12" width="14.85546875" style="2" customWidth="1"/>
    <col min="14" max="16" width="11.28515625" bestFit="1" customWidth="1"/>
    <col min="17" max="17" width="13.140625" customWidth="1"/>
    <col min="18" max="19" width="11.28515625" bestFit="1" customWidth="1"/>
    <col min="20" max="20" width="11.28515625" style="2" customWidth="1"/>
    <col min="21" max="21" width="10.140625" bestFit="1" customWidth="1"/>
    <col min="22" max="22" width="10.28515625" customWidth="1"/>
    <col min="23" max="23" width="11.28515625" bestFit="1" customWidth="1"/>
    <col min="24" max="24" width="10.140625" bestFit="1" customWidth="1"/>
    <col min="25" max="27" width="11.28515625" bestFit="1" customWidth="1"/>
    <col min="29" max="29" width="11.28515625" bestFit="1" customWidth="1"/>
  </cols>
  <sheetData>
    <row r="1" spans="1:30" s="2" customFormat="1">
      <c r="A1" s="231" t="s">
        <v>916</v>
      </c>
    </row>
    <row r="2" spans="1:30" s="2" customFormat="1" ht="12.75" thickBot="1">
      <c r="A2" s="736"/>
      <c r="B2" s="736" t="s">
        <v>586</v>
      </c>
      <c r="C2" s="736" t="str">
        <f>B2</f>
        <v>Retail</v>
      </c>
      <c r="D2" s="736" t="s">
        <v>587</v>
      </c>
      <c r="E2" s="736" t="s">
        <v>588</v>
      </c>
      <c r="F2" s="736" t="s">
        <v>589</v>
      </c>
      <c r="G2" s="736" t="str">
        <f>F2</f>
        <v>Parking Lot</v>
      </c>
      <c r="H2" s="736"/>
    </row>
    <row r="3" spans="1:30" s="2" customFormat="1" ht="24">
      <c r="A3" s="737"/>
      <c r="B3" s="738" t="s">
        <v>577</v>
      </c>
      <c r="C3" s="738" t="s">
        <v>573</v>
      </c>
      <c r="D3" s="738" t="s">
        <v>583</v>
      </c>
      <c r="E3" s="738" t="s">
        <v>584</v>
      </c>
      <c r="F3" s="738" t="s">
        <v>578</v>
      </c>
      <c r="G3" s="738" t="s">
        <v>585</v>
      </c>
      <c r="H3" s="733" t="s">
        <v>593</v>
      </c>
      <c r="I3" s="734" t="s">
        <v>587</v>
      </c>
      <c r="J3" s="734" t="s">
        <v>591</v>
      </c>
      <c r="K3" s="735" t="s">
        <v>592</v>
      </c>
    </row>
    <row r="4" spans="1:30">
      <c r="A4" s="3">
        <v>43404</v>
      </c>
      <c r="B4" s="348">
        <f>$S$9/12</f>
        <v>4829.083333333333</v>
      </c>
      <c r="C4" s="348">
        <f>S10/12</f>
        <v>15370.083333333334</v>
      </c>
      <c r="D4" s="348">
        <f>SUM(S11:S17)/12</f>
        <v>438501.70145866112</v>
      </c>
      <c r="E4" s="348">
        <f>S18/12</f>
        <v>4350</v>
      </c>
      <c r="F4" s="348">
        <f>S20/12</f>
        <v>7774.1227083333333</v>
      </c>
      <c r="G4" s="348">
        <f>S21/12</f>
        <v>4481.7148302187488</v>
      </c>
      <c r="H4" s="724">
        <f t="shared" ref="H4:H35" si="0">SUM(F4:G4)</f>
        <v>12255.837538552081</v>
      </c>
      <c r="I4" s="725">
        <f>D4</f>
        <v>438501.70145866112</v>
      </c>
      <c r="J4" s="725">
        <f>SUM(B4:C4)</f>
        <v>20199.166666666668</v>
      </c>
      <c r="K4" s="726">
        <f>E4</f>
        <v>4350</v>
      </c>
    </row>
    <row r="5" spans="1:30">
      <c r="A5" s="189">
        <f>EOMONTH(A4,1)</f>
        <v>43434</v>
      </c>
      <c r="B5" s="348">
        <f>B4</f>
        <v>4829.083333333333</v>
      </c>
      <c r="C5" s="721">
        <f>C4*(1+$AD$10)</f>
        <v>15908.036249999999</v>
      </c>
      <c r="D5" s="348">
        <f>D4</f>
        <v>438501.70145866112</v>
      </c>
      <c r="E5" s="348">
        <f>E4</f>
        <v>4350</v>
      </c>
      <c r="F5" s="348">
        <f>F4</f>
        <v>7774.1227083333333</v>
      </c>
      <c r="G5" s="348">
        <f>G4</f>
        <v>4481.7148302187488</v>
      </c>
      <c r="H5" s="724">
        <f t="shared" si="0"/>
        <v>12255.837538552081</v>
      </c>
      <c r="I5" s="725">
        <f t="shared" ref="I5:I68" si="1">D5</f>
        <v>438501.70145866112</v>
      </c>
      <c r="J5" s="725">
        <f t="shared" ref="J5:J68" si="2">SUM(B5:C5)</f>
        <v>20737.119583333333</v>
      </c>
      <c r="K5" s="726">
        <f t="shared" ref="K5:K68" si="3">E5</f>
        <v>4350</v>
      </c>
      <c r="S5" s="358" t="s">
        <v>581</v>
      </c>
      <c r="T5" s="358"/>
    </row>
    <row r="6" spans="1:30">
      <c r="A6" s="189">
        <f t="shared" ref="A6:A69" si="4">EOMONTH(A5,1)</f>
        <v>43465</v>
      </c>
      <c r="B6" s="348">
        <f>B4</f>
        <v>4829.083333333333</v>
      </c>
      <c r="C6" s="348">
        <f>C5</f>
        <v>15908.036249999999</v>
      </c>
      <c r="D6" s="348">
        <f t="shared" ref="D6:D15" si="5">D5</f>
        <v>438501.70145866112</v>
      </c>
      <c r="E6" s="348">
        <f t="shared" ref="E6:F69" si="6">E5</f>
        <v>4350</v>
      </c>
      <c r="F6" s="348">
        <f t="shared" ref="F6:G21" si="7">F5</f>
        <v>7774.1227083333333</v>
      </c>
      <c r="G6" s="348">
        <f t="shared" si="7"/>
        <v>4481.7148302187488</v>
      </c>
      <c r="H6" s="724">
        <f t="shared" si="0"/>
        <v>12255.837538552081</v>
      </c>
      <c r="I6" s="725">
        <f t="shared" si="1"/>
        <v>438501.70145866112</v>
      </c>
      <c r="J6" s="725">
        <f t="shared" si="2"/>
        <v>20737.119583333333</v>
      </c>
      <c r="K6" s="726">
        <f t="shared" si="3"/>
        <v>4350</v>
      </c>
    </row>
    <row r="7" spans="1:30">
      <c r="A7" s="189">
        <f t="shared" si="4"/>
        <v>43496</v>
      </c>
      <c r="B7" s="721">
        <f>B6*(1+VLOOKUP(YEAR(A7),$P$57:$Q$66,2,FALSE))</f>
        <v>4935.3231666666661</v>
      </c>
      <c r="C7" s="348">
        <f t="shared" ref="B7:C22" si="8">C6</f>
        <v>15908.036249999999</v>
      </c>
      <c r="D7" s="348">
        <f t="shared" si="5"/>
        <v>438501.70145866112</v>
      </c>
      <c r="E7" s="348">
        <f t="shared" si="6"/>
        <v>4350</v>
      </c>
      <c r="F7" s="348">
        <f t="shared" si="7"/>
        <v>7774.1227083333333</v>
      </c>
      <c r="G7" s="348">
        <f t="shared" si="7"/>
        <v>4481.7148302187488</v>
      </c>
      <c r="H7" s="724">
        <f t="shared" si="0"/>
        <v>12255.837538552081</v>
      </c>
      <c r="I7" s="725">
        <f t="shared" si="1"/>
        <v>438501.70145866112</v>
      </c>
      <c r="J7" s="725">
        <f t="shared" si="2"/>
        <v>20843.359416666666</v>
      </c>
      <c r="K7" s="726">
        <f t="shared" si="3"/>
        <v>4350</v>
      </c>
    </row>
    <row r="8" spans="1:30">
      <c r="A8" s="189">
        <f t="shared" si="4"/>
        <v>43524</v>
      </c>
      <c r="B8" s="348">
        <f t="shared" si="8"/>
        <v>4935.3231666666661</v>
      </c>
      <c r="C8" s="348">
        <f t="shared" si="8"/>
        <v>15908.036249999999</v>
      </c>
      <c r="D8" s="348">
        <f t="shared" si="5"/>
        <v>438501.70145866112</v>
      </c>
      <c r="E8" s="348">
        <f t="shared" si="6"/>
        <v>4350</v>
      </c>
      <c r="F8" s="348">
        <f t="shared" si="7"/>
        <v>7774.1227083333333</v>
      </c>
      <c r="G8" s="348">
        <f t="shared" si="7"/>
        <v>4481.7148302187488</v>
      </c>
      <c r="H8" s="724">
        <f t="shared" si="0"/>
        <v>12255.837538552081</v>
      </c>
      <c r="I8" s="725">
        <f t="shared" si="1"/>
        <v>438501.70145866112</v>
      </c>
      <c r="J8" s="725">
        <f t="shared" si="2"/>
        <v>20843.359416666666</v>
      </c>
      <c r="K8" s="726">
        <f t="shared" si="3"/>
        <v>4350</v>
      </c>
      <c r="S8" t="s">
        <v>645</v>
      </c>
      <c r="T8" s="2" t="s">
        <v>646</v>
      </c>
      <c r="U8" t="s">
        <v>647</v>
      </c>
    </row>
    <row r="9" spans="1:30">
      <c r="A9" s="189">
        <f t="shared" si="4"/>
        <v>43555</v>
      </c>
      <c r="B9" s="348">
        <f t="shared" si="8"/>
        <v>4935.3231666666661</v>
      </c>
      <c r="C9" s="348">
        <f t="shared" si="8"/>
        <v>15908.036249999999</v>
      </c>
      <c r="D9" s="348">
        <f t="shared" si="5"/>
        <v>438501.70145866112</v>
      </c>
      <c r="E9" s="348">
        <f t="shared" si="6"/>
        <v>4350</v>
      </c>
      <c r="F9" s="348">
        <f t="shared" si="7"/>
        <v>7774.1227083333333</v>
      </c>
      <c r="G9" s="348">
        <f t="shared" si="7"/>
        <v>4481.7148302187488</v>
      </c>
      <c r="H9" s="724">
        <f t="shared" si="0"/>
        <v>12255.837538552081</v>
      </c>
      <c r="I9" s="725">
        <f t="shared" si="1"/>
        <v>438501.70145866112</v>
      </c>
      <c r="J9" s="725">
        <f t="shared" si="2"/>
        <v>20843.359416666666</v>
      </c>
      <c r="K9" s="726">
        <f t="shared" si="3"/>
        <v>4350</v>
      </c>
      <c r="N9" t="s">
        <v>577</v>
      </c>
      <c r="O9" s="2" t="s">
        <v>574</v>
      </c>
      <c r="P9">
        <v>114</v>
      </c>
      <c r="Q9" s="718">
        <v>41640</v>
      </c>
      <c r="R9" s="718">
        <v>43465</v>
      </c>
      <c r="S9" s="716">
        <f>57849+100</f>
        <v>57949</v>
      </c>
      <c r="T9" s="716">
        <f t="shared" ref="T9:T21" si="9">S9/12</f>
        <v>4829.083333333333</v>
      </c>
      <c r="U9" s="664">
        <f>S9/P9</f>
        <v>508.32456140350877</v>
      </c>
      <c r="V9" t="s">
        <v>173</v>
      </c>
      <c r="W9" s="711">
        <v>0</v>
      </c>
      <c r="X9" s="698">
        <v>0</v>
      </c>
      <c r="Y9" s="711">
        <v>57849</v>
      </c>
      <c r="Z9" s="698">
        <v>507.45</v>
      </c>
      <c r="AA9" s="711">
        <v>54150</v>
      </c>
      <c r="AB9" s="698">
        <v>475</v>
      </c>
      <c r="AC9" s="189"/>
      <c r="AD9" s="189" t="s">
        <v>582</v>
      </c>
    </row>
    <row r="10" spans="1:30">
      <c r="A10" s="189">
        <f t="shared" si="4"/>
        <v>43585</v>
      </c>
      <c r="B10" s="348">
        <f t="shared" si="8"/>
        <v>4935.3231666666661</v>
      </c>
      <c r="C10" s="348">
        <f t="shared" si="8"/>
        <v>15908.036249999999</v>
      </c>
      <c r="D10" s="348">
        <f t="shared" si="5"/>
        <v>438501.70145866112</v>
      </c>
      <c r="E10" s="348">
        <f t="shared" si="6"/>
        <v>4350</v>
      </c>
      <c r="F10" s="348">
        <f t="shared" si="7"/>
        <v>7774.1227083333333</v>
      </c>
      <c r="G10" s="348">
        <f t="shared" si="7"/>
        <v>4481.7148302187488</v>
      </c>
      <c r="H10" s="724">
        <f t="shared" si="0"/>
        <v>12255.837538552081</v>
      </c>
      <c r="I10" s="725">
        <f t="shared" si="1"/>
        <v>438501.70145866112</v>
      </c>
      <c r="J10" s="725">
        <f t="shared" si="2"/>
        <v>20843.359416666666</v>
      </c>
      <c r="K10" s="726">
        <f t="shared" si="3"/>
        <v>4350</v>
      </c>
      <c r="N10" t="s">
        <v>573</v>
      </c>
      <c r="O10" t="s">
        <v>574</v>
      </c>
      <c r="P10">
        <v>343</v>
      </c>
      <c r="Q10" s="718">
        <v>41973</v>
      </c>
      <c r="R10" s="718">
        <v>44135</v>
      </c>
      <c r="S10" s="716">
        <v>184441</v>
      </c>
      <c r="T10" s="716">
        <f t="shared" si="9"/>
        <v>15370.083333333334</v>
      </c>
      <c r="U10" s="664">
        <f>S10/P10</f>
        <v>537.7288629737609</v>
      </c>
      <c r="V10" t="s">
        <v>576</v>
      </c>
      <c r="W10" s="711">
        <v>5270</v>
      </c>
      <c r="X10" s="698">
        <v>15.36</v>
      </c>
      <c r="Y10" s="711">
        <v>189711</v>
      </c>
      <c r="Z10" s="698">
        <v>553.09</v>
      </c>
      <c r="AA10" s="711">
        <v>171500</v>
      </c>
      <c r="AB10" s="698">
        <v>500</v>
      </c>
      <c r="AC10" s="189">
        <v>43422</v>
      </c>
      <c r="AD10" s="665">
        <v>3.5000000000000003E-2</v>
      </c>
    </row>
    <row r="11" spans="1:30">
      <c r="A11" s="189">
        <f t="shared" si="4"/>
        <v>43616</v>
      </c>
      <c r="B11" s="348">
        <f t="shared" si="8"/>
        <v>4935.3231666666661</v>
      </c>
      <c r="C11" s="348">
        <f t="shared" si="8"/>
        <v>15908.036249999999</v>
      </c>
      <c r="D11" s="348">
        <f t="shared" si="5"/>
        <v>438501.70145866112</v>
      </c>
      <c r="E11" s="348">
        <f t="shared" si="6"/>
        <v>4350</v>
      </c>
      <c r="F11" s="348">
        <f t="shared" si="7"/>
        <v>7774.1227083333333</v>
      </c>
      <c r="G11" s="348">
        <f t="shared" si="7"/>
        <v>4481.7148302187488</v>
      </c>
      <c r="H11" s="724">
        <f t="shared" si="0"/>
        <v>12255.837538552081</v>
      </c>
      <c r="I11" s="725">
        <f t="shared" si="1"/>
        <v>438501.70145866112</v>
      </c>
      <c r="J11" s="725">
        <f t="shared" si="2"/>
        <v>20843.359416666666</v>
      </c>
      <c r="K11" s="726">
        <f t="shared" si="3"/>
        <v>4350</v>
      </c>
      <c r="N11" t="s">
        <v>570</v>
      </c>
      <c r="O11" t="s">
        <v>575</v>
      </c>
      <c r="P11">
        <v>226</v>
      </c>
      <c r="Q11" s="718">
        <v>41183</v>
      </c>
      <c r="R11" s="718">
        <v>46660</v>
      </c>
      <c r="S11" s="714">
        <f t="shared" ref="S11:S17" si="10">U11*P11</f>
        <v>114916.81058664437</v>
      </c>
      <c r="T11" s="714">
        <f t="shared" si="9"/>
        <v>9576.4008822203632</v>
      </c>
      <c r="U11" s="664">
        <f t="shared" ref="U11:U17" si="11">$X$35</f>
        <v>508.48146277276265</v>
      </c>
      <c r="V11" t="s">
        <v>571</v>
      </c>
      <c r="W11" s="711">
        <v>1325</v>
      </c>
      <c r="X11" s="698">
        <v>5.86</v>
      </c>
      <c r="Y11" s="711">
        <v>112356</v>
      </c>
      <c r="Z11" s="698">
        <v>497.15</v>
      </c>
      <c r="AA11" s="711">
        <v>100570</v>
      </c>
      <c r="AB11" s="698">
        <v>445</v>
      </c>
      <c r="AC11" s="189">
        <v>43391</v>
      </c>
      <c r="AD11" s="665">
        <v>3.5000000000000003E-2</v>
      </c>
    </row>
    <row r="12" spans="1:30">
      <c r="A12" s="189">
        <f t="shared" si="4"/>
        <v>43646</v>
      </c>
      <c r="B12" s="348">
        <f t="shared" si="8"/>
        <v>4935.3231666666661</v>
      </c>
      <c r="C12" s="348">
        <f t="shared" si="8"/>
        <v>15908.036249999999</v>
      </c>
      <c r="D12" s="348">
        <f t="shared" si="5"/>
        <v>438501.70145866112</v>
      </c>
      <c r="E12" s="348">
        <f t="shared" si="6"/>
        <v>4350</v>
      </c>
      <c r="F12" s="348">
        <f t="shared" si="7"/>
        <v>7774.1227083333333</v>
      </c>
      <c r="G12" s="348">
        <f t="shared" si="7"/>
        <v>4481.7148302187488</v>
      </c>
      <c r="H12" s="724">
        <f t="shared" si="0"/>
        <v>12255.837538552081</v>
      </c>
      <c r="I12" s="725">
        <f t="shared" si="1"/>
        <v>438501.70145866112</v>
      </c>
      <c r="J12" s="725">
        <f t="shared" si="2"/>
        <v>20843.359416666666</v>
      </c>
      <c r="K12" s="726">
        <f t="shared" si="3"/>
        <v>4350</v>
      </c>
      <c r="N12" t="s">
        <v>570</v>
      </c>
      <c r="O12">
        <v>1</v>
      </c>
      <c r="P12" s="712">
        <v>1694.5</v>
      </c>
      <c r="Q12" s="718">
        <v>41183</v>
      </c>
      <c r="R12" s="718">
        <v>46660</v>
      </c>
      <c r="S12" s="714">
        <f t="shared" si="10"/>
        <v>861621.83866844629</v>
      </c>
      <c r="T12" s="714">
        <f t="shared" si="9"/>
        <v>71801.819889037186</v>
      </c>
      <c r="U12" s="664">
        <f t="shared" si="11"/>
        <v>508.48146277276265</v>
      </c>
      <c r="V12" t="s">
        <v>571</v>
      </c>
      <c r="W12" s="711">
        <v>9932</v>
      </c>
      <c r="X12" s="698">
        <v>5.86</v>
      </c>
      <c r="Y12" s="711">
        <v>842417</v>
      </c>
      <c r="Z12" s="698">
        <v>497.15</v>
      </c>
      <c r="AA12" s="711">
        <v>754053</v>
      </c>
      <c r="AB12" s="698">
        <v>445</v>
      </c>
      <c r="AC12" s="189">
        <v>43391</v>
      </c>
      <c r="AD12" s="665">
        <v>3.5000000000000003E-2</v>
      </c>
    </row>
    <row r="13" spans="1:30">
      <c r="A13" s="189">
        <f t="shared" si="4"/>
        <v>43677</v>
      </c>
      <c r="B13" s="348">
        <f t="shared" si="8"/>
        <v>4935.3231666666661</v>
      </c>
      <c r="C13" s="348">
        <f t="shared" si="8"/>
        <v>15908.036249999999</v>
      </c>
      <c r="D13" s="348">
        <f t="shared" si="5"/>
        <v>438501.70145866112</v>
      </c>
      <c r="E13" s="348">
        <f t="shared" si="6"/>
        <v>4350</v>
      </c>
      <c r="F13" s="348">
        <f t="shared" si="7"/>
        <v>7774.1227083333333</v>
      </c>
      <c r="G13" s="348">
        <f t="shared" si="7"/>
        <v>4481.7148302187488</v>
      </c>
      <c r="H13" s="724">
        <f t="shared" si="0"/>
        <v>12255.837538552081</v>
      </c>
      <c r="I13" s="725">
        <f t="shared" si="1"/>
        <v>438501.70145866112</v>
      </c>
      <c r="J13" s="725">
        <f t="shared" si="2"/>
        <v>20843.359416666666</v>
      </c>
      <c r="K13" s="726">
        <f t="shared" si="3"/>
        <v>4350</v>
      </c>
      <c r="N13" t="s">
        <v>570</v>
      </c>
      <c r="O13">
        <v>2</v>
      </c>
      <c r="P13" s="712">
        <v>1683</v>
      </c>
      <c r="Q13" s="718">
        <v>41183</v>
      </c>
      <c r="R13" s="718">
        <v>46660</v>
      </c>
      <c r="S13" s="714">
        <f t="shared" si="10"/>
        <v>855774.30184655951</v>
      </c>
      <c r="T13" s="714">
        <f t="shared" si="9"/>
        <v>71314.525153879964</v>
      </c>
      <c r="U13" s="664">
        <f t="shared" si="11"/>
        <v>508.48146277276265</v>
      </c>
      <c r="V13" t="s">
        <v>571</v>
      </c>
      <c r="W13" s="711">
        <v>9864</v>
      </c>
      <c r="X13" s="698">
        <v>5.86</v>
      </c>
      <c r="Y13" s="711">
        <v>836699</v>
      </c>
      <c r="Z13" s="698">
        <v>497.15</v>
      </c>
      <c r="AA13" s="711">
        <v>748935</v>
      </c>
      <c r="AB13" s="698">
        <v>445</v>
      </c>
      <c r="AC13" s="189">
        <v>43391</v>
      </c>
      <c r="AD13" s="665">
        <v>3.5000000000000003E-2</v>
      </c>
    </row>
    <row r="14" spans="1:30">
      <c r="A14" s="189">
        <f t="shared" si="4"/>
        <v>43708</v>
      </c>
      <c r="B14" s="348">
        <f t="shared" si="8"/>
        <v>4935.3231666666661</v>
      </c>
      <c r="C14" s="348">
        <f t="shared" si="8"/>
        <v>15908.036249999999</v>
      </c>
      <c r="D14" s="348">
        <f t="shared" si="5"/>
        <v>438501.70145866112</v>
      </c>
      <c r="E14" s="348">
        <f t="shared" si="6"/>
        <v>4350</v>
      </c>
      <c r="F14" s="348">
        <f t="shared" si="7"/>
        <v>7774.1227083333333</v>
      </c>
      <c r="G14" s="348">
        <f t="shared" si="7"/>
        <v>4481.7148302187488</v>
      </c>
      <c r="H14" s="724">
        <f t="shared" si="0"/>
        <v>12255.837538552081</v>
      </c>
      <c r="I14" s="725">
        <f t="shared" si="1"/>
        <v>438501.70145866112</v>
      </c>
      <c r="J14" s="725">
        <f t="shared" si="2"/>
        <v>20843.359416666666</v>
      </c>
      <c r="K14" s="726">
        <f t="shared" si="3"/>
        <v>4350</v>
      </c>
      <c r="N14" t="s">
        <v>570</v>
      </c>
      <c r="O14">
        <v>3</v>
      </c>
      <c r="P14" s="712">
        <v>1681.5</v>
      </c>
      <c r="Q14" s="718">
        <v>41183</v>
      </c>
      <c r="R14" s="718">
        <v>46660</v>
      </c>
      <c r="S14" s="714">
        <f t="shared" si="10"/>
        <v>855011.57965240045</v>
      </c>
      <c r="T14" s="714">
        <f t="shared" si="9"/>
        <v>71250.964971033376</v>
      </c>
      <c r="U14" s="664">
        <f t="shared" si="11"/>
        <v>508.48146277276265</v>
      </c>
      <c r="V14" t="s">
        <v>571</v>
      </c>
      <c r="W14" s="711">
        <v>9856</v>
      </c>
      <c r="X14" s="698">
        <v>5.86</v>
      </c>
      <c r="Y14" s="711">
        <v>835954</v>
      </c>
      <c r="Z14" s="698">
        <v>497.15</v>
      </c>
      <c r="AA14" s="711">
        <v>756675</v>
      </c>
      <c r="AB14" s="698">
        <v>450</v>
      </c>
      <c r="AC14" s="189">
        <v>43391</v>
      </c>
      <c r="AD14" s="665">
        <v>3.5000000000000003E-2</v>
      </c>
    </row>
    <row r="15" spans="1:30">
      <c r="A15" s="722">
        <f t="shared" si="4"/>
        <v>43738</v>
      </c>
      <c r="B15" s="723">
        <f t="shared" si="8"/>
        <v>4935.3231666666661</v>
      </c>
      <c r="C15" s="723">
        <f t="shared" si="8"/>
        <v>15908.036249999999</v>
      </c>
      <c r="D15" s="723">
        <f t="shared" si="5"/>
        <v>438501.70145866112</v>
      </c>
      <c r="E15" s="723">
        <f t="shared" si="6"/>
        <v>4350</v>
      </c>
      <c r="F15" s="723">
        <f t="shared" si="7"/>
        <v>7774.1227083333333</v>
      </c>
      <c r="G15" s="723">
        <f t="shared" si="7"/>
        <v>4481.7148302187488</v>
      </c>
      <c r="H15" s="727">
        <f t="shared" si="0"/>
        <v>12255.837538552081</v>
      </c>
      <c r="I15" s="723">
        <f t="shared" si="1"/>
        <v>438501.70145866112</v>
      </c>
      <c r="J15" s="723">
        <f t="shared" si="2"/>
        <v>20843.359416666666</v>
      </c>
      <c r="K15" s="728">
        <f t="shared" si="3"/>
        <v>4350</v>
      </c>
      <c r="N15" t="s">
        <v>570</v>
      </c>
      <c r="O15">
        <v>4</v>
      </c>
      <c r="P15" s="712">
        <v>1682</v>
      </c>
      <c r="Q15" s="718">
        <v>41183</v>
      </c>
      <c r="R15" s="718">
        <v>46660</v>
      </c>
      <c r="S15" s="714">
        <f t="shared" si="10"/>
        <v>855265.82038378681</v>
      </c>
      <c r="T15" s="714">
        <f t="shared" si="9"/>
        <v>71272.1516986489</v>
      </c>
      <c r="U15" s="664">
        <f t="shared" si="11"/>
        <v>508.48146277276265</v>
      </c>
      <c r="V15" t="s">
        <v>571</v>
      </c>
      <c r="W15" s="711">
        <v>9859</v>
      </c>
      <c r="X15" s="698">
        <v>5.86</v>
      </c>
      <c r="Y15" s="711">
        <v>836203</v>
      </c>
      <c r="Z15" s="698">
        <v>497.15</v>
      </c>
      <c r="AA15" s="711">
        <v>765310</v>
      </c>
      <c r="AB15" s="698">
        <v>455</v>
      </c>
      <c r="AC15" s="189">
        <v>43391</v>
      </c>
      <c r="AD15" s="665">
        <v>3.5000000000000003E-2</v>
      </c>
    </row>
    <row r="16" spans="1:30">
      <c r="A16" s="189">
        <f t="shared" si="4"/>
        <v>43769</v>
      </c>
      <c r="B16" s="348">
        <f t="shared" si="8"/>
        <v>4935.3231666666661</v>
      </c>
      <c r="C16" s="348">
        <f t="shared" si="8"/>
        <v>15908.036249999999</v>
      </c>
      <c r="D16" s="721">
        <f>D15*(1+$AD$11)</f>
        <v>453849.26100971422</v>
      </c>
      <c r="E16" s="348">
        <f t="shared" si="6"/>
        <v>4350</v>
      </c>
      <c r="F16" s="721">
        <f>F15*(1+$AD$20)</f>
        <v>8026.7816963541663</v>
      </c>
      <c r="G16" s="760">
        <f>G15*(1+$AD$21)</f>
        <v>4638.5748492764051</v>
      </c>
      <c r="H16" s="724">
        <f t="shared" si="0"/>
        <v>12665.356545630571</v>
      </c>
      <c r="I16" s="725">
        <f t="shared" si="1"/>
        <v>453849.26100971422</v>
      </c>
      <c r="J16" s="725">
        <f t="shared" si="2"/>
        <v>20843.359416666666</v>
      </c>
      <c r="K16" s="726">
        <f t="shared" si="3"/>
        <v>4350</v>
      </c>
      <c r="N16" t="s">
        <v>570</v>
      </c>
      <c r="O16">
        <v>5</v>
      </c>
      <c r="P16" s="712">
        <v>1691</v>
      </c>
      <c r="Q16" s="718">
        <v>41183</v>
      </c>
      <c r="R16" s="718">
        <v>46660</v>
      </c>
      <c r="S16" s="714">
        <f t="shared" si="10"/>
        <v>859842.1535487416</v>
      </c>
      <c r="T16" s="714">
        <f t="shared" si="9"/>
        <v>71653.512795728471</v>
      </c>
      <c r="U16" s="664">
        <f t="shared" si="11"/>
        <v>508.48146277276265</v>
      </c>
      <c r="V16" t="s">
        <v>571</v>
      </c>
      <c r="W16" s="711">
        <v>9911</v>
      </c>
      <c r="X16" s="698">
        <v>5.86</v>
      </c>
      <c r="Y16" s="711">
        <v>840676</v>
      </c>
      <c r="Z16" s="698">
        <v>497.15</v>
      </c>
      <c r="AA16" s="711">
        <v>777860</v>
      </c>
      <c r="AB16" s="698">
        <v>460</v>
      </c>
      <c r="AC16" s="189">
        <v>43391</v>
      </c>
      <c r="AD16" s="665">
        <v>3.5000000000000003E-2</v>
      </c>
    </row>
    <row r="17" spans="1:30">
      <c r="A17" s="189">
        <f t="shared" si="4"/>
        <v>43799</v>
      </c>
      <c r="B17" s="348">
        <f t="shared" si="8"/>
        <v>4935.3231666666661</v>
      </c>
      <c r="C17" s="721">
        <f>C16*(1+$AD$10)</f>
        <v>16464.817518749998</v>
      </c>
      <c r="D17" s="348">
        <f>D16</f>
        <v>453849.26100971422</v>
      </c>
      <c r="E17" s="348">
        <f t="shared" si="6"/>
        <v>4350</v>
      </c>
      <c r="F17" s="348">
        <f>F16</f>
        <v>8026.7816963541663</v>
      </c>
      <c r="G17" s="760">
        <f t="shared" si="7"/>
        <v>4638.5748492764051</v>
      </c>
      <c r="H17" s="724">
        <f t="shared" si="0"/>
        <v>12665.356545630571</v>
      </c>
      <c r="I17" s="725">
        <f t="shared" si="1"/>
        <v>453849.26100971422</v>
      </c>
      <c r="J17" s="725">
        <f t="shared" si="2"/>
        <v>21400.140685416663</v>
      </c>
      <c r="K17" s="726">
        <f t="shared" si="3"/>
        <v>4350</v>
      </c>
      <c r="N17" t="s">
        <v>570</v>
      </c>
      <c r="O17">
        <v>6</v>
      </c>
      <c r="P17" s="712">
        <v>1690.5</v>
      </c>
      <c r="Q17" s="718">
        <v>41183</v>
      </c>
      <c r="R17" s="718">
        <v>46660</v>
      </c>
      <c r="S17" s="714">
        <f t="shared" si="10"/>
        <v>859587.91281735525</v>
      </c>
      <c r="T17" s="714">
        <f t="shared" si="9"/>
        <v>71632.326068112932</v>
      </c>
      <c r="U17" s="664">
        <f t="shared" si="11"/>
        <v>508.48146277276265</v>
      </c>
      <c r="V17" t="s">
        <v>571</v>
      </c>
      <c r="W17" s="711">
        <v>9908</v>
      </c>
      <c r="X17" s="698">
        <v>5.86</v>
      </c>
      <c r="Y17" s="711">
        <v>840428</v>
      </c>
      <c r="Z17" s="698">
        <v>497.15</v>
      </c>
      <c r="AA17" s="711">
        <v>786083</v>
      </c>
      <c r="AB17" s="698">
        <v>465</v>
      </c>
      <c r="AC17" s="189">
        <v>43391</v>
      </c>
      <c r="AD17" s="665">
        <v>3.5000000000000003E-2</v>
      </c>
    </row>
    <row r="18" spans="1:30">
      <c r="A18" s="189">
        <f t="shared" si="4"/>
        <v>43830</v>
      </c>
      <c r="B18" s="348">
        <f t="shared" si="8"/>
        <v>4935.3231666666661</v>
      </c>
      <c r="C18" s="348">
        <f>C17</f>
        <v>16464.817518749998</v>
      </c>
      <c r="D18" s="348">
        <f t="shared" ref="D18:D27" si="12">D17</f>
        <v>453849.26100971422</v>
      </c>
      <c r="E18" s="348">
        <f t="shared" si="6"/>
        <v>4350</v>
      </c>
      <c r="F18" s="348">
        <f t="shared" ref="F18:G27" si="13">F17</f>
        <v>8026.7816963541663</v>
      </c>
      <c r="G18" s="760">
        <f t="shared" si="7"/>
        <v>4638.5748492764051</v>
      </c>
      <c r="H18" s="724">
        <f t="shared" si="0"/>
        <v>12665.356545630571</v>
      </c>
      <c r="I18" s="725">
        <f t="shared" si="1"/>
        <v>453849.26100971422</v>
      </c>
      <c r="J18" s="725">
        <f t="shared" si="2"/>
        <v>21400.140685416663</v>
      </c>
      <c r="K18" s="726">
        <f t="shared" si="3"/>
        <v>4350</v>
      </c>
      <c r="N18" t="s">
        <v>570</v>
      </c>
      <c r="O18" t="s">
        <v>572</v>
      </c>
      <c r="P18">
        <v>261</v>
      </c>
      <c r="Q18" s="718">
        <v>41183</v>
      </c>
      <c r="R18" s="718">
        <v>46660</v>
      </c>
      <c r="S18" s="348">
        <v>52200</v>
      </c>
      <c r="T18" s="348">
        <f t="shared" si="9"/>
        <v>4350</v>
      </c>
      <c r="U18" s="664">
        <f>S18/P18</f>
        <v>200</v>
      </c>
      <c r="V18" s="698" t="s">
        <v>173</v>
      </c>
      <c r="W18" s="711">
        <v>0</v>
      </c>
      <c r="X18" s="711">
        <v>0</v>
      </c>
      <c r="Y18" s="698">
        <v>52200</v>
      </c>
      <c r="Z18" s="711">
        <v>200</v>
      </c>
      <c r="AA18" s="698">
        <v>58725</v>
      </c>
      <c r="AB18" s="711">
        <v>225</v>
      </c>
      <c r="AC18" s="698" t="s">
        <v>414</v>
      </c>
      <c r="AD18" s="710" t="s">
        <v>414</v>
      </c>
    </row>
    <row r="19" spans="1:30">
      <c r="A19" s="189">
        <f t="shared" si="4"/>
        <v>43861</v>
      </c>
      <c r="B19" s="721">
        <f>B18*(1+VLOOKUP(YEAR(A19),$P$57:$Q$66,2,FALSE))</f>
        <v>5048.8355994999993</v>
      </c>
      <c r="C19" s="348">
        <f t="shared" ref="C19:C28" si="14">C18</f>
        <v>16464.817518749998</v>
      </c>
      <c r="D19" s="348">
        <f t="shared" si="12"/>
        <v>453849.26100971422</v>
      </c>
      <c r="E19" s="348">
        <f t="shared" si="6"/>
        <v>4350</v>
      </c>
      <c r="F19" s="348">
        <f t="shared" si="13"/>
        <v>8026.7816963541663</v>
      </c>
      <c r="G19" s="760">
        <f t="shared" si="7"/>
        <v>4638.5748492764051</v>
      </c>
      <c r="H19" s="724">
        <f t="shared" si="0"/>
        <v>12665.356545630571</v>
      </c>
      <c r="I19" s="725">
        <f t="shared" si="1"/>
        <v>453849.26100971422</v>
      </c>
      <c r="J19" s="725">
        <f t="shared" si="2"/>
        <v>21513.653118249997</v>
      </c>
      <c r="K19" s="726">
        <f t="shared" si="3"/>
        <v>4350</v>
      </c>
      <c r="P19">
        <f>SUM(P9:P17)</f>
        <v>10805.5</v>
      </c>
      <c r="Q19" s="719"/>
      <c r="R19" s="719"/>
    </row>
    <row r="20" spans="1:30">
      <c r="A20" s="189">
        <f t="shared" si="4"/>
        <v>43890</v>
      </c>
      <c r="B20" s="348">
        <f t="shared" si="8"/>
        <v>5048.8355994999993</v>
      </c>
      <c r="C20" s="348">
        <f t="shared" si="14"/>
        <v>16464.817518749998</v>
      </c>
      <c r="D20" s="348">
        <f t="shared" si="12"/>
        <v>453849.26100971422</v>
      </c>
      <c r="E20" s="348">
        <f t="shared" si="6"/>
        <v>4350</v>
      </c>
      <c r="F20" s="348">
        <f t="shared" si="13"/>
        <v>8026.7816963541663</v>
      </c>
      <c r="G20" s="760">
        <f t="shared" si="7"/>
        <v>4638.5748492764051</v>
      </c>
      <c r="H20" s="724">
        <f t="shared" si="0"/>
        <v>12665.356545630571</v>
      </c>
      <c r="I20" s="725">
        <f t="shared" si="1"/>
        <v>453849.26100971422</v>
      </c>
      <c r="J20" s="725">
        <f t="shared" si="2"/>
        <v>21513.653118249997</v>
      </c>
      <c r="K20" s="726">
        <f t="shared" si="3"/>
        <v>4350</v>
      </c>
      <c r="N20" t="s">
        <v>578</v>
      </c>
      <c r="O20" s="710" t="s">
        <v>569</v>
      </c>
      <c r="P20" s="348">
        <v>31</v>
      </c>
      <c r="Q20" s="720">
        <v>41183</v>
      </c>
      <c r="R20" s="720">
        <v>59444</v>
      </c>
      <c r="S20" s="717">
        <f>90353*1.0325</f>
        <v>93289.472500000003</v>
      </c>
      <c r="T20" s="717">
        <f t="shared" si="9"/>
        <v>7774.1227083333333</v>
      </c>
      <c r="U20" s="348">
        <f>S20/P20</f>
        <v>3009.3378225806455</v>
      </c>
      <c r="V20" s="711" t="s">
        <v>173</v>
      </c>
      <c r="W20" s="698">
        <v>0</v>
      </c>
      <c r="X20" s="711">
        <v>0</v>
      </c>
      <c r="Y20" s="698">
        <v>90353</v>
      </c>
      <c r="Z20" s="711">
        <v>2915</v>
      </c>
      <c r="AA20" s="711">
        <v>65100</v>
      </c>
      <c r="AB20" s="711">
        <v>2100</v>
      </c>
      <c r="AC20" s="189">
        <v>43391</v>
      </c>
      <c r="AD20" s="360">
        <v>3.2500000000000001E-2</v>
      </c>
    </row>
    <row r="21" spans="1:30">
      <c r="A21" s="189">
        <f t="shared" si="4"/>
        <v>43921</v>
      </c>
      <c r="B21" s="348">
        <f t="shared" si="8"/>
        <v>5048.8355994999993</v>
      </c>
      <c r="C21" s="348">
        <f t="shared" si="14"/>
        <v>16464.817518749998</v>
      </c>
      <c r="D21" s="348">
        <f t="shared" si="12"/>
        <v>453849.26100971422</v>
      </c>
      <c r="E21" s="348">
        <f t="shared" si="6"/>
        <v>4350</v>
      </c>
      <c r="F21" s="348">
        <f t="shared" si="13"/>
        <v>8026.7816963541663</v>
      </c>
      <c r="G21" s="760">
        <f t="shared" si="7"/>
        <v>4638.5748492764051</v>
      </c>
      <c r="H21" s="724">
        <f t="shared" si="0"/>
        <v>12665.356545630571</v>
      </c>
      <c r="I21" s="725">
        <f t="shared" si="1"/>
        <v>453849.26100971422</v>
      </c>
      <c r="J21" s="725">
        <f t="shared" si="2"/>
        <v>21513.653118249997</v>
      </c>
      <c r="K21" s="726">
        <f t="shared" si="3"/>
        <v>4350</v>
      </c>
      <c r="N21" t="s">
        <v>570</v>
      </c>
      <c r="O21" t="s">
        <v>569</v>
      </c>
      <c r="P21" s="348">
        <v>25</v>
      </c>
      <c r="Q21" s="718">
        <v>41183</v>
      </c>
      <c r="R21" s="718">
        <v>46660</v>
      </c>
      <c r="S21" s="717">
        <f>X36</f>
        <v>53780.577962624986</v>
      </c>
      <c r="T21" s="717">
        <f t="shared" si="9"/>
        <v>4481.7148302187488</v>
      </c>
      <c r="U21" s="348">
        <f>S21/P21</f>
        <v>2151.2231185049995</v>
      </c>
      <c r="V21" t="s">
        <v>173</v>
      </c>
      <c r="W21" s="711">
        <v>0</v>
      </c>
      <c r="X21" s="698">
        <v>0</v>
      </c>
      <c r="Y21" s="711">
        <v>51962</v>
      </c>
      <c r="Z21" s="698">
        <v>2078</v>
      </c>
      <c r="AA21" s="711">
        <v>52500</v>
      </c>
      <c r="AB21" s="698">
        <v>2100</v>
      </c>
      <c r="AC21" s="189">
        <v>43391</v>
      </c>
      <c r="AD21" s="360">
        <v>3.5000000000000003E-2</v>
      </c>
    </row>
    <row r="22" spans="1:30">
      <c r="A22" s="189">
        <f t="shared" si="4"/>
        <v>43951</v>
      </c>
      <c r="B22" s="348">
        <f t="shared" si="8"/>
        <v>5048.8355994999993</v>
      </c>
      <c r="C22" s="348">
        <f t="shared" si="14"/>
        <v>16464.817518749998</v>
      </c>
      <c r="D22" s="348">
        <f t="shared" si="12"/>
        <v>453849.26100971422</v>
      </c>
      <c r="E22" s="348">
        <f t="shared" si="6"/>
        <v>4350</v>
      </c>
      <c r="F22" s="348">
        <f t="shared" si="13"/>
        <v>8026.7816963541663</v>
      </c>
      <c r="G22" s="760">
        <f t="shared" si="13"/>
        <v>4638.5748492764051</v>
      </c>
      <c r="H22" s="724">
        <f t="shared" si="0"/>
        <v>12665.356545630571</v>
      </c>
      <c r="I22" s="725">
        <f t="shared" si="1"/>
        <v>453849.26100971422</v>
      </c>
      <c r="J22" s="725">
        <f t="shared" si="2"/>
        <v>21513.653118249997</v>
      </c>
      <c r="K22" s="726">
        <f t="shared" si="3"/>
        <v>4350</v>
      </c>
    </row>
    <row r="23" spans="1:30">
      <c r="A23" s="189">
        <f t="shared" si="4"/>
        <v>43982</v>
      </c>
      <c r="B23" s="348">
        <f t="shared" ref="B23:B30" si="15">B22</f>
        <v>5048.8355994999993</v>
      </c>
      <c r="C23" s="348">
        <f t="shared" si="14"/>
        <v>16464.817518749998</v>
      </c>
      <c r="D23" s="348">
        <f t="shared" si="12"/>
        <v>453849.26100971422</v>
      </c>
      <c r="E23" s="348">
        <f t="shared" si="6"/>
        <v>4350</v>
      </c>
      <c r="F23" s="348">
        <f t="shared" si="13"/>
        <v>8026.7816963541663</v>
      </c>
      <c r="G23" s="760">
        <f t="shared" si="13"/>
        <v>4638.5748492764051</v>
      </c>
      <c r="H23" s="724">
        <f t="shared" si="0"/>
        <v>12665.356545630571</v>
      </c>
      <c r="I23" s="725">
        <f t="shared" si="1"/>
        <v>453849.26100971422</v>
      </c>
      <c r="J23" s="725">
        <f t="shared" si="2"/>
        <v>21513.653118249997</v>
      </c>
      <c r="K23" s="726">
        <f t="shared" si="3"/>
        <v>4350</v>
      </c>
      <c r="Q23" s="719"/>
      <c r="R23" s="719"/>
      <c r="U23" s="710"/>
      <c r="V23" s="710"/>
      <c r="W23" s="711"/>
      <c r="X23" s="698"/>
      <c r="AB23" s="711"/>
      <c r="AC23" s="698"/>
      <c r="AD23" s="711"/>
    </row>
    <row r="24" spans="1:30">
      <c r="A24" s="189">
        <f t="shared" si="4"/>
        <v>44012</v>
      </c>
      <c r="B24" s="348">
        <f t="shared" si="15"/>
        <v>5048.8355994999993</v>
      </c>
      <c r="C24" s="348">
        <f t="shared" si="14"/>
        <v>16464.817518749998</v>
      </c>
      <c r="D24" s="348">
        <f t="shared" si="12"/>
        <v>453849.26100971422</v>
      </c>
      <c r="E24" s="348">
        <f t="shared" si="6"/>
        <v>4350</v>
      </c>
      <c r="F24" s="348">
        <f t="shared" si="13"/>
        <v>8026.7816963541663</v>
      </c>
      <c r="G24" s="760">
        <f t="shared" si="13"/>
        <v>4638.5748492764051</v>
      </c>
      <c r="H24" s="724">
        <f t="shared" si="0"/>
        <v>12665.356545630571</v>
      </c>
      <c r="I24" s="725">
        <f t="shared" si="1"/>
        <v>453849.26100971422</v>
      </c>
      <c r="J24" s="725">
        <f t="shared" si="2"/>
        <v>21513.653118249997</v>
      </c>
      <c r="K24" s="726">
        <f t="shared" si="3"/>
        <v>4350</v>
      </c>
      <c r="Q24" s="719"/>
      <c r="R24" s="719"/>
      <c r="S24" s="710"/>
      <c r="T24" s="710"/>
      <c r="U24" s="710"/>
      <c r="V24" s="711"/>
      <c r="W24" s="698"/>
      <c r="Y24" s="711"/>
      <c r="Z24" s="698"/>
      <c r="AA24" s="711"/>
      <c r="AB24" s="698"/>
      <c r="AC24" s="711"/>
      <c r="AD24" s="698"/>
    </row>
    <row r="25" spans="1:30">
      <c r="A25" s="189">
        <f t="shared" si="4"/>
        <v>44043</v>
      </c>
      <c r="B25" s="348">
        <f t="shared" si="15"/>
        <v>5048.8355994999993</v>
      </c>
      <c r="C25" s="348">
        <f t="shared" si="14"/>
        <v>16464.817518749998</v>
      </c>
      <c r="D25" s="348">
        <f t="shared" si="12"/>
        <v>453849.26100971422</v>
      </c>
      <c r="E25" s="348">
        <f t="shared" si="6"/>
        <v>4350</v>
      </c>
      <c r="F25" s="348">
        <f t="shared" si="13"/>
        <v>8026.7816963541663</v>
      </c>
      <c r="G25" s="760">
        <f t="shared" si="13"/>
        <v>4638.5748492764051</v>
      </c>
      <c r="H25" s="724">
        <f t="shared" si="0"/>
        <v>12665.356545630571</v>
      </c>
      <c r="I25" s="725">
        <f t="shared" si="1"/>
        <v>453849.26100971422</v>
      </c>
      <c r="J25" s="725">
        <f t="shared" si="2"/>
        <v>21513.653118249997</v>
      </c>
      <c r="K25" s="726">
        <f t="shared" si="3"/>
        <v>4350</v>
      </c>
    </row>
    <row r="26" spans="1:30">
      <c r="A26" s="189">
        <f t="shared" si="4"/>
        <v>44074</v>
      </c>
      <c r="B26" s="348">
        <f t="shared" si="15"/>
        <v>5048.8355994999993</v>
      </c>
      <c r="C26" s="348">
        <f t="shared" si="14"/>
        <v>16464.817518749998</v>
      </c>
      <c r="D26" s="348">
        <f t="shared" si="12"/>
        <v>453849.26100971422</v>
      </c>
      <c r="E26" s="348">
        <f t="shared" si="6"/>
        <v>4350</v>
      </c>
      <c r="F26" s="348">
        <f t="shared" si="13"/>
        <v>8026.7816963541663</v>
      </c>
      <c r="G26" s="760">
        <f t="shared" si="13"/>
        <v>4638.5748492764051</v>
      </c>
      <c r="H26" s="724">
        <f t="shared" si="0"/>
        <v>12665.356545630571</v>
      </c>
      <c r="I26" s="725">
        <f t="shared" si="1"/>
        <v>453849.26100971422</v>
      </c>
      <c r="J26" s="725">
        <f t="shared" si="2"/>
        <v>21513.653118249997</v>
      </c>
      <c r="K26" s="726">
        <f t="shared" si="3"/>
        <v>4350</v>
      </c>
    </row>
    <row r="27" spans="1:30">
      <c r="A27" s="722">
        <f t="shared" si="4"/>
        <v>44104</v>
      </c>
      <c r="B27" s="723">
        <f t="shared" si="15"/>
        <v>5048.8355994999993</v>
      </c>
      <c r="C27" s="723">
        <f t="shared" si="14"/>
        <v>16464.817518749998</v>
      </c>
      <c r="D27" s="723">
        <f t="shared" si="12"/>
        <v>453849.26100971422</v>
      </c>
      <c r="E27" s="723">
        <f t="shared" si="6"/>
        <v>4350</v>
      </c>
      <c r="F27" s="723">
        <f t="shared" si="13"/>
        <v>8026.7816963541663</v>
      </c>
      <c r="G27" s="761">
        <f t="shared" si="13"/>
        <v>4638.5748492764051</v>
      </c>
      <c r="H27" s="727">
        <f t="shared" si="0"/>
        <v>12665.356545630571</v>
      </c>
      <c r="I27" s="723">
        <f t="shared" si="1"/>
        <v>453849.26100971422</v>
      </c>
      <c r="J27" s="723">
        <f t="shared" si="2"/>
        <v>21513.653118249997</v>
      </c>
      <c r="K27" s="728">
        <f t="shared" si="3"/>
        <v>4350</v>
      </c>
      <c r="Q27" s="712"/>
      <c r="R27" s="710"/>
      <c r="S27" s="710"/>
      <c r="T27" s="710"/>
      <c r="U27" s="711"/>
      <c r="V27" s="698"/>
      <c r="X27" s="711"/>
      <c r="Y27" s="698"/>
      <c r="Z27" s="711"/>
      <c r="AA27" s="698"/>
      <c r="AB27" s="711"/>
      <c r="AC27" s="698"/>
      <c r="AD27" s="710"/>
    </row>
    <row r="28" spans="1:30">
      <c r="A28" s="758">
        <f t="shared" si="4"/>
        <v>44135</v>
      </c>
      <c r="B28" s="725">
        <f t="shared" si="15"/>
        <v>5048.8355994999993</v>
      </c>
      <c r="C28" s="725">
        <f t="shared" si="14"/>
        <v>16464.817518749998</v>
      </c>
      <c r="D28" s="759">
        <f>D27*(1+$AD$11)</f>
        <v>469733.98514505418</v>
      </c>
      <c r="E28" s="725">
        <f t="shared" si="6"/>
        <v>4350</v>
      </c>
      <c r="F28" s="759">
        <f>F27*(1+$AD$20)</f>
        <v>8287.6521014856771</v>
      </c>
      <c r="G28" s="762">
        <f>G27*(1+$AD$21)</f>
        <v>4800.9249690010793</v>
      </c>
      <c r="H28" s="724">
        <f t="shared" si="0"/>
        <v>13088.577070486757</v>
      </c>
      <c r="I28" s="725">
        <f t="shared" si="1"/>
        <v>469733.98514505418</v>
      </c>
      <c r="J28" s="725">
        <f t="shared" si="2"/>
        <v>21513.653118249997</v>
      </c>
      <c r="K28" s="726">
        <f t="shared" si="3"/>
        <v>4350</v>
      </c>
    </row>
    <row r="29" spans="1:30" ht="12" customHeight="1">
      <c r="A29" s="189">
        <f t="shared" si="4"/>
        <v>44165</v>
      </c>
      <c r="B29" s="348">
        <f t="shared" si="15"/>
        <v>5048.8355994999993</v>
      </c>
      <c r="C29" s="721">
        <f>C28*(1+$AD$10)</f>
        <v>17041.086131906246</v>
      </c>
      <c r="D29" s="348">
        <f>D28</f>
        <v>469733.98514505418</v>
      </c>
      <c r="E29" s="348">
        <f t="shared" si="6"/>
        <v>4350</v>
      </c>
      <c r="F29" s="348">
        <f>F28</f>
        <v>8287.6521014856771</v>
      </c>
      <c r="G29" s="760">
        <f t="shared" ref="G29:G39" si="16">G28</f>
        <v>4800.9249690010793</v>
      </c>
      <c r="H29" s="724">
        <f t="shared" si="0"/>
        <v>13088.577070486757</v>
      </c>
      <c r="I29" s="725">
        <f t="shared" si="1"/>
        <v>469733.98514505418</v>
      </c>
      <c r="J29" s="725">
        <f t="shared" si="2"/>
        <v>22089.921731406244</v>
      </c>
      <c r="K29" s="726">
        <f t="shared" si="3"/>
        <v>4350</v>
      </c>
      <c r="Q29" s="712"/>
      <c r="R29" s="710"/>
      <c r="S29" s="710"/>
      <c r="T29" s="710"/>
      <c r="U29" s="711"/>
      <c r="V29" s="698"/>
      <c r="X29" s="711"/>
      <c r="Y29" s="698"/>
      <c r="Z29" s="711"/>
      <c r="AA29" s="698"/>
      <c r="AB29" s="711"/>
      <c r="AC29" s="698"/>
      <c r="AD29" s="710"/>
    </row>
    <row r="30" spans="1:30" ht="12" customHeight="1">
      <c r="A30" s="189">
        <f t="shared" si="4"/>
        <v>44196</v>
      </c>
      <c r="B30" s="348">
        <f t="shared" si="15"/>
        <v>5048.8355994999993</v>
      </c>
      <c r="C30" s="348">
        <f>C29</f>
        <v>17041.086131906246</v>
      </c>
      <c r="D30" s="348">
        <f t="shared" ref="D30:D39" si="17">D29</f>
        <v>469733.98514505418</v>
      </c>
      <c r="E30" s="348">
        <f t="shared" si="6"/>
        <v>4350</v>
      </c>
      <c r="F30" s="348">
        <f t="shared" si="6"/>
        <v>8287.6521014856771</v>
      </c>
      <c r="G30" s="760">
        <f t="shared" si="16"/>
        <v>4800.9249690010793</v>
      </c>
      <c r="H30" s="724">
        <f t="shared" si="0"/>
        <v>13088.577070486757</v>
      </c>
      <c r="I30" s="725">
        <f t="shared" si="1"/>
        <v>469733.98514505418</v>
      </c>
      <c r="J30" s="725">
        <f t="shared" si="2"/>
        <v>22089.921731406244</v>
      </c>
      <c r="K30" s="726">
        <f t="shared" si="3"/>
        <v>4350</v>
      </c>
    </row>
    <row r="31" spans="1:30" ht="12" customHeight="1">
      <c r="A31" s="189">
        <f t="shared" si="4"/>
        <v>44227</v>
      </c>
      <c r="B31" s="721">
        <f>B30*(1+VLOOKUP(YEAR(A31),$P$57:$Q$66,2,FALSE))</f>
        <v>5170.0076538879994</v>
      </c>
      <c r="C31" s="348">
        <f t="shared" ref="C31:C40" si="18">C30</f>
        <v>17041.086131906246</v>
      </c>
      <c r="D31" s="348">
        <f t="shared" si="17"/>
        <v>469733.98514505418</v>
      </c>
      <c r="E31" s="348">
        <f t="shared" si="6"/>
        <v>4350</v>
      </c>
      <c r="F31" s="348">
        <f t="shared" si="6"/>
        <v>8287.6521014856771</v>
      </c>
      <c r="G31" s="760">
        <f t="shared" si="16"/>
        <v>4800.9249690010793</v>
      </c>
      <c r="H31" s="724">
        <f t="shared" si="0"/>
        <v>13088.577070486757</v>
      </c>
      <c r="I31" s="725">
        <f t="shared" si="1"/>
        <v>469733.98514505418</v>
      </c>
      <c r="J31" s="725">
        <f t="shared" si="2"/>
        <v>22211.093785794244</v>
      </c>
      <c r="K31" s="726">
        <f t="shared" si="3"/>
        <v>4350</v>
      </c>
    </row>
    <row r="32" spans="1:30" ht="12" customHeight="1">
      <c r="A32" s="189">
        <f t="shared" si="4"/>
        <v>44255</v>
      </c>
      <c r="B32" s="348">
        <f t="shared" ref="B32:B42" si="19">B31</f>
        <v>5170.0076538879994</v>
      </c>
      <c r="C32" s="348">
        <f t="shared" si="18"/>
        <v>17041.086131906246</v>
      </c>
      <c r="D32" s="348">
        <f t="shared" si="17"/>
        <v>469733.98514505418</v>
      </c>
      <c r="E32" s="348">
        <f t="shared" si="6"/>
        <v>4350</v>
      </c>
      <c r="F32" s="348">
        <f t="shared" si="6"/>
        <v>8287.6521014856771</v>
      </c>
      <c r="G32" s="760">
        <f t="shared" si="16"/>
        <v>4800.9249690010793</v>
      </c>
      <c r="H32" s="724">
        <f t="shared" si="0"/>
        <v>13088.577070486757</v>
      </c>
      <c r="I32" s="725">
        <f t="shared" si="1"/>
        <v>469733.98514505418</v>
      </c>
      <c r="J32" s="725">
        <f t="shared" si="2"/>
        <v>22211.093785794244</v>
      </c>
      <c r="K32" s="726">
        <f t="shared" si="3"/>
        <v>4350</v>
      </c>
    </row>
    <row r="33" spans="1:30" ht="12" customHeight="1">
      <c r="A33" s="189">
        <f t="shared" si="4"/>
        <v>44286</v>
      </c>
      <c r="B33" s="348">
        <f t="shared" si="19"/>
        <v>5170.0076538879994</v>
      </c>
      <c r="C33" s="348">
        <f t="shared" si="18"/>
        <v>17041.086131906246</v>
      </c>
      <c r="D33" s="348">
        <f t="shared" si="17"/>
        <v>469733.98514505418</v>
      </c>
      <c r="E33" s="348">
        <f t="shared" si="6"/>
        <v>4350</v>
      </c>
      <c r="F33" s="348">
        <f t="shared" si="6"/>
        <v>8287.6521014856771</v>
      </c>
      <c r="G33" s="760">
        <f t="shared" si="16"/>
        <v>4800.9249690010793</v>
      </c>
      <c r="H33" s="724">
        <f t="shared" si="0"/>
        <v>13088.577070486757</v>
      </c>
      <c r="I33" s="725">
        <f t="shared" si="1"/>
        <v>469733.98514505418</v>
      </c>
      <c r="J33" s="725">
        <f t="shared" si="2"/>
        <v>22211.093785794244</v>
      </c>
      <c r="K33" s="726">
        <f t="shared" si="3"/>
        <v>4350</v>
      </c>
      <c r="Q33" s="3">
        <v>41183</v>
      </c>
      <c r="R33" s="189">
        <f>EDATE(Q33,12)</f>
        <v>41548</v>
      </c>
      <c r="S33" s="189">
        <f>EDATE(R33,12)</f>
        <v>41913</v>
      </c>
      <c r="T33" s="189"/>
      <c r="U33" s="189">
        <f>EDATE(S33,12)</f>
        <v>42278</v>
      </c>
      <c r="V33" s="189">
        <f t="shared" ref="V33:X33" si="20">EDATE(U33,12)</f>
        <v>42644</v>
      </c>
      <c r="W33" s="189">
        <f t="shared" si="20"/>
        <v>43009</v>
      </c>
      <c r="X33" s="189">
        <f t="shared" si="20"/>
        <v>43374</v>
      </c>
      <c r="Y33" s="189">
        <f>EDATE(X33,12)</f>
        <v>43739</v>
      </c>
      <c r="Z33" s="189">
        <f>EDATE(Y33,12)</f>
        <v>44105</v>
      </c>
    </row>
    <row r="34" spans="1:30" ht="12" customHeight="1">
      <c r="A34" s="189">
        <f t="shared" si="4"/>
        <v>44316</v>
      </c>
      <c r="B34" s="348">
        <f t="shared" si="19"/>
        <v>5170.0076538879994</v>
      </c>
      <c r="C34" s="348">
        <f t="shared" si="18"/>
        <v>17041.086131906246</v>
      </c>
      <c r="D34" s="348">
        <f t="shared" si="17"/>
        <v>469733.98514505418</v>
      </c>
      <c r="E34" s="348">
        <f t="shared" si="6"/>
        <v>4350</v>
      </c>
      <c r="F34" s="348">
        <f t="shared" si="6"/>
        <v>8287.6521014856771</v>
      </c>
      <c r="G34" s="760">
        <f t="shared" si="16"/>
        <v>4800.9249690010793</v>
      </c>
      <c r="H34" s="724">
        <f t="shared" si="0"/>
        <v>13088.577070486757</v>
      </c>
      <c r="I34" s="725">
        <f t="shared" si="1"/>
        <v>469733.98514505418</v>
      </c>
      <c r="J34" s="725">
        <f t="shared" si="2"/>
        <v>22211.093785794244</v>
      </c>
      <c r="K34" s="726">
        <f t="shared" si="3"/>
        <v>4350</v>
      </c>
      <c r="O34" t="s">
        <v>580</v>
      </c>
      <c r="Q34" s="348">
        <v>4280657</v>
      </c>
      <c r="R34" s="348">
        <f>Q34*1.035</f>
        <v>4430479.9950000001</v>
      </c>
      <c r="S34" s="348">
        <f t="shared" ref="S34:Z34" si="21">R34*1.035</f>
        <v>4585546.7948249998</v>
      </c>
      <c r="T34" s="348"/>
      <c r="U34" s="348">
        <f>S34*1.035</f>
        <v>4746040.9326438745</v>
      </c>
      <c r="V34" s="348">
        <f t="shared" si="21"/>
        <v>4912152.3652864099</v>
      </c>
      <c r="W34" s="348">
        <f t="shared" si="21"/>
        <v>5084077.6980714342</v>
      </c>
      <c r="X34" s="348">
        <f t="shared" si="21"/>
        <v>5262020.4175039344</v>
      </c>
      <c r="Y34" s="348">
        <f t="shared" si="21"/>
        <v>5446191.132116572</v>
      </c>
      <c r="Z34" s="348">
        <f t="shared" si="21"/>
        <v>5636807.8217406515</v>
      </c>
    </row>
    <row r="35" spans="1:30" ht="12" customHeight="1">
      <c r="A35" s="189">
        <f t="shared" si="4"/>
        <v>44347</v>
      </c>
      <c r="B35" s="348">
        <f t="shared" si="19"/>
        <v>5170.0076538879994</v>
      </c>
      <c r="C35" s="348">
        <f t="shared" si="18"/>
        <v>17041.086131906246</v>
      </c>
      <c r="D35" s="348">
        <f t="shared" si="17"/>
        <v>469733.98514505418</v>
      </c>
      <c r="E35" s="348">
        <f t="shared" si="6"/>
        <v>4350</v>
      </c>
      <c r="F35" s="348">
        <f t="shared" si="6"/>
        <v>8287.6521014856771</v>
      </c>
      <c r="G35" s="760">
        <f t="shared" si="16"/>
        <v>4800.9249690010793</v>
      </c>
      <c r="H35" s="724">
        <f t="shared" si="0"/>
        <v>13088.577070486757</v>
      </c>
      <c r="I35" s="725">
        <f t="shared" si="1"/>
        <v>469733.98514505418</v>
      </c>
      <c r="J35" s="725">
        <f t="shared" si="2"/>
        <v>22211.093785794244</v>
      </c>
      <c r="K35" s="726">
        <f t="shared" si="3"/>
        <v>4350</v>
      </c>
      <c r="P35">
        <f>SUM(P11:P17)</f>
        <v>10348.5</v>
      </c>
      <c r="Q35" s="664">
        <f t="shared" ref="Q35:Y35" si="22">Q34/$P$35</f>
        <v>413.64999758419094</v>
      </c>
      <c r="R35" s="664">
        <f t="shared" si="22"/>
        <v>428.12774749963762</v>
      </c>
      <c r="S35" s="664">
        <f t="shared" si="22"/>
        <v>443.11221866212492</v>
      </c>
      <c r="T35" s="664"/>
      <c r="U35" s="664">
        <f t="shared" si="22"/>
        <v>458.62114631529926</v>
      </c>
      <c r="V35" s="664">
        <f t="shared" si="22"/>
        <v>474.67288643633469</v>
      </c>
      <c r="W35" s="664">
        <f t="shared" si="22"/>
        <v>491.28643746160645</v>
      </c>
      <c r="X35" s="664">
        <f t="shared" si="22"/>
        <v>508.48146277276265</v>
      </c>
      <c r="Y35" s="664">
        <f t="shared" si="22"/>
        <v>526.27831396980935</v>
      </c>
    </row>
    <row r="36" spans="1:30" ht="12" customHeight="1">
      <c r="A36" s="189">
        <f t="shared" si="4"/>
        <v>44377</v>
      </c>
      <c r="B36" s="348">
        <f t="shared" si="19"/>
        <v>5170.0076538879994</v>
      </c>
      <c r="C36" s="348">
        <f t="shared" si="18"/>
        <v>17041.086131906246</v>
      </c>
      <c r="D36" s="348">
        <f t="shared" si="17"/>
        <v>469733.98514505418</v>
      </c>
      <c r="E36" s="348">
        <f t="shared" si="6"/>
        <v>4350</v>
      </c>
      <c r="F36" s="348">
        <f t="shared" si="6"/>
        <v>8287.6521014856771</v>
      </c>
      <c r="G36" s="760">
        <f t="shared" si="16"/>
        <v>4800.9249690010793</v>
      </c>
      <c r="H36" s="724">
        <f t="shared" ref="H36:H67" si="23">SUM(F36:G36)</f>
        <v>13088.577070486757</v>
      </c>
      <c r="I36" s="725">
        <f t="shared" si="1"/>
        <v>469733.98514505418</v>
      </c>
      <c r="J36" s="725">
        <f t="shared" si="2"/>
        <v>22211.093785794244</v>
      </c>
      <c r="K36" s="726">
        <f t="shared" si="3"/>
        <v>4350</v>
      </c>
      <c r="O36" t="s">
        <v>196</v>
      </c>
      <c r="Q36" s="348">
        <f>R36/1.035</f>
        <v>43750.53482383876</v>
      </c>
      <c r="R36" s="348">
        <f>S36/1.035</f>
        <v>45281.803542673115</v>
      </c>
      <c r="S36" s="348">
        <f>U36/1.035</f>
        <v>46866.666666666672</v>
      </c>
      <c r="T36" s="348"/>
      <c r="U36" s="348">
        <v>48507</v>
      </c>
      <c r="V36" s="348">
        <f t="shared" ref="V36:Z36" si="24">U36*1.035</f>
        <v>50204.744999999995</v>
      </c>
      <c r="W36" s="348">
        <f t="shared" si="24"/>
        <v>51961.911074999989</v>
      </c>
      <c r="X36" s="348">
        <f t="shared" si="24"/>
        <v>53780.577962624986</v>
      </c>
      <c r="Y36" s="348">
        <f t="shared" si="24"/>
        <v>55662.898191316854</v>
      </c>
      <c r="Z36" s="348">
        <f t="shared" si="24"/>
        <v>57611.09962801294</v>
      </c>
      <c r="AA36" s="348"/>
    </row>
    <row r="37" spans="1:30" ht="12" customHeight="1">
      <c r="A37" s="753">
        <f t="shared" si="4"/>
        <v>44408</v>
      </c>
      <c r="B37" s="754">
        <f t="shared" si="19"/>
        <v>5170.0076538879994</v>
      </c>
      <c r="C37" s="754">
        <f t="shared" si="18"/>
        <v>17041.086131906246</v>
      </c>
      <c r="D37" s="754">
        <f t="shared" si="17"/>
        <v>469733.98514505418</v>
      </c>
      <c r="E37" s="754">
        <f t="shared" si="6"/>
        <v>4350</v>
      </c>
      <c r="F37" s="754">
        <f t="shared" si="6"/>
        <v>8287.6521014856771</v>
      </c>
      <c r="G37" s="760">
        <f t="shared" si="16"/>
        <v>4800.9249690010793</v>
      </c>
      <c r="H37" s="755">
        <f t="shared" si="23"/>
        <v>13088.577070486757</v>
      </c>
      <c r="I37" s="756">
        <f t="shared" si="1"/>
        <v>469733.98514505418</v>
      </c>
      <c r="J37" s="756">
        <f t="shared" si="2"/>
        <v>22211.093785794244</v>
      </c>
      <c r="K37" s="757">
        <f t="shared" si="3"/>
        <v>4350</v>
      </c>
      <c r="O37" t="s">
        <v>594</v>
      </c>
      <c r="S37" s="348">
        <v>166355</v>
      </c>
      <c r="T37" s="348"/>
      <c r="U37" s="348">
        <f>S37*1.035</f>
        <v>172177.42499999999</v>
      </c>
      <c r="V37" s="348">
        <f t="shared" ref="V37:W37" si="25">U37*1.035</f>
        <v>178203.63487499996</v>
      </c>
      <c r="W37" s="348">
        <f t="shared" si="25"/>
        <v>184440.76209562493</v>
      </c>
      <c r="X37" s="348">
        <f>W37*1.035</f>
        <v>190896.1887689718</v>
      </c>
      <c r="Y37" s="348">
        <f>X37*1.035</f>
        <v>197577.5553758858</v>
      </c>
      <c r="Z37" s="348">
        <f>Y37*1.035</f>
        <v>204492.76981404179</v>
      </c>
    </row>
    <row r="38" spans="1:30" ht="12" customHeight="1">
      <c r="A38" s="189">
        <f t="shared" si="4"/>
        <v>44439</v>
      </c>
      <c r="B38" s="348">
        <f t="shared" si="19"/>
        <v>5170.0076538879994</v>
      </c>
      <c r="C38" s="348">
        <f t="shared" si="18"/>
        <v>17041.086131906246</v>
      </c>
      <c r="D38" s="348">
        <f t="shared" si="17"/>
        <v>469733.98514505418</v>
      </c>
      <c r="E38" s="348">
        <f t="shared" si="6"/>
        <v>4350</v>
      </c>
      <c r="F38" s="348">
        <f t="shared" si="6"/>
        <v>8287.6521014856771</v>
      </c>
      <c r="G38" s="760">
        <f t="shared" si="16"/>
        <v>4800.9249690010793</v>
      </c>
      <c r="H38" s="724">
        <f t="shared" si="23"/>
        <v>13088.577070486757</v>
      </c>
      <c r="I38" s="725">
        <f t="shared" si="1"/>
        <v>469733.98514505418</v>
      </c>
      <c r="J38" s="725">
        <f t="shared" si="2"/>
        <v>22211.093785794244</v>
      </c>
      <c r="K38" s="726">
        <f t="shared" si="3"/>
        <v>4350</v>
      </c>
    </row>
    <row r="39" spans="1:30" ht="12" customHeight="1">
      <c r="A39" s="722">
        <f t="shared" si="4"/>
        <v>44469</v>
      </c>
      <c r="B39" s="723">
        <f t="shared" si="19"/>
        <v>5170.0076538879994</v>
      </c>
      <c r="C39" s="723">
        <f t="shared" si="18"/>
        <v>17041.086131906246</v>
      </c>
      <c r="D39" s="723">
        <f t="shared" si="17"/>
        <v>469733.98514505418</v>
      </c>
      <c r="E39" s="723">
        <f t="shared" si="6"/>
        <v>4350</v>
      </c>
      <c r="F39" s="723">
        <f t="shared" si="6"/>
        <v>8287.6521014856771</v>
      </c>
      <c r="G39" s="761">
        <f t="shared" si="16"/>
        <v>4800.9249690010793</v>
      </c>
      <c r="H39" s="727">
        <f t="shared" si="23"/>
        <v>13088.577070486757</v>
      </c>
      <c r="I39" s="723">
        <f t="shared" si="1"/>
        <v>469733.98514505418</v>
      </c>
      <c r="J39" s="723">
        <f t="shared" si="2"/>
        <v>22211.093785794244</v>
      </c>
      <c r="K39" s="728">
        <f t="shared" si="3"/>
        <v>4350</v>
      </c>
      <c r="V39" s="715" t="s">
        <v>579</v>
      </c>
    </row>
    <row r="40" spans="1:30" ht="12" customHeight="1">
      <c r="A40" s="758">
        <f t="shared" si="4"/>
        <v>44500</v>
      </c>
      <c r="B40" s="725">
        <f t="shared" si="19"/>
        <v>5170.0076538879994</v>
      </c>
      <c r="C40" s="725">
        <f t="shared" si="18"/>
        <v>17041.086131906246</v>
      </c>
      <c r="D40" s="759">
        <f>D39*(1+$AD$11)</f>
        <v>486174.67462513101</v>
      </c>
      <c r="E40" s="725">
        <f t="shared" si="6"/>
        <v>4350</v>
      </c>
      <c r="F40" s="759">
        <f>F39*(1+$AD$20)</f>
        <v>8557.0007947839622</v>
      </c>
      <c r="G40" s="762">
        <f>G39*(1+$AD$21)</f>
        <v>4968.9573429161164</v>
      </c>
      <c r="H40" s="724">
        <f t="shared" si="23"/>
        <v>13525.95813770008</v>
      </c>
      <c r="I40" s="725">
        <f t="shared" si="1"/>
        <v>486174.67462513101</v>
      </c>
      <c r="J40" s="725">
        <f t="shared" si="2"/>
        <v>22211.093785794244</v>
      </c>
      <c r="K40" s="726">
        <f t="shared" si="3"/>
        <v>4350</v>
      </c>
      <c r="V40" s="3">
        <v>42278</v>
      </c>
      <c r="W40" s="189">
        <f>EOMONTH(V40,12)</f>
        <v>42674</v>
      </c>
      <c r="X40" s="189">
        <f t="shared" ref="X40:Y40" si="26">EOMONTH(W40,12)</f>
        <v>43039</v>
      </c>
      <c r="Y40" s="189">
        <f t="shared" si="26"/>
        <v>43404</v>
      </c>
    </row>
    <row r="41" spans="1:30">
      <c r="A41" s="189">
        <f t="shared" si="4"/>
        <v>44530</v>
      </c>
      <c r="B41" s="348">
        <f t="shared" si="19"/>
        <v>5170.0076538879994</v>
      </c>
      <c r="C41" s="721">
        <f>C40*(1+$AD$10)</f>
        <v>17637.524146522963</v>
      </c>
      <c r="D41" s="348">
        <f>D40</f>
        <v>486174.67462513101</v>
      </c>
      <c r="E41" s="348">
        <f t="shared" si="6"/>
        <v>4350</v>
      </c>
      <c r="F41" s="348">
        <f>F40</f>
        <v>8557.0007947839622</v>
      </c>
      <c r="G41" s="760">
        <f t="shared" ref="G41:G51" si="27">G40</f>
        <v>4968.9573429161164</v>
      </c>
      <c r="H41" s="724">
        <f t="shared" si="23"/>
        <v>13525.95813770008</v>
      </c>
      <c r="I41" s="725">
        <f t="shared" si="1"/>
        <v>486174.67462513101</v>
      </c>
      <c r="J41" s="725">
        <f t="shared" si="2"/>
        <v>22807.531800410961</v>
      </c>
      <c r="K41" s="726">
        <f t="shared" si="3"/>
        <v>4350</v>
      </c>
      <c r="U41" s="348">
        <v>4746041</v>
      </c>
      <c r="V41" s="348">
        <f>U41*1.035</f>
        <v>4912152.4349999996</v>
      </c>
      <c r="W41" s="348">
        <f>V41*1.035</f>
        <v>5084077.7702249996</v>
      </c>
      <c r="X41" s="348">
        <f>W41*1.035</f>
        <v>5262020.4921828741</v>
      </c>
      <c r="Y41" s="348">
        <f>X41*1.035</f>
        <v>5446191.2094092742</v>
      </c>
    </row>
    <row r="42" spans="1:30">
      <c r="A42" s="189">
        <f t="shared" si="4"/>
        <v>44561</v>
      </c>
      <c r="B42" s="348">
        <f t="shared" si="19"/>
        <v>5170.0076538879994</v>
      </c>
      <c r="C42" s="348">
        <f>C41</f>
        <v>17637.524146522963</v>
      </c>
      <c r="D42" s="348">
        <f t="shared" ref="D42:D51" si="28">D41</f>
        <v>486174.67462513101</v>
      </c>
      <c r="E42" s="348">
        <f t="shared" si="6"/>
        <v>4350</v>
      </c>
      <c r="F42" s="348">
        <f t="shared" si="6"/>
        <v>8557.0007947839622</v>
      </c>
      <c r="G42" s="760">
        <f t="shared" si="27"/>
        <v>4968.9573429161164</v>
      </c>
      <c r="H42" s="724">
        <f t="shared" si="23"/>
        <v>13525.95813770008</v>
      </c>
      <c r="I42" s="725">
        <f t="shared" si="1"/>
        <v>486174.67462513101</v>
      </c>
      <c r="J42" s="725">
        <f t="shared" si="2"/>
        <v>22807.531800410961</v>
      </c>
      <c r="K42" s="726">
        <f t="shared" si="3"/>
        <v>4350</v>
      </c>
      <c r="U42">
        <v>459</v>
      </c>
      <c r="V42" s="348">
        <f>U42*1.035</f>
        <v>475.06499999999994</v>
      </c>
      <c r="W42" s="348">
        <f>V42*1.035</f>
        <v>491.69227499999988</v>
      </c>
    </row>
    <row r="43" spans="1:30">
      <c r="A43" s="189">
        <f t="shared" si="4"/>
        <v>44592</v>
      </c>
      <c r="B43" s="721">
        <f>B42*(1+VLOOKUP(YEAR(A43),$P$57:$Q$66,2,FALSE))</f>
        <v>5294.0878375813118</v>
      </c>
      <c r="C43" s="348">
        <f t="shared" ref="C43:C52" si="29">C42</f>
        <v>17637.524146522963</v>
      </c>
      <c r="D43" s="348">
        <f t="shared" si="28"/>
        <v>486174.67462513101</v>
      </c>
      <c r="E43" s="348">
        <f t="shared" si="6"/>
        <v>4350</v>
      </c>
      <c r="F43" s="348">
        <f t="shared" si="6"/>
        <v>8557.0007947839622</v>
      </c>
      <c r="G43" s="760">
        <f t="shared" si="27"/>
        <v>4968.9573429161164</v>
      </c>
      <c r="H43" s="724">
        <f t="shared" si="23"/>
        <v>13525.95813770008</v>
      </c>
      <c r="I43" s="725">
        <f t="shared" si="1"/>
        <v>486174.67462513101</v>
      </c>
      <c r="J43" s="725">
        <f t="shared" si="2"/>
        <v>22931.611984104275</v>
      </c>
      <c r="K43" s="726">
        <f t="shared" si="3"/>
        <v>4350</v>
      </c>
    </row>
    <row r="44" spans="1:30">
      <c r="A44" s="189">
        <f t="shared" si="4"/>
        <v>44620</v>
      </c>
      <c r="B44" s="348">
        <f t="shared" ref="B44:B54" si="30">B43</f>
        <v>5294.0878375813118</v>
      </c>
      <c r="C44" s="348">
        <f t="shared" si="29"/>
        <v>17637.524146522963</v>
      </c>
      <c r="D44" s="348">
        <f t="shared" si="28"/>
        <v>486174.67462513101</v>
      </c>
      <c r="E44" s="348">
        <f t="shared" si="6"/>
        <v>4350</v>
      </c>
      <c r="F44" s="348">
        <f t="shared" si="6"/>
        <v>8557.0007947839622</v>
      </c>
      <c r="G44" s="760">
        <f t="shared" si="27"/>
        <v>4968.9573429161164</v>
      </c>
      <c r="H44" s="724">
        <f t="shared" si="23"/>
        <v>13525.95813770008</v>
      </c>
      <c r="I44" s="725">
        <f t="shared" si="1"/>
        <v>486174.67462513101</v>
      </c>
      <c r="J44" s="725">
        <f t="shared" si="2"/>
        <v>22931.611984104275</v>
      </c>
      <c r="K44" s="726">
        <f t="shared" si="3"/>
        <v>4350</v>
      </c>
      <c r="R44" s="713"/>
      <c r="S44" s="713">
        <v>55883</v>
      </c>
      <c r="T44" s="713"/>
      <c r="U44" s="713">
        <v>57839</v>
      </c>
      <c r="V44" s="713">
        <v>59863</v>
      </c>
      <c r="W44" s="713">
        <v>61958</v>
      </c>
      <c r="X44" s="713">
        <v>64127</v>
      </c>
      <c r="Y44" s="713">
        <v>33469</v>
      </c>
      <c r="Z44" s="713">
        <v>68109</v>
      </c>
      <c r="AA44" s="713">
        <v>70493</v>
      </c>
      <c r="AB44" s="713">
        <v>72960</v>
      </c>
    </row>
    <row r="45" spans="1:30">
      <c r="A45" s="189">
        <f t="shared" si="4"/>
        <v>44651</v>
      </c>
      <c r="B45" s="348">
        <f t="shared" si="30"/>
        <v>5294.0878375813118</v>
      </c>
      <c r="C45" s="348">
        <f t="shared" si="29"/>
        <v>17637.524146522963</v>
      </c>
      <c r="D45" s="348">
        <f t="shared" si="28"/>
        <v>486174.67462513101</v>
      </c>
      <c r="E45" s="348">
        <f t="shared" si="6"/>
        <v>4350</v>
      </c>
      <c r="F45" s="348">
        <f t="shared" si="6"/>
        <v>8557.0007947839622</v>
      </c>
      <c r="G45" s="760">
        <f t="shared" si="27"/>
        <v>4968.9573429161164</v>
      </c>
      <c r="H45" s="724">
        <f t="shared" si="23"/>
        <v>13525.95813770008</v>
      </c>
      <c r="I45" s="725">
        <f t="shared" si="1"/>
        <v>486174.67462513101</v>
      </c>
      <c r="J45" s="725">
        <f t="shared" si="2"/>
        <v>22931.611984104275</v>
      </c>
      <c r="K45" s="726">
        <f t="shared" si="3"/>
        <v>4350</v>
      </c>
      <c r="S45" s="1" t="e">
        <f t="shared" ref="S45:X45" si="31">S44/R44-1</f>
        <v>#DIV/0!</v>
      </c>
      <c r="T45" s="1"/>
      <c r="U45" s="1">
        <f>U44/S44-1</f>
        <v>3.5001699980315992E-2</v>
      </c>
      <c r="V45" s="1">
        <f t="shared" si="31"/>
        <v>3.4993689379138715E-2</v>
      </c>
      <c r="W45" s="1">
        <f t="shared" si="31"/>
        <v>3.4996575514090411E-2</v>
      </c>
      <c r="X45" s="1">
        <f t="shared" si="31"/>
        <v>3.5007585783918049E-2</v>
      </c>
      <c r="Y45" s="1">
        <f t="shared" ref="Y45" si="32">Y44/X44-1</f>
        <v>-0.47808255493006069</v>
      </c>
      <c r="Z45" s="1">
        <f t="shared" ref="Z45" si="33">Z44/Y44-1</f>
        <v>1.0349876004661032</v>
      </c>
      <c r="AA45" s="1">
        <f t="shared" ref="AA45" si="34">AA44/Z44-1</f>
        <v>3.5002716234271425E-2</v>
      </c>
      <c r="AB45" s="1">
        <f t="shared" ref="AB45" si="35">AB44/AA44-1</f>
        <v>3.4996382619550959E-2</v>
      </c>
      <c r="AC45" s="1">
        <f t="shared" ref="AC45" si="36">AC44/AB44-1</f>
        <v>-1</v>
      </c>
      <c r="AD45" s="1" t="e">
        <f t="shared" ref="AD45" si="37">AD44/AC44-1</f>
        <v>#DIV/0!</v>
      </c>
    </row>
    <row r="46" spans="1:30" s="2" customFormat="1">
      <c r="A46" s="189">
        <f t="shared" si="4"/>
        <v>44681</v>
      </c>
      <c r="B46" s="348">
        <f t="shared" si="30"/>
        <v>5294.0878375813118</v>
      </c>
      <c r="C46" s="348">
        <f t="shared" si="29"/>
        <v>17637.524146522963</v>
      </c>
      <c r="D46" s="348">
        <f t="shared" si="28"/>
        <v>486174.67462513101</v>
      </c>
      <c r="E46" s="348">
        <f t="shared" si="6"/>
        <v>4350</v>
      </c>
      <c r="F46" s="348">
        <f t="shared" si="6"/>
        <v>8557.0007947839622</v>
      </c>
      <c r="G46" s="760">
        <f t="shared" si="27"/>
        <v>4968.9573429161164</v>
      </c>
      <c r="H46" s="724">
        <f t="shared" si="23"/>
        <v>13525.95813770008</v>
      </c>
      <c r="I46" s="725">
        <f t="shared" si="1"/>
        <v>486174.67462513101</v>
      </c>
      <c r="J46" s="725">
        <f t="shared" si="2"/>
        <v>22931.611984104275</v>
      </c>
      <c r="K46" s="726">
        <f t="shared" si="3"/>
        <v>4350</v>
      </c>
      <c r="N46"/>
      <c r="O46"/>
      <c r="P46"/>
      <c r="Q46"/>
      <c r="R46"/>
      <c r="S46"/>
      <c r="U46"/>
      <c r="V46"/>
      <c r="W46"/>
      <c r="X46"/>
      <c r="Y46"/>
      <c r="Z46"/>
      <c r="AA46"/>
      <c r="AB46"/>
      <c r="AC46"/>
      <c r="AD46"/>
    </row>
    <row r="47" spans="1:30">
      <c r="A47" s="189">
        <f t="shared" si="4"/>
        <v>44712</v>
      </c>
      <c r="B47" s="348">
        <f t="shared" si="30"/>
        <v>5294.0878375813118</v>
      </c>
      <c r="C47" s="348">
        <f t="shared" si="29"/>
        <v>17637.524146522963</v>
      </c>
      <c r="D47" s="348">
        <f t="shared" si="28"/>
        <v>486174.67462513101</v>
      </c>
      <c r="E47" s="348">
        <f t="shared" si="6"/>
        <v>4350</v>
      </c>
      <c r="F47" s="348">
        <f t="shared" si="6"/>
        <v>8557.0007947839622</v>
      </c>
      <c r="G47" s="760">
        <f t="shared" si="27"/>
        <v>4968.9573429161164</v>
      </c>
      <c r="H47" s="724">
        <f t="shared" si="23"/>
        <v>13525.95813770008</v>
      </c>
      <c r="I47" s="725">
        <f t="shared" si="1"/>
        <v>486174.67462513101</v>
      </c>
      <c r="J47" s="725">
        <f t="shared" si="2"/>
        <v>22931.611984104275</v>
      </c>
      <c r="K47" s="726">
        <f t="shared" si="3"/>
        <v>4350</v>
      </c>
      <c r="V47" s="348">
        <v>5217535</v>
      </c>
    </row>
    <row r="48" spans="1:30">
      <c r="A48" s="189">
        <f t="shared" si="4"/>
        <v>44742</v>
      </c>
      <c r="B48" s="348">
        <f t="shared" si="30"/>
        <v>5294.0878375813118</v>
      </c>
      <c r="C48" s="348">
        <f t="shared" si="29"/>
        <v>17637.524146522963</v>
      </c>
      <c r="D48" s="348">
        <f t="shared" si="28"/>
        <v>486174.67462513101</v>
      </c>
      <c r="E48" s="348">
        <f t="shared" si="6"/>
        <v>4350</v>
      </c>
      <c r="F48" s="348">
        <f t="shared" si="6"/>
        <v>8557.0007947839622</v>
      </c>
      <c r="G48" s="760">
        <f t="shared" si="27"/>
        <v>4968.9573429161164</v>
      </c>
      <c r="H48" s="724">
        <f t="shared" si="23"/>
        <v>13525.95813770008</v>
      </c>
      <c r="I48" s="725">
        <f t="shared" si="1"/>
        <v>486174.67462513101</v>
      </c>
      <c r="J48" s="725">
        <f t="shared" si="2"/>
        <v>22931.611984104275</v>
      </c>
      <c r="K48" s="726">
        <f t="shared" si="3"/>
        <v>4350</v>
      </c>
      <c r="V48" s="348"/>
    </row>
    <row r="49" spans="1:32">
      <c r="A49" s="189">
        <f t="shared" si="4"/>
        <v>44773</v>
      </c>
      <c r="B49" s="348">
        <f t="shared" si="30"/>
        <v>5294.0878375813118</v>
      </c>
      <c r="C49" s="348">
        <f t="shared" si="29"/>
        <v>17637.524146522963</v>
      </c>
      <c r="D49" s="348">
        <f t="shared" si="28"/>
        <v>486174.67462513101</v>
      </c>
      <c r="E49" s="348">
        <f t="shared" si="6"/>
        <v>4350</v>
      </c>
      <c r="F49" s="348">
        <f t="shared" si="6"/>
        <v>8557.0007947839622</v>
      </c>
      <c r="G49" s="760">
        <f t="shared" si="27"/>
        <v>4968.9573429161164</v>
      </c>
      <c r="H49" s="724">
        <f t="shared" si="23"/>
        <v>13525.95813770008</v>
      </c>
      <c r="I49" s="725">
        <f t="shared" si="1"/>
        <v>486174.67462513101</v>
      </c>
      <c r="J49" s="725">
        <f t="shared" si="2"/>
        <v>22931.611984104275</v>
      </c>
      <c r="K49" s="726">
        <f t="shared" si="3"/>
        <v>4350</v>
      </c>
    </row>
    <row r="50" spans="1:32">
      <c r="A50" s="189">
        <f t="shared" si="4"/>
        <v>44804</v>
      </c>
      <c r="B50" s="348">
        <f t="shared" si="30"/>
        <v>5294.0878375813118</v>
      </c>
      <c r="C50" s="348">
        <f t="shared" si="29"/>
        <v>17637.524146522963</v>
      </c>
      <c r="D50" s="348">
        <f t="shared" si="28"/>
        <v>486174.67462513101</v>
      </c>
      <c r="E50" s="348">
        <f t="shared" si="6"/>
        <v>4350</v>
      </c>
      <c r="F50" s="348">
        <f t="shared" si="6"/>
        <v>8557.0007947839622</v>
      </c>
      <c r="G50" s="760">
        <f t="shared" si="27"/>
        <v>4968.9573429161164</v>
      </c>
      <c r="H50" s="724">
        <f t="shared" si="23"/>
        <v>13525.95813770008</v>
      </c>
      <c r="I50" s="725">
        <f t="shared" si="1"/>
        <v>486174.67462513101</v>
      </c>
      <c r="J50" s="725">
        <f t="shared" si="2"/>
        <v>22931.611984104275</v>
      </c>
      <c r="K50" s="726">
        <f t="shared" si="3"/>
        <v>4350</v>
      </c>
      <c r="Q50">
        <v>507</v>
      </c>
      <c r="R50">
        <v>524</v>
      </c>
      <c r="S50">
        <v>541</v>
      </c>
      <c r="U50">
        <v>559</v>
      </c>
      <c r="V50">
        <v>578</v>
      </c>
      <c r="W50">
        <v>598</v>
      </c>
      <c r="X50">
        <v>617</v>
      </c>
      <c r="Y50">
        <v>638</v>
      </c>
      <c r="Z50">
        <v>659</v>
      </c>
      <c r="AA50">
        <v>680</v>
      </c>
    </row>
    <row r="51" spans="1:32">
      <c r="A51" s="722">
        <f t="shared" si="4"/>
        <v>44834</v>
      </c>
      <c r="B51" s="723">
        <f t="shared" si="30"/>
        <v>5294.0878375813118</v>
      </c>
      <c r="C51" s="723">
        <f t="shared" si="29"/>
        <v>17637.524146522963</v>
      </c>
      <c r="D51" s="723">
        <f t="shared" si="28"/>
        <v>486174.67462513101</v>
      </c>
      <c r="E51" s="723">
        <f t="shared" si="6"/>
        <v>4350</v>
      </c>
      <c r="F51" s="723">
        <f t="shared" si="6"/>
        <v>8557.0007947839622</v>
      </c>
      <c r="G51" s="761">
        <f t="shared" si="27"/>
        <v>4968.9573429161164</v>
      </c>
      <c r="H51" s="727">
        <f t="shared" si="23"/>
        <v>13525.95813770008</v>
      </c>
      <c r="I51" s="723">
        <f t="shared" si="1"/>
        <v>486174.67462513101</v>
      </c>
      <c r="J51" s="723">
        <f t="shared" si="2"/>
        <v>22931.611984104275</v>
      </c>
      <c r="K51" s="728">
        <f t="shared" si="3"/>
        <v>4350</v>
      </c>
      <c r="R51" s="665">
        <f>R50/Q50-1</f>
        <v>3.3530571992110403E-2</v>
      </c>
      <c r="S51" s="665">
        <f t="shared" ref="S51:AA51" si="38">S50/R50-1</f>
        <v>3.2442748091602969E-2</v>
      </c>
      <c r="T51" s="665"/>
      <c r="U51" s="665">
        <f>U50/S50-1</f>
        <v>3.3271719038816983E-2</v>
      </c>
      <c r="V51" s="665">
        <f t="shared" si="38"/>
        <v>3.3989266547405972E-2</v>
      </c>
      <c r="W51" s="665">
        <f t="shared" si="38"/>
        <v>3.460207612456756E-2</v>
      </c>
      <c r="X51" s="665">
        <f t="shared" si="38"/>
        <v>3.177257525083621E-2</v>
      </c>
      <c r="Y51" s="665">
        <f t="shared" si="38"/>
        <v>3.4035656401944836E-2</v>
      </c>
      <c r="Z51" s="665">
        <f t="shared" si="38"/>
        <v>3.2915360501567292E-2</v>
      </c>
      <c r="AA51" s="665">
        <f t="shared" si="38"/>
        <v>3.1866464339908918E-2</v>
      </c>
      <c r="AB51" s="698"/>
      <c r="AC51" s="711"/>
      <c r="AD51" s="698"/>
      <c r="AE51" s="710"/>
      <c r="AF51" s="360"/>
    </row>
    <row r="52" spans="1:32">
      <c r="A52" s="758">
        <f t="shared" si="4"/>
        <v>44865</v>
      </c>
      <c r="B52" s="725">
        <f t="shared" si="30"/>
        <v>5294.0878375813118</v>
      </c>
      <c r="C52" s="725">
        <f t="shared" si="29"/>
        <v>17637.524146522963</v>
      </c>
      <c r="D52" s="759">
        <f>D51*(1+$AD$11)</f>
        <v>503190.78823701054</v>
      </c>
      <c r="E52" s="725">
        <f t="shared" si="6"/>
        <v>4350</v>
      </c>
      <c r="F52" s="759">
        <f>F51*(1+$AD$20)</f>
        <v>8835.1033206144402</v>
      </c>
      <c r="G52" s="762">
        <f>G51*(1+$AD$21)</f>
        <v>5142.8708499181803</v>
      </c>
      <c r="H52" s="724">
        <f t="shared" si="23"/>
        <v>13977.97417053262</v>
      </c>
      <c r="I52" s="725">
        <f t="shared" si="1"/>
        <v>503190.78823701054</v>
      </c>
      <c r="J52" s="725">
        <f t="shared" si="2"/>
        <v>22931.611984104275</v>
      </c>
      <c r="K52" s="726">
        <f t="shared" si="3"/>
        <v>4350</v>
      </c>
      <c r="AB52" s="710"/>
      <c r="AC52" s="360"/>
    </row>
    <row r="53" spans="1:32">
      <c r="A53" s="189">
        <f t="shared" si="4"/>
        <v>44895</v>
      </c>
      <c r="B53" s="348">
        <f t="shared" si="30"/>
        <v>5294.0878375813118</v>
      </c>
      <c r="C53" s="721">
        <f>C52*(1+$AD$10)</f>
        <v>18254.837491651266</v>
      </c>
      <c r="D53" s="348">
        <f>D52</f>
        <v>503190.78823701054</v>
      </c>
      <c r="E53" s="348">
        <f t="shared" si="6"/>
        <v>4350</v>
      </c>
      <c r="F53" s="348">
        <f>F52</f>
        <v>8835.1033206144402</v>
      </c>
      <c r="G53" s="760">
        <f t="shared" ref="G53:G63" si="39">G52</f>
        <v>5142.8708499181803</v>
      </c>
      <c r="H53" s="724">
        <f t="shared" si="23"/>
        <v>13977.97417053262</v>
      </c>
      <c r="I53" s="725">
        <f t="shared" si="1"/>
        <v>503190.78823701054</v>
      </c>
      <c r="J53" s="725">
        <f t="shared" si="2"/>
        <v>23548.925329232577</v>
      </c>
      <c r="K53" s="726">
        <f t="shared" si="3"/>
        <v>4350</v>
      </c>
      <c r="Q53">
        <v>2.2000000000000002</v>
      </c>
      <c r="R53">
        <v>2.2999999999999998</v>
      </c>
      <c r="S53">
        <v>2.4</v>
      </c>
      <c r="U53">
        <v>2.4</v>
      </c>
      <c r="V53">
        <v>2.4</v>
      </c>
      <c r="W53">
        <v>2.2999999999999998</v>
      </c>
      <c r="X53">
        <v>2.2999999999999998</v>
      </c>
      <c r="Y53">
        <v>2.2999999999999998</v>
      </c>
      <c r="Z53">
        <v>2.2999999999999998</v>
      </c>
      <c r="AA53">
        <v>2.2999999999999998</v>
      </c>
    </row>
    <row r="54" spans="1:32">
      <c r="A54" s="189">
        <f t="shared" si="4"/>
        <v>44926</v>
      </c>
      <c r="B54" s="348">
        <f t="shared" si="30"/>
        <v>5294.0878375813118</v>
      </c>
      <c r="C54" s="348">
        <f>C53</f>
        <v>18254.837491651266</v>
      </c>
      <c r="D54" s="348">
        <f t="shared" ref="D54:D63" si="40">D53</f>
        <v>503190.78823701054</v>
      </c>
      <c r="E54" s="348">
        <f t="shared" si="6"/>
        <v>4350</v>
      </c>
      <c r="F54" s="348">
        <f t="shared" si="6"/>
        <v>8835.1033206144402</v>
      </c>
      <c r="G54" s="760">
        <f t="shared" si="39"/>
        <v>5142.8708499181803</v>
      </c>
      <c r="H54" s="724">
        <f t="shared" si="23"/>
        <v>13977.97417053262</v>
      </c>
      <c r="I54" s="725">
        <f t="shared" si="1"/>
        <v>503190.78823701054</v>
      </c>
      <c r="J54" s="725">
        <f t="shared" si="2"/>
        <v>23548.925329232577</v>
      </c>
      <c r="K54" s="726">
        <f t="shared" si="3"/>
        <v>4350</v>
      </c>
    </row>
    <row r="55" spans="1:32">
      <c r="A55" s="189">
        <f t="shared" si="4"/>
        <v>44957</v>
      </c>
      <c r="B55" s="721">
        <f>B54*(1+VLOOKUP(YEAR(A55),$P$57:$Q$66,2,FALSE))</f>
        <v>5421.1459456832636</v>
      </c>
      <c r="C55" s="348">
        <f t="shared" ref="C55:C64" si="41">C54</f>
        <v>18254.837491651266</v>
      </c>
      <c r="D55" s="348">
        <f t="shared" si="40"/>
        <v>503190.78823701054</v>
      </c>
      <c r="E55" s="348">
        <f t="shared" si="6"/>
        <v>4350</v>
      </c>
      <c r="F55" s="348">
        <f t="shared" si="6"/>
        <v>8835.1033206144402</v>
      </c>
      <c r="G55" s="760">
        <f t="shared" si="39"/>
        <v>5142.8708499181803</v>
      </c>
      <c r="H55" s="724">
        <f t="shared" si="23"/>
        <v>13977.97417053262</v>
      </c>
      <c r="I55" s="725">
        <f t="shared" si="1"/>
        <v>503190.78823701054</v>
      </c>
      <c r="J55" s="725">
        <f t="shared" si="2"/>
        <v>23675.983437334529</v>
      </c>
      <c r="K55" s="726">
        <f t="shared" si="3"/>
        <v>4350</v>
      </c>
      <c r="AB55" s="360"/>
    </row>
    <row r="56" spans="1:32">
      <c r="A56" s="189">
        <f t="shared" si="4"/>
        <v>44985</v>
      </c>
      <c r="B56" s="348">
        <f t="shared" ref="B56:B66" si="42">B55</f>
        <v>5421.1459456832636</v>
      </c>
      <c r="C56" s="348">
        <f t="shared" si="41"/>
        <v>18254.837491651266</v>
      </c>
      <c r="D56" s="348">
        <f t="shared" si="40"/>
        <v>503190.78823701054</v>
      </c>
      <c r="E56" s="348">
        <f t="shared" si="6"/>
        <v>4350</v>
      </c>
      <c r="F56" s="348">
        <f t="shared" si="6"/>
        <v>8835.1033206144402</v>
      </c>
      <c r="G56" s="760">
        <f t="shared" si="39"/>
        <v>5142.8708499181803</v>
      </c>
      <c r="H56" s="724">
        <f t="shared" si="23"/>
        <v>13977.97417053262</v>
      </c>
      <c r="I56" s="725">
        <f t="shared" si="1"/>
        <v>503190.78823701054</v>
      </c>
      <c r="J56" s="725">
        <f t="shared" si="2"/>
        <v>23675.983437334529</v>
      </c>
      <c r="K56" s="726">
        <f t="shared" si="3"/>
        <v>4350</v>
      </c>
      <c r="Q56" t="s">
        <v>590</v>
      </c>
      <c r="AB56" s="360"/>
    </row>
    <row r="57" spans="1:32" ht="12.75" thickBot="1">
      <c r="A57" s="189">
        <f t="shared" si="4"/>
        <v>45016</v>
      </c>
      <c r="B57" s="348">
        <f t="shared" si="42"/>
        <v>5421.1459456832636</v>
      </c>
      <c r="C57" s="348">
        <f t="shared" si="41"/>
        <v>18254.837491651266</v>
      </c>
      <c r="D57" s="348">
        <f t="shared" si="40"/>
        <v>503190.78823701054</v>
      </c>
      <c r="E57" s="348">
        <f t="shared" si="6"/>
        <v>4350</v>
      </c>
      <c r="F57" s="348">
        <f t="shared" si="6"/>
        <v>8835.1033206144402</v>
      </c>
      <c r="G57" s="760">
        <f t="shared" si="39"/>
        <v>5142.8708499181803</v>
      </c>
      <c r="H57" s="724">
        <f t="shared" si="23"/>
        <v>13977.97417053262</v>
      </c>
      <c r="I57" s="725">
        <f t="shared" si="1"/>
        <v>503190.78823701054</v>
      </c>
      <c r="J57" s="725">
        <f t="shared" si="2"/>
        <v>23675.983437334529</v>
      </c>
      <c r="K57" s="726">
        <f t="shared" si="3"/>
        <v>4350</v>
      </c>
      <c r="P57">
        <v>2019</v>
      </c>
      <c r="Q57" s="665">
        <v>2.2000000000000002E-2</v>
      </c>
      <c r="R57" s="2"/>
      <c r="T57"/>
      <c r="AB57" s="360"/>
    </row>
    <row r="58" spans="1:32" ht="24.75" thickBot="1">
      <c r="A58" s="189">
        <f t="shared" si="4"/>
        <v>45046</v>
      </c>
      <c r="B58" s="348">
        <f t="shared" si="42"/>
        <v>5421.1459456832636</v>
      </c>
      <c r="C58" s="348">
        <f t="shared" si="41"/>
        <v>18254.837491651266</v>
      </c>
      <c r="D58" s="348">
        <f t="shared" si="40"/>
        <v>503190.78823701054</v>
      </c>
      <c r="E58" s="348">
        <f t="shared" si="6"/>
        <v>4350</v>
      </c>
      <c r="F58" s="348">
        <f t="shared" si="6"/>
        <v>8835.1033206144402</v>
      </c>
      <c r="G58" s="760">
        <f t="shared" si="39"/>
        <v>5142.8708499181803</v>
      </c>
      <c r="H58" s="724">
        <f t="shared" si="23"/>
        <v>13977.97417053262</v>
      </c>
      <c r="I58" s="725">
        <f t="shared" si="1"/>
        <v>503190.78823701054</v>
      </c>
      <c r="J58" s="725">
        <f t="shared" si="2"/>
        <v>23675.983437334529</v>
      </c>
      <c r="K58" s="726">
        <f t="shared" si="3"/>
        <v>4350</v>
      </c>
      <c r="P58">
        <f>P57+1</f>
        <v>2020</v>
      </c>
      <c r="Q58" s="665">
        <v>2.3E-2</v>
      </c>
      <c r="R58" s="2"/>
      <c r="T58" s="632" t="s">
        <v>517</v>
      </c>
      <c r="U58" s="622" t="s">
        <v>529</v>
      </c>
      <c r="V58" s="541" t="s">
        <v>518</v>
      </c>
      <c r="W58" s="541" t="s">
        <v>519</v>
      </c>
      <c r="X58" s="541" t="s">
        <v>520</v>
      </c>
      <c r="Y58" s="622" t="s">
        <v>527</v>
      </c>
      <c r="Z58" s="541" t="s">
        <v>528</v>
      </c>
      <c r="AA58" s="1013" t="s">
        <v>521</v>
      </c>
      <c r="AB58" s="360"/>
    </row>
    <row r="59" spans="1:32" ht="12.75" thickBot="1">
      <c r="A59" s="189">
        <f t="shared" si="4"/>
        <v>45077</v>
      </c>
      <c r="B59" s="348">
        <f t="shared" si="42"/>
        <v>5421.1459456832636</v>
      </c>
      <c r="C59" s="348">
        <f t="shared" si="41"/>
        <v>18254.837491651266</v>
      </c>
      <c r="D59" s="348">
        <f t="shared" si="40"/>
        <v>503190.78823701054</v>
      </c>
      <c r="E59" s="348">
        <f t="shared" si="6"/>
        <v>4350</v>
      </c>
      <c r="F59" s="348">
        <f t="shared" si="6"/>
        <v>8835.1033206144402</v>
      </c>
      <c r="G59" s="760">
        <f t="shared" si="39"/>
        <v>5142.8708499181803</v>
      </c>
      <c r="H59" s="724">
        <f t="shared" si="23"/>
        <v>13977.97417053262</v>
      </c>
      <c r="I59" s="725">
        <f t="shared" si="1"/>
        <v>503190.78823701054</v>
      </c>
      <c r="J59" s="725">
        <f t="shared" si="2"/>
        <v>23675.983437334529</v>
      </c>
      <c r="K59" s="726">
        <f t="shared" si="3"/>
        <v>4350</v>
      </c>
      <c r="P59" s="2">
        <f t="shared" ref="P59:P66" si="43">P58+1</f>
        <v>2021</v>
      </c>
      <c r="Q59" s="665">
        <v>2.4E-2</v>
      </c>
      <c r="R59" s="2"/>
      <c r="T59" s="549" t="s">
        <v>514</v>
      </c>
      <c r="U59" s="666">
        <f>Rentroll!D3</f>
        <v>10348.5</v>
      </c>
      <c r="V59" s="544" t="s">
        <v>522</v>
      </c>
      <c r="W59" s="679">
        <f>Rentroll!E3</f>
        <v>41183</v>
      </c>
      <c r="X59" s="679">
        <f>Rentroll!F3</f>
        <v>46660</v>
      </c>
      <c r="Y59" s="545">
        <f>Z59/U59</f>
        <v>508.48155940512476</v>
      </c>
      <c r="Z59" s="1012">
        <f>SUM(S11:S17)+1</f>
        <v>5262021.4175039334</v>
      </c>
      <c r="AA59" s="1017">
        <f>Rentroll!Q3</f>
        <v>3.5000000000000003E-2</v>
      </c>
    </row>
    <row r="60" spans="1:32" ht="12.75" thickBot="1">
      <c r="A60" s="189">
        <f t="shared" si="4"/>
        <v>45107</v>
      </c>
      <c r="B60" s="348">
        <f t="shared" si="42"/>
        <v>5421.1459456832636</v>
      </c>
      <c r="C60" s="348">
        <f t="shared" si="41"/>
        <v>18254.837491651266</v>
      </c>
      <c r="D60" s="348">
        <f t="shared" si="40"/>
        <v>503190.78823701054</v>
      </c>
      <c r="E60" s="348">
        <f t="shared" si="6"/>
        <v>4350</v>
      </c>
      <c r="F60" s="348">
        <f t="shared" si="6"/>
        <v>8835.1033206144402</v>
      </c>
      <c r="G60" s="760">
        <f t="shared" si="39"/>
        <v>5142.8708499181803</v>
      </c>
      <c r="H60" s="724">
        <f t="shared" si="23"/>
        <v>13977.97417053262</v>
      </c>
      <c r="I60" s="725">
        <f t="shared" si="1"/>
        <v>503190.78823701054</v>
      </c>
      <c r="J60" s="725">
        <f t="shared" si="2"/>
        <v>23675.983437334529</v>
      </c>
      <c r="K60" s="726">
        <f t="shared" si="3"/>
        <v>4350</v>
      </c>
      <c r="P60" s="2">
        <f t="shared" si="43"/>
        <v>2022</v>
      </c>
      <c r="Q60" s="665">
        <v>2.4E-2</v>
      </c>
      <c r="R60" s="2"/>
      <c r="T60" s="673" t="s">
        <v>515</v>
      </c>
      <c r="U60" s="678">
        <f>Rentroll!D4</f>
        <v>114</v>
      </c>
      <c r="V60" s="677" t="str">
        <f>Rentroll!B4</f>
        <v>Monica Heather Whitehead</v>
      </c>
      <c r="W60" s="680">
        <f>Rentroll!E4</f>
        <v>41628</v>
      </c>
      <c r="X60" s="680">
        <f>Rentroll!F4</f>
        <v>43453</v>
      </c>
      <c r="Y60" s="644">
        <f>Z60/U60</f>
        <v>508.32456140350877</v>
      </c>
      <c r="Z60" s="644">
        <f t="shared" ref="Z60:Z61" si="44">S9</f>
        <v>57949</v>
      </c>
      <c r="AA60" s="1014" t="s">
        <v>525</v>
      </c>
    </row>
    <row r="61" spans="1:32" ht="12.75" thickBot="1">
      <c r="A61" s="189">
        <f t="shared" si="4"/>
        <v>45138</v>
      </c>
      <c r="B61" s="348">
        <f t="shared" si="42"/>
        <v>5421.1459456832636</v>
      </c>
      <c r="C61" s="348">
        <f t="shared" si="41"/>
        <v>18254.837491651266</v>
      </c>
      <c r="D61" s="348">
        <f t="shared" si="40"/>
        <v>503190.78823701054</v>
      </c>
      <c r="E61" s="348">
        <f t="shared" si="6"/>
        <v>4350</v>
      </c>
      <c r="F61" s="348">
        <f t="shared" si="6"/>
        <v>8835.1033206144402</v>
      </c>
      <c r="G61" s="760">
        <f t="shared" si="39"/>
        <v>5142.8708499181803</v>
      </c>
      <c r="H61" s="724">
        <f t="shared" si="23"/>
        <v>13977.97417053262</v>
      </c>
      <c r="I61" s="725">
        <f t="shared" si="1"/>
        <v>503190.78823701054</v>
      </c>
      <c r="J61" s="725">
        <f t="shared" si="2"/>
        <v>23675.983437334529</v>
      </c>
      <c r="K61" s="726">
        <f t="shared" si="3"/>
        <v>4350</v>
      </c>
      <c r="P61" s="2">
        <f t="shared" si="43"/>
        <v>2023</v>
      </c>
      <c r="Q61" s="665">
        <v>2.4E-2</v>
      </c>
      <c r="R61" s="2"/>
      <c r="T61" s="670"/>
      <c r="U61" s="671">
        <f>Rentroll!D5</f>
        <v>343</v>
      </c>
      <c r="V61" s="672" t="str">
        <f>Rentroll!B5</f>
        <v>Government Property NSW</v>
      </c>
      <c r="W61" s="681">
        <f>Rentroll!E5</f>
        <v>41960</v>
      </c>
      <c r="X61" s="681">
        <f>Rentroll!F5</f>
        <v>44151</v>
      </c>
      <c r="Y61" s="642">
        <f>Z61/U61</f>
        <v>537.7288629737609</v>
      </c>
      <c r="Z61" s="642">
        <f t="shared" si="44"/>
        <v>184441</v>
      </c>
      <c r="AA61" s="1017">
        <f>AA59</f>
        <v>3.5000000000000003E-2</v>
      </c>
      <c r="AC61" s="711"/>
      <c r="AE61" s="710"/>
      <c r="AF61" s="360"/>
    </row>
    <row r="62" spans="1:32" ht="12.75" thickBot="1">
      <c r="A62" s="189">
        <f t="shared" si="4"/>
        <v>45169</v>
      </c>
      <c r="B62" s="348">
        <f t="shared" si="42"/>
        <v>5421.1459456832636</v>
      </c>
      <c r="C62" s="348">
        <f t="shared" si="41"/>
        <v>18254.837491651266</v>
      </c>
      <c r="D62" s="348">
        <f t="shared" si="40"/>
        <v>503190.78823701054</v>
      </c>
      <c r="E62" s="348">
        <f t="shared" si="6"/>
        <v>4350</v>
      </c>
      <c r="F62" s="348">
        <f t="shared" si="6"/>
        <v>8835.1033206144402</v>
      </c>
      <c r="G62" s="760">
        <f t="shared" si="39"/>
        <v>5142.8708499181803</v>
      </c>
      <c r="H62" s="724">
        <f t="shared" si="23"/>
        <v>13977.97417053262</v>
      </c>
      <c r="I62" s="725">
        <f t="shared" si="1"/>
        <v>503190.78823701054</v>
      </c>
      <c r="J62" s="725">
        <f t="shared" si="2"/>
        <v>23675.983437334529</v>
      </c>
      <c r="K62" s="726">
        <f t="shared" si="3"/>
        <v>4350</v>
      </c>
      <c r="P62" s="2">
        <f t="shared" si="43"/>
        <v>2024</v>
      </c>
      <c r="Q62" s="665">
        <v>2.3E-2</v>
      </c>
      <c r="R62" s="2"/>
      <c r="T62" s="684" t="s">
        <v>524</v>
      </c>
      <c r="U62" s="668">
        <f>SUM(U59:U61)</f>
        <v>10805.5</v>
      </c>
      <c r="V62" s="651"/>
      <c r="W62" s="682"/>
      <c r="X62" s="682"/>
      <c r="Y62" s="651"/>
      <c r="Z62" s="565">
        <f>SUM(Z60:Z61)</f>
        <v>242390</v>
      </c>
      <c r="AA62" s="669"/>
      <c r="AB62" s="710"/>
      <c r="AC62" s="360"/>
    </row>
    <row r="63" spans="1:32" ht="12.75" thickBot="1">
      <c r="A63" s="189">
        <f t="shared" si="4"/>
        <v>45199</v>
      </c>
      <c r="B63" s="348">
        <f t="shared" si="42"/>
        <v>5421.1459456832636</v>
      </c>
      <c r="C63" s="348">
        <f t="shared" si="41"/>
        <v>18254.837491651266</v>
      </c>
      <c r="D63" s="348">
        <f t="shared" si="40"/>
        <v>503190.78823701054</v>
      </c>
      <c r="E63" s="348">
        <f t="shared" si="6"/>
        <v>4350</v>
      </c>
      <c r="F63" s="348">
        <f t="shared" si="6"/>
        <v>8835.1033206144402</v>
      </c>
      <c r="G63" s="760">
        <f t="shared" si="39"/>
        <v>5142.8708499181803</v>
      </c>
      <c r="H63" s="724">
        <f t="shared" si="23"/>
        <v>13977.97417053262</v>
      </c>
      <c r="I63" s="725">
        <f t="shared" si="1"/>
        <v>503190.78823701054</v>
      </c>
      <c r="J63" s="725">
        <f t="shared" si="2"/>
        <v>23675.983437334529</v>
      </c>
      <c r="K63" s="726">
        <f t="shared" si="3"/>
        <v>4350</v>
      </c>
      <c r="P63" s="2">
        <f t="shared" si="43"/>
        <v>2025</v>
      </c>
      <c r="Q63" s="665">
        <v>2.3E-2</v>
      </c>
      <c r="R63" s="2"/>
      <c r="T63" s="549" t="s">
        <v>523</v>
      </c>
      <c r="U63" s="666">
        <f>Rentroll!D6</f>
        <v>261</v>
      </c>
      <c r="V63" s="544" t="str">
        <f>V59</f>
        <v>Commonwealth of Australia (ATO)</v>
      </c>
      <c r="W63" s="679">
        <f>Rentroll!E6</f>
        <v>41183</v>
      </c>
      <c r="X63" s="679">
        <f>Rentroll!F6</f>
        <v>46660</v>
      </c>
      <c r="Y63" s="545">
        <f>Rentroll!H6</f>
        <v>200</v>
      </c>
      <c r="Z63" s="545">
        <f>Y63*U63</f>
        <v>52200</v>
      </c>
      <c r="AA63" s="1011">
        <v>0</v>
      </c>
    </row>
    <row r="64" spans="1:32">
      <c r="A64" s="722">
        <f t="shared" si="4"/>
        <v>45230</v>
      </c>
      <c r="B64" s="723">
        <f t="shared" si="42"/>
        <v>5421.1459456832636</v>
      </c>
      <c r="C64" s="723">
        <f t="shared" si="41"/>
        <v>18254.837491651266</v>
      </c>
      <c r="D64" s="732">
        <f>D63*(1+$AD$11)</f>
        <v>520802.46582530584</v>
      </c>
      <c r="E64" s="723">
        <f t="shared" si="6"/>
        <v>4350</v>
      </c>
      <c r="F64" s="732">
        <f>F63*(1+$AD$20)</f>
        <v>9122.244178534409</v>
      </c>
      <c r="G64" s="761">
        <f>G63*(1+$AD$21)</f>
        <v>5322.8713296653159</v>
      </c>
      <c r="H64" s="727">
        <f t="shared" si="23"/>
        <v>14445.115508199724</v>
      </c>
      <c r="I64" s="723">
        <f t="shared" si="1"/>
        <v>520802.46582530584</v>
      </c>
      <c r="J64" s="723">
        <f t="shared" si="2"/>
        <v>23675.983437334529</v>
      </c>
      <c r="K64" s="728">
        <f t="shared" si="3"/>
        <v>4350</v>
      </c>
      <c r="P64" s="2">
        <f t="shared" si="43"/>
        <v>2026</v>
      </c>
      <c r="Q64" s="665">
        <v>2.3E-2</v>
      </c>
      <c r="R64" s="2"/>
      <c r="T64" s="673" t="s">
        <v>526</v>
      </c>
      <c r="U64" s="676">
        <f>Rentroll!D7</f>
        <v>31</v>
      </c>
      <c r="V64" s="677" t="str">
        <f>Rentroll!B7</f>
        <v>Volt Lane Pty Ltd</v>
      </c>
      <c r="W64" s="680">
        <f>Rentroll!E7</f>
        <v>42284</v>
      </c>
      <c r="X64" s="680">
        <f>Rentroll!F7</f>
        <v>59444</v>
      </c>
      <c r="Y64" s="644">
        <f>Z64/U64</f>
        <v>3009.3378225806455</v>
      </c>
      <c r="Z64" s="644">
        <f>S20</f>
        <v>93289.472500000003</v>
      </c>
      <c r="AA64" s="1015">
        <f>Rentroll!Q7</f>
        <v>3.2500000000000001E-2</v>
      </c>
    </row>
    <row r="65" spans="1:27" ht="12.75" thickBot="1">
      <c r="A65" s="189">
        <f t="shared" si="4"/>
        <v>45260</v>
      </c>
      <c r="B65" s="348">
        <f t="shared" si="42"/>
        <v>5421.1459456832636</v>
      </c>
      <c r="C65" s="721">
        <f>C64*(1+$AD$10)</f>
        <v>18893.756803859058</v>
      </c>
      <c r="D65" s="348">
        <f>D64</f>
        <v>520802.46582530584</v>
      </c>
      <c r="E65" s="348">
        <f t="shared" si="6"/>
        <v>4350</v>
      </c>
      <c r="F65" s="348">
        <f>F64</f>
        <v>9122.244178534409</v>
      </c>
      <c r="G65" s="760">
        <f t="shared" ref="G65:G75" si="45">G64</f>
        <v>5322.8713296653159</v>
      </c>
      <c r="H65" s="724">
        <f t="shared" si="23"/>
        <v>14445.115508199724</v>
      </c>
      <c r="I65" s="725">
        <f t="shared" si="1"/>
        <v>520802.46582530584</v>
      </c>
      <c r="J65" s="725">
        <f t="shared" si="2"/>
        <v>24314.902749542322</v>
      </c>
      <c r="K65" s="726">
        <f t="shared" si="3"/>
        <v>4350</v>
      </c>
      <c r="P65" s="2">
        <f t="shared" si="43"/>
        <v>2027</v>
      </c>
      <c r="Q65" s="665">
        <v>2.3E-2</v>
      </c>
      <c r="R65" s="2"/>
      <c r="T65" s="670"/>
      <c r="U65" s="675">
        <f>Rentroll!D8</f>
        <v>25</v>
      </c>
      <c r="V65" s="672" t="str">
        <f>V63</f>
        <v>Commonwealth of Australia (ATO)</v>
      </c>
      <c r="W65" s="681">
        <f>Rentroll!E8</f>
        <v>41183</v>
      </c>
      <c r="X65" s="681">
        <f>Rentroll!F8</f>
        <v>46660</v>
      </c>
      <c r="Y65" s="642">
        <f>Z65/U65</f>
        <v>2151.2231185049995</v>
      </c>
      <c r="Z65" s="674">
        <f>S21</f>
        <v>53780.577962624986</v>
      </c>
      <c r="AA65" s="1016">
        <f>Rentroll!Q8</f>
        <v>3.5000000000000003E-2</v>
      </c>
    </row>
    <row r="66" spans="1:27" ht="12.75" thickBot="1">
      <c r="A66" s="189">
        <f t="shared" si="4"/>
        <v>45291</v>
      </c>
      <c r="B66" s="348">
        <f t="shared" si="42"/>
        <v>5421.1459456832636</v>
      </c>
      <c r="C66" s="348">
        <f>C65</f>
        <v>18893.756803859058</v>
      </c>
      <c r="D66" s="348">
        <f t="shared" ref="D66:D75" si="46">D65</f>
        <v>520802.46582530584</v>
      </c>
      <c r="E66" s="348">
        <f t="shared" si="6"/>
        <v>4350</v>
      </c>
      <c r="F66" s="348">
        <f t="shared" si="6"/>
        <v>9122.244178534409</v>
      </c>
      <c r="G66" s="760">
        <f t="shared" si="45"/>
        <v>5322.8713296653159</v>
      </c>
      <c r="H66" s="724">
        <f t="shared" si="23"/>
        <v>14445.115508199724</v>
      </c>
      <c r="I66" s="725">
        <f t="shared" si="1"/>
        <v>520802.46582530584</v>
      </c>
      <c r="J66" s="725">
        <f t="shared" si="2"/>
        <v>24314.902749542322</v>
      </c>
      <c r="K66" s="726">
        <f t="shared" si="3"/>
        <v>4350</v>
      </c>
      <c r="P66" s="2">
        <f t="shared" si="43"/>
        <v>2028</v>
      </c>
      <c r="Q66" s="665">
        <v>2.3E-2</v>
      </c>
      <c r="R66" s="2"/>
      <c r="T66" s="684" t="s">
        <v>524</v>
      </c>
      <c r="U66" s="668">
        <f>SUM(U63:U65)</f>
        <v>317</v>
      </c>
      <c r="V66" s="651"/>
      <c r="W66" s="682"/>
      <c r="X66" s="682"/>
      <c r="Y66" s="651"/>
      <c r="Z66" s="565">
        <f>SUM(Z64:Z65)</f>
        <v>147070.05046262499</v>
      </c>
      <c r="AA66" s="669"/>
    </row>
    <row r="67" spans="1:27" ht="12.75" thickBot="1">
      <c r="A67" s="189">
        <f t="shared" si="4"/>
        <v>45322</v>
      </c>
      <c r="B67" s="721">
        <f>B66*(1+VLOOKUP(YEAR(A67),$P$57:$Q$66,2,FALSE))</f>
        <v>5545.8323024339779</v>
      </c>
      <c r="C67" s="348">
        <f t="shared" ref="C67:C76" si="47">C66</f>
        <v>18893.756803859058</v>
      </c>
      <c r="D67" s="348">
        <f t="shared" si="46"/>
        <v>520802.46582530584</v>
      </c>
      <c r="E67" s="348">
        <f t="shared" si="6"/>
        <v>4350</v>
      </c>
      <c r="F67" s="348">
        <f t="shared" si="6"/>
        <v>9122.244178534409</v>
      </c>
      <c r="G67" s="760">
        <f t="shared" si="45"/>
        <v>5322.8713296653159</v>
      </c>
      <c r="H67" s="724">
        <f t="shared" si="23"/>
        <v>14445.115508199724</v>
      </c>
      <c r="I67" s="725">
        <f t="shared" si="1"/>
        <v>520802.46582530584</v>
      </c>
      <c r="J67" s="725">
        <f t="shared" si="2"/>
        <v>24439.589106293035</v>
      </c>
      <c r="K67" s="726">
        <f t="shared" si="3"/>
        <v>4350</v>
      </c>
      <c r="T67" s="685" t="s">
        <v>530</v>
      </c>
      <c r="U67" s="675"/>
      <c r="V67" s="672"/>
      <c r="W67" s="681"/>
      <c r="X67" s="681"/>
      <c r="Y67" s="642"/>
      <c r="Z67" s="658">
        <f>SUM(Z59,Z62,Z63,Z66)</f>
        <v>5703681.4679665584</v>
      </c>
      <c r="AA67" s="683"/>
    </row>
    <row r="68" spans="1:27">
      <c r="A68" s="189">
        <f t="shared" si="4"/>
        <v>45351</v>
      </c>
      <c r="B68" s="348">
        <f t="shared" ref="B68:B78" si="48">B67</f>
        <v>5545.8323024339779</v>
      </c>
      <c r="C68" s="348">
        <f t="shared" si="47"/>
        <v>18893.756803859058</v>
      </c>
      <c r="D68" s="348">
        <f t="shared" si="46"/>
        <v>520802.46582530584</v>
      </c>
      <c r="E68" s="348">
        <f t="shared" si="6"/>
        <v>4350</v>
      </c>
      <c r="F68" s="348">
        <f t="shared" si="6"/>
        <v>9122.244178534409</v>
      </c>
      <c r="G68" s="760">
        <f t="shared" si="45"/>
        <v>5322.8713296653159</v>
      </c>
      <c r="H68" s="724">
        <f t="shared" ref="H68:H78" si="49">SUM(F68:G68)</f>
        <v>14445.115508199724</v>
      </c>
      <c r="I68" s="725">
        <f t="shared" si="1"/>
        <v>520802.46582530584</v>
      </c>
      <c r="J68" s="725">
        <f t="shared" si="2"/>
        <v>24439.589106293035</v>
      </c>
      <c r="K68" s="726">
        <f t="shared" si="3"/>
        <v>4350</v>
      </c>
      <c r="T68"/>
    </row>
    <row r="69" spans="1:27">
      <c r="A69" s="189">
        <f t="shared" si="4"/>
        <v>45382</v>
      </c>
      <c r="B69" s="348">
        <f t="shared" si="48"/>
        <v>5545.8323024339779</v>
      </c>
      <c r="C69" s="348">
        <f t="shared" si="47"/>
        <v>18893.756803859058</v>
      </c>
      <c r="D69" s="348">
        <f t="shared" si="46"/>
        <v>520802.46582530584</v>
      </c>
      <c r="E69" s="348">
        <f t="shared" si="6"/>
        <v>4350</v>
      </c>
      <c r="F69" s="348">
        <f t="shared" si="6"/>
        <v>9122.244178534409</v>
      </c>
      <c r="G69" s="760">
        <f t="shared" si="45"/>
        <v>5322.8713296653159</v>
      </c>
      <c r="H69" s="724">
        <f t="shared" si="49"/>
        <v>14445.115508199724</v>
      </c>
      <c r="I69" s="725">
        <f t="shared" ref="I69:I78" si="50">D69</f>
        <v>520802.46582530584</v>
      </c>
      <c r="J69" s="725">
        <f t="shared" ref="J69:J78" si="51">SUM(B69:C69)</f>
        <v>24439.589106293035</v>
      </c>
      <c r="K69" s="726">
        <f t="shared" ref="K69:K78" si="52">E69</f>
        <v>4350</v>
      </c>
      <c r="T69"/>
    </row>
    <row r="70" spans="1:27">
      <c r="A70" s="189">
        <f t="shared" ref="A70:A78" si="53">EOMONTH(A69,1)</f>
        <v>45412</v>
      </c>
      <c r="B70" s="348">
        <f t="shared" si="48"/>
        <v>5545.8323024339779</v>
      </c>
      <c r="C70" s="348">
        <f t="shared" si="47"/>
        <v>18893.756803859058</v>
      </c>
      <c r="D70" s="348">
        <f t="shared" si="46"/>
        <v>520802.46582530584</v>
      </c>
      <c r="E70" s="348">
        <f t="shared" ref="E70:F78" si="54">E69</f>
        <v>4350</v>
      </c>
      <c r="F70" s="348">
        <f t="shared" si="54"/>
        <v>9122.244178534409</v>
      </c>
      <c r="G70" s="760">
        <f t="shared" si="45"/>
        <v>5322.8713296653159</v>
      </c>
      <c r="H70" s="724">
        <f t="shared" si="49"/>
        <v>14445.115508199724</v>
      </c>
      <c r="I70" s="725">
        <f t="shared" si="50"/>
        <v>520802.46582530584</v>
      </c>
      <c r="J70" s="725">
        <f t="shared" si="51"/>
        <v>24439.589106293035</v>
      </c>
      <c r="K70" s="726">
        <f t="shared" si="52"/>
        <v>4350</v>
      </c>
      <c r="T70"/>
      <c r="Z70" s="348">
        <f>Z67/12</f>
        <v>475306.78899721318</v>
      </c>
    </row>
    <row r="71" spans="1:27">
      <c r="A71" s="189">
        <f t="shared" si="53"/>
        <v>45443</v>
      </c>
      <c r="B71" s="348">
        <f t="shared" si="48"/>
        <v>5545.8323024339779</v>
      </c>
      <c r="C71" s="348">
        <f t="shared" si="47"/>
        <v>18893.756803859058</v>
      </c>
      <c r="D71" s="348">
        <f t="shared" si="46"/>
        <v>520802.46582530584</v>
      </c>
      <c r="E71" s="348">
        <f t="shared" si="54"/>
        <v>4350</v>
      </c>
      <c r="F71" s="348">
        <f t="shared" si="54"/>
        <v>9122.244178534409</v>
      </c>
      <c r="G71" s="760">
        <f t="shared" si="45"/>
        <v>5322.8713296653159</v>
      </c>
      <c r="H71" s="724">
        <f t="shared" si="49"/>
        <v>14445.115508199724</v>
      </c>
      <c r="I71" s="725">
        <f t="shared" si="50"/>
        <v>520802.46582530584</v>
      </c>
      <c r="J71" s="725">
        <f t="shared" si="51"/>
        <v>24439.589106293035</v>
      </c>
      <c r="K71" s="726">
        <f t="shared" si="52"/>
        <v>4350</v>
      </c>
      <c r="Z71" s="348">
        <f>SUM('3yr forecast'!F13:F16)</f>
        <v>475306.458308</v>
      </c>
    </row>
    <row r="72" spans="1:27">
      <c r="A72" s="189">
        <f t="shared" si="53"/>
        <v>45473</v>
      </c>
      <c r="B72" s="348">
        <f t="shared" si="48"/>
        <v>5545.8323024339779</v>
      </c>
      <c r="C72" s="348">
        <f t="shared" si="47"/>
        <v>18893.756803859058</v>
      </c>
      <c r="D72" s="348">
        <f t="shared" si="46"/>
        <v>520802.46582530584</v>
      </c>
      <c r="E72" s="348">
        <f t="shared" si="54"/>
        <v>4350</v>
      </c>
      <c r="F72" s="348">
        <f t="shared" si="54"/>
        <v>9122.244178534409</v>
      </c>
      <c r="G72" s="760">
        <f t="shared" si="45"/>
        <v>5322.8713296653159</v>
      </c>
      <c r="H72" s="724">
        <f t="shared" si="49"/>
        <v>14445.115508199724</v>
      </c>
      <c r="I72" s="725">
        <f t="shared" si="50"/>
        <v>520802.46582530584</v>
      </c>
      <c r="J72" s="725">
        <f t="shared" si="51"/>
        <v>24439.589106293035</v>
      </c>
      <c r="K72" s="726">
        <f t="shared" si="52"/>
        <v>4350</v>
      </c>
      <c r="Z72" s="348">
        <f>Z70-Z71</f>
        <v>0.33068921318044886</v>
      </c>
    </row>
    <row r="73" spans="1:27">
      <c r="A73" s="189">
        <f t="shared" si="53"/>
        <v>45504</v>
      </c>
      <c r="B73" s="348">
        <f t="shared" si="48"/>
        <v>5545.8323024339779</v>
      </c>
      <c r="C73" s="348">
        <f t="shared" si="47"/>
        <v>18893.756803859058</v>
      </c>
      <c r="D73" s="348">
        <f t="shared" si="46"/>
        <v>520802.46582530584</v>
      </c>
      <c r="E73" s="348">
        <f t="shared" si="54"/>
        <v>4350</v>
      </c>
      <c r="F73" s="348">
        <f t="shared" si="54"/>
        <v>9122.244178534409</v>
      </c>
      <c r="G73" s="760">
        <f t="shared" si="45"/>
        <v>5322.8713296653159</v>
      </c>
      <c r="H73" s="724">
        <f t="shared" si="49"/>
        <v>14445.115508199724</v>
      </c>
      <c r="I73" s="725">
        <f t="shared" si="50"/>
        <v>520802.46582530584</v>
      </c>
      <c r="J73" s="725">
        <f t="shared" si="51"/>
        <v>24439.589106293035</v>
      </c>
      <c r="K73" s="726">
        <f t="shared" si="52"/>
        <v>4350</v>
      </c>
    </row>
    <row r="74" spans="1:27">
      <c r="A74" s="189">
        <f t="shared" si="53"/>
        <v>45535</v>
      </c>
      <c r="B74" s="348">
        <f t="shared" si="48"/>
        <v>5545.8323024339779</v>
      </c>
      <c r="C74" s="348">
        <f t="shared" si="47"/>
        <v>18893.756803859058</v>
      </c>
      <c r="D74" s="348">
        <f t="shared" si="46"/>
        <v>520802.46582530584</v>
      </c>
      <c r="E74" s="348">
        <f t="shared" si="54"/>
        <v>4350</v>
      </c>
      <c r="F74" s="348">
        <f t="shared" si="54"/>
        <v>9122.244178534409</v>
      </c>
      <c r="G74" s="760">
        <f t="shared" si="45"/>
        <v>5322.8713296653159</v>
      </c>
      <c r="H74" s="724">
        <f t="shared" si="49"/>
        <v>14445.115508199724</v>
      </c>
      <c r="I74" s="725">
        <f t="shared" si="50"/>
        <v>520802.46582530584</v>
      </c>
      <c r="J74" s="725">
        <f t="shared" si="51"/>
        <v>24439.589106293035</v>
      </c>
      <c r="K74" s="726">
        <f t="shared" si="52"/>
        <v>4350</v>
      </c>
    </row>
    <row r="75" spans="1:27">
      <c r="A75" s="189">
        <f t="shared" si="53"/>
        <v>45565</v>
      </c>
      <c r="B75" s="348">
        <f t="shared" si="48"/>
        <v>5545.8323024339779</v>
      </c>
      <c r="C75" s="348">
        <f t="shared" si="47"/>
        <v>18893.756803859058</v>
      </c>
      <c r="D75" s="348">
        <f t="shared" si="46"/>
        <v>520802.46582530584</v>
      </c>
      <c r="E75" s="348">
        <f t="shared" si="54"/>
        <v>4350</v>
      </c>
      <c r="F75" s="348">
        <f t="shared" si="54"/>
        <v>9122.244178534409</v>
      </c>
      <c r="G75" s="760">
        <f t="shared" si="45"/>
        <v>5322.8713296653159</v>
      </c>
      <c r="H75" s="724">
        <f t="shared" si="49"/>
        <v>14445.115508199724</v>
      </c>
      <c r="I75" s="725">
        <f t="shared" si="50"/>
        <v>520802.46582530584</v>
      </c>
      <c r="J75" s="725">
        <f t="shared" si="51"/>
        <v>24439.589106293035</v>
      </c>
      <c r="K75" s="726">
        <f t="shared" si="52"/>
        <v>4350</v>
      </c>
    </row>
    <row r="76" spans="1:27">
      <c r="A76" s="189">
        <f t="shared" si="53"/>
        <v>45596</v>
      </c>
      <c r="B76" s="348">
        <f t="shared" si="48"/>
        <v>5545.8323024339779</v>
      </c>
      <c r="C76" s="348">
        <f t="shared" si="47"/>
        <v>18893.756803859058</v>
      </c>
      <c r="D76" s="721">
        <f>D75*(1+$AD$11)</f>
        <v>539030.55212919146</v>
      </c>
      <c r="E76" s="348">
        <f t="shared" si="54"/>
        <v>4350</v>
      </c>
      <c r="F76" s="721">
        <f>F75*(1+$AD$20)</f>
        <v>9418.7171143367777</v>
      </c>
      <c r="G76" s="760">
        <f>G75*(1+$AD$21)</f>
        <v>5509.1718262036011</v>
      </c>
      <c r="H76" s="724">
        <f t="shared" si="49"/>
        <v>14927.888940540379</v>
      </c>
      <c r="I76" s="725">
        <f t="shared" si="50"/>
        <v>539030.55212919146</v>
      </c>
      <c r="J76" s="725">
        <f t="shared" si="51"/>
        <v>24439.589106293035</v>
      </c>
      <c r="K76" s="726">
        <f t="shared" si="52"/>
        <v>4350</v>
      </c>
    </row>
    <row r="77" spans="1:27">
      <c r="A77" s="189">
        <f t="shared" si="53"/>
        <v>45626</v>
      </c>
      <c r="B77" s="348">
        <f t="shared" si="48"/>
        <v>5545.8323024339779</v>
      </c>
      <c r="C77" s="721">
        <f>C76*(1+$AD$10)</f>
        <v>19555.038291994122</v>
      </c>
      <c r="D77" s="348">
        <f>D76</f>
        <v>539030.55212919146</v>
      </c>
      <c r="E77" s="348">
        <f t="shared" si="54"/>
        <v>4350</v>
      </c>
      <c r="F77" s="348">
        <f>F76</f>
        <v>9418.7171143367777</v>
      </c>
      <c r="G77" s="348">
        <f t="shared" ref="G77:G78" si="55">G76</f>
        <v>5509.1718262036011</v>
      </c>
      <c r="H77" s="724">
        <f t="shared" si="49"/>
        <v>14927.888940540379</v>
      </c>
      <c r="I77" s="725">
        <f t="shared" si="50"/>
        <v>539030.55212919146</v>
      </c>
      <c r="J77" s="725">
        <f t="shared" si="51"/>
        <v>25100.870594428099</v>
      </c>
      <c r="K77" s="726">
        <f t="shared" si="52"/>
        <v>4350</v>
      </c>
    </row>
    <row r="78" spans="1:27" ht="12.75" thickBot="1">
      <c r="A78" s="722">
        <f t="shared" si="53"/>
        <v>45657</v>
      </c>
      <c r="B78" s="723">
        <f t="shared" si="48"/>
        <v>5545.8323024339779</v>
      </c>
      <c r="C78" s="723">
        <f>C77</f>
        <v>19555.038291994122</v>
      </c>
      <c r="D78" s="723">
        <f t="shared" ref="D78" si="56">D77</f>
        <v>539030.55212919146</v>
      </c>
      <c r="E78" s="723">
        <f t="shared" si="54"/>
        <v>4350</v>
      </c>
      <c r="F78" s="723">
        <f t="shared" si="54"/>
        <v>9418.7171143367777</v>
      </c>
      <c r="G78" s="723">
        <f t="shared" si="55"/>
        <v>5509.1718262036011</v>
      </c>
      <c r="H78" s="729">
        <f t="shared" si="49"/>
        <v>14927.888940540379</v>
      </c>
      <c r="I78" s="730">
        <f t="shared" si="50"/>
        <v>539030.55212919146</v>
      </c>
      <c r="J78" s="730">
        <f t="shared" si="51"/>
        <v>25100.870594428099</v>
      </c>
      <c r="K78" s="731">
        <f t="shared" si="52"/>
        <v>4350</v>
      </c>
    </row>
    <row r="79" spans="1:27">
      <c r="I79" s="348"/>
      <c r="J79" s="348"/>
      <c r="K79" s="348"/>
      <c r="L79" s="348"/>
    </row>
    <row r="80" spans="1:27">
      <c r="I80" s="348"/>
      <c r="J80" s="348"/>
      <c r="K80" s="348"/>
      <c r="L80" s="348"/>
    </row>
    <row r="81" spans="9:12">
      <c r="I81" s="348"/>
      <c r="J81" s="348"/>
      <c r="K81" s="348"/>
      <c r="L81" s="348"/>
    </row>
    <row r="82" spans="9:12">
      <c r="I82" s="348"/>
      <c r="J82" s="348"/>
      <c r="K82" s="348"/>
      <c r="L82" s="348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"/>
  <sheetViews>
    <sheetView workbookViewId="0"/>
  </sheetViews>
  <sheetFormatPr defaultRowHeight="12"/>
  <sheetData/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7"/>
  <sheetViews>
    <sheetView showGridLines="0" workbookViewId="0">
      <pane xSplit="3" ySplit="6" topLeftCell="D7" activePane="bottomRight" state="frozen"/>
      <selection pane="topRight" activeCell="D1" sqref="D1"/>
      <selection pane="bottomLeft" activeCell="A6" sqref="A6"/>
      <selection pane="bottomRight" activeCell="A13" sqref="A13"/>
    </sheetView>
  </sheetViews>
  <sheetFormatPr defaultRowHeight="12"/>
  <cols>
    <col min="1" max="1" width="9.140625" style="803"/>
    <col min="2" max="3" width="34.28515625" style="803" customWidth="1"/>
    <col min="4" max="13" width="11.140625" style="803" customWidth="1"/>
    <col min="14" max="26" width="12.42578125" style="803" customWidth="1"/>
    <col min="27" max="27" width="12.140625" style="803" customWidth="1"/>
    <col min="28" max="39" width="12.140625" style="806" customWidth="1"/>
    <col min="40" max="40" width="13.140625" style="803" customWidth="1"/>
    <col min="41" max="41" width="24.42578125" style="803" customWidth="1"/>
    <col min="42" max="42" width="16" style="803" customWidth="1"/>
    <col min="43" max="43" width="25.85546875" style="803" customWidth="1"/>
    <col min="44" max="44" width="9.140625" style="803"/>
    <col min="45" max="45" width="29.140625" style="803" customWidth="1"/>
    <col min="46" max="46" width="10.42578125" style="803" bestFit="1" customWidth="1"/>
    <col min="47" max="47" width="9.140625" style="803"/>
    <col min="48" max="48" width="10.140625" style="803" bestFit="1" customWidth="1"/>
    <col min="49" max="16384" width="9.140625" style="803"/>
  </cols>
  <sheetData>
    <row r="1" spans="1:47">
      <c r="O1" s="803">
        <f>P1-1</f>
        <v>3</v>
      </c>
      <c r="P1" s="803">
        <f t="shared" ref="P1:Z1" si="0">Q1-1</f>
        <v>4</v>
      </c>
      <c r="Q1" s="803">
        <f t="shared" si="0"/>
        <v>5</v>
      </c>
      <c r="R1" s="803">
        <f t="shared" si="0"/>
        <v>6</v>
      </c>
      <c r="S1" s="803">
        <f t="shared" si="0"/>
        <v>7</v>
      </c>
      <c r="T1" s="803">
        <f t="shared" si="0"/>
        <v>8</v>
      </c>
      <c r="U1" s="803">
        <f t="shared" si="0"/>
        <v>9</v>
      </c>
      <c r="V1" s="803">
        <f t="shared" si="0"/>
        <v>10</v>
      </c>
      <c r="W1" s="803">
        <f t="shared" si="0"/>
        <v>11</v>
      </c>
      <c r="X1" s="803">
        <f t="shared" si="0"/>
        <v>12</v>
      </c>
      <c r="Y1" s="803">
        <f t="shared" si="0"/>
        <v>13</v>
      </c>
      <c r="Z1" s="803">
        <f t="shared" si="0"/>
        <v>14</v>
      </c>
      <c r="AA1" s="804">
        <v>15</v>
      </c>
      <c r="AB1" s="803">
        <f>AC1-1</f>
        <v>3</v>
      </c>
      <c r="AC1" s="803">
        <f t="shared" ref="AC1:AM1" si="1">AD1-1</f>
        <v>4</v>
      </c>
      <c r="AD1" s="803">
        <f t="shared" si="1"/>
        <v>5</v>
      </c>
      <c r="AE1" s="803">
        <f t="shared" si="1"/>
        <v>6</v>
      </c>
      <c r="AF1" s="803">
        <f t="shared" si="1"/>
        <v>7</v>
      </c>
      <c r="AG1" s="803">
        <f t="shared" si="1"/>
        <v>8</v>
      </c>
      <c r="AH1" s="803">
        <f t="shared" si="1"/>
        <v>9</v>
      </c>
      <c r="AI1" s="803">
        <f t="shared" si="1"/>
        <v>10</v>
      </c>
      <c r="AJ1" s="803">
        <f t="shared" si="1"/>
        <v>11</v>
      </c>
      <c r="AK1" s="803">
        <f t="shared" si="1"/>
        <v>12</v>
      </c>
      <c r="AL1" s="803">
        <f t="shared" si="1"/>
        <v>13</v>
      </c>
      <c r="AM1" s="803">
        <f t="shared" si="1"/>
        <v>14</v>
      </c>
      <c r="AN1" s="804">
        <v>15</v>
      </c>
      <c r="AS1" s="805"/>
    </row>
    <row r="2" spans="1:47">
      <c r="D2" s="803" t="s">
        <v>666</v>
      </c>
      <c r="N2" s="804">
        <f>N4-N3+1</f>
        <v>268</v>
      </c>
      <c r="AA2" s="804">
        <f>AA4-AA3+1</f>
        <v>365</v>
      </c>
      <c r="AN2" s="804">
        <f>AN4-AN3+1</f>
        <v>365</v>
      </c>
    </row>
    <row r="3" spans="1:47">
      <c r="D3" s="807">
        <v>42284</v>
      </c>
      <c r="N3" s="808">
        <v>42284</v>
      </c>
      <c r="O3" s="809"/>
      <c r="P3" s="809"/>
      <c r="Q3" s="809"/>
      <c r="R3" s="809"/>
      <c r="S3" s="809"/>
      <c r="T3" s="809"/>
      <c r="U3" s="809"/>
      <c r="V3" s="809"/>
      <c r="W3" s="809"/>
      <c r="X3" s="809"/>
      <c r="Y3" s="809"/>
      <c r="Z3" s="809"/>
      <c r="AA3" s="810">
        <f>N4+1</f>
        <v>42552</v>
      </c>
      <c r="AB3" s="811"/>
      <c r="AC3" s="811"/>
      <c r="AD3" s="811"/>
      <c r="AE3" s="811"/>
      <c r="AF3" s="811"/>
      <c r="AG3" s="811"/>
      <c r="AH3" s="811"/>
      <c r="AI3" s="811"/>
      <c r="AJ3" s="811"/>
      <c r="AK3" s="811"/>
      <c r="AL3" s="811"/>
      <c r="AM3" s="811"/>
      <c r="AN3" s="810">
        <f>AA4+1</f>
        <v>42917</v>
      </c>
    </row>
    <row r="4" spans="1:47">
      <c r="D4" s="812">
        <f>EOMONTH(F5,-1)</f>
        <v>42308</v>
      </c>
      <c r="N4" s="808">
        <v>42551</v>
      </c>
      <c r="O4" s="809"/>
      <c r="P4" s="809"/>
      <c r="Q4" s="809"/>
      <c r="R4" s="809"/>
      <c r="S4" s="809"/>
      <c r="T4" s="809"/>
      <c r="U4" s="809"/>
      <c r="V4" s="809"/>
      <c r="W4" s="809"/>
      <c r="X4" s="809"/>
      <c r="Y4" s="809"/>
      <c r="Z4" s="809"/>
      <c r="AA4" s="810">
        <f>EOMONTH(N4,12)</f>
        <v>42916</v>
      </c>
      <c r="AB4" s="811"/>
      <c r="AC4" s="811"/>
      <c r="AD4" s="811"/>
      <c r="AE4" s="811"/>
      <c r="AF4" s="811"/>
      <c r="AG4" s="811"/>
      <c r="AH4" s="811"/>
      <c r="AI4" s="811"/>
      <c r="AJ4" s="811"/>
      <c r="AK4" s="811"/>
      <c r="AL4" s="811"/>
      <c r="AM4" s="811"/>
      <c r="AN4" s="810">
        <f>EOMONTH(AA4,12)</f>
        <v>43281</v>
      </c>
    </row>
    <row r="5" spans="1:47">
      <c r="E5" s="813">
        <f t="shared" ref="E5:L5" si="2">EOMONTH(F5,-1)</f>
        <v>42308</v>
      </c>
      <c r="F5" s="813">
        <f t="shared" si="2"/>
        <v>42338</v>
      </c>
      <c r="G5" s="813">
        <f t="shared" si="2"/>
        <v>42369</v>
      </c>
      <c r="H5" s="813">
        <f t="shared" si="2"/>
        <v>42400</v>
      </c>
      <c r="I5" s="813">
        <f t="shared" si="2"/>
        <v>42429</v>
      </c>
      <c r="J5" s="813">
        <f t="shared" si="2"/>
        <v>42460</v>
      </c>
      <c r="K5" s="813">
        <f t="shared" si="2"/>
        <v>42490</v>
      </c>
      <c r="L5" s="813">
        <f t="shared" si="2"/>
        <v>42521</v>
      </c>
      <c r="M5" s="809">
        <v>42551</v>
      </c>
      <c r="O5" s="813">
        <f t="shared" ref="O5:Y5" si="3">EOMONTH(P5,-1)</f>
        <v>42582</v>
      </c>
      <c r="P5" s="813">
        <f t="shared" si="3"/>
        <v>42613</v>
      </c>
      <c r="Q5" s="813">
        <f t="shared" si="3"/>
        <v>42643</v>
      </c>
      <c r="R5" s="813">
        <f t="shared" si="3"/>
        <v>42674</v>
      </c>
      <c r="S5" s="813">
        <f t="shared" si="3"/>
        <v>42704</v>
      </c>
      <c r="T5" s="813">
        <f t="shared" si="3"/>
        <v>42735</v>
      </c>
      <c r="U5" s="813">
        <f t="shared" si="3"/>
        <v>42766</v>
      </c>
      <c r="V5" s="813">
        <f t="shared" si="3"/>
        <v>42794</v>
      </c>
      <c r="W5" s="813">
        <f t="shared" si="3"/>
        <v>42825</v>
      </c>
      <c r="X5" s="813">
        <f t="shared" si="3"/>
        <v>42855</v>
      </c>
      <c r="Y5" s="813">
        <f t="shared" si="3"/>
        <v>42886</v>
      </c>
      <c r="Z5" s="809">
        <f>AA4</f>
        <v>42916</v>
      </c>
      <c r="AB5" s="813">
        <f t="shared" ref="AB5:AL5" si="4">EOMONTH(AC5,-1)</f>
        <v>42947</v>
      </c>
      <c r="AC5" s="813">
        <f t="shared" si="4"/>
        <v>42978</v>
      </c>
      <c r="AD5" s="813">
        <f t="shared" si="4"/>
        <v>43008</v>
      </c>
      <c r="AE5" s="813">
        <f t="shared" si="4"/>
        <v>43039</v>
      </c>
      <c r="AF5" s="813">
        <f t="shared" si="4"/>
        <v>43069</v>
      </c>
      <c r="AG5" s="813">
        <f t="shared" si="4"/>
        <v>43100</v>
      </c>
      <c r="AH5" s="813">
        <f t="shared" si="4"/>
        <v>43131</v>
      </c>
      <c r="AI5" s="813">
        <f t="shared" si="4"/>
        <v>43159</v>
      </c>
      <c r="AJ5" s="813">
        <f t="shared" si="4"/>
        <v>43190</v>
      </c>
      <c r="AK5" s="813">
        <f t="shared" si="4"/>
        <v>43220</v>
      </c>
      <c r="AL5" s="813">
        <f t="shared" si="4"/>
        <v>43251</v>
      </c>
      <c r="AM5" s="809">
        <v>43281</v>
      </c>
    </row>
    <row r="6" spans="1:47" ht="12.75" thickBot="1">
      <c r="D6" s="814"/>
      <c r="N6" s="815" t="s">
        <v>667</v>
      </c>
      <c r="O6" s="816"/>
      <c r="P6" s="816"/>
      <c r="Q6" s="816"/>
      <c r="R6" s="816"/>
      <c r="S6" s="816"/>
      <c r="T6" s="816"/>
      <c r="U6" s="816"/>
      <c r="V6" s="816"/>
      <c r="W6" s="816"/>
      <c r="X6" s="816"/>
      <c r="Y6" s="816"/>
      <c r="Z6" s="816"/>
      <c r="AA6" s="815" t="s">
        <v>668</v>
      </c>
      <c r="AB6" s="817"/>
      <c r="AC6" s="817"/>
      <c r="AD6" s="817"/>
      <c r="AE6" s="817"/>
      <c r="AF6" s="817"/>
      <c r="AG6" s="817"/>
      <c r="AH6" s="817"/>
      <c r="AI6" s="817"/>
      <c r="AJ6" s="817"/>
      <c r="AK6" s="817"/>
      <c r="AL6" s="817"/>
      <c r="AM6" s="817"/>
      <c r="AN6" s="815" t="s">
        <v>669</v>
      </c>
    </row>
    <row r="7" spans="1:47">
      <c r="B7" s="818" t="s">
        <v>670</v>
      </c>
      <c r="C7" s="819"/>
      <c r="D7" s="820">
        <f t="shared" ref="D7:AN7" si="5">SUM(D10:D16)</f>
        <v>335626.68000000005</v>
      </c>
      <c r="E7" s="821">
        <f t="shared" si="5"/>
        <v>433517.79500000004</v>
      </c>
      <c r="F7" s="821">
        <f t="shared" si="5"/>
        <v>438840.81</v>
      </c>
      <c r="G7" s="821">
        <f t="shared" si="5"/>
        <v>449702.61000000004</v>
      </c>
      <c r="H7" s="821">
        <f t="shared" si="5"/>
        <v>442072.23</v>
      </c>
      <c r="I7" s="821">
        <f t="shared" si="5"/>
        <v>425027.9</v>
      </c>
      <c r="J7" s="821">
        <f t="shared" si="5"/>
        <v>434072.22</v>
      </c>
      <c r="K7" s="821">
        <f t="shared" si="5"/>
        <v>434072.14</v>
      </c>
      <c r="L7" s="821">
        <f t="shared" si="5"/>
        <v>434072.25</v>
      </c>
      <c r="M7" s="821">
        <f t="shared" si="5"/>
        <v>438018.83</v>
      </c>
      <c r="N7" s="822">
        <f t="shared" si="5"/>
        <v>3831505.6700000004</v>
      </c>
      <c r="O7" s="823">
        <f t="shared" si="5"/>
        <v>435742.25</v>
      </c>
      <c r="P7" s="823">
        <f t="shared" si="5"/>
        <v>435742.27</v>
      </c>
      <c r="Q7" s="823">
        <f t="shared" si="5"/>
        <v>435493.26</v>
      </c>
      <c r="R7" s="823">
        <f t="shared" si="5"/>
        <v>449872.9</v>
      </c>
      <c r="S7" s="823">
        <f t="shared" si="5"/>
        <v>450107.25</v>
      </c>
      <c r="T7" s="823">
        <f t="shared" si="5"/>
        <v>450398.26999999996</v>
      </c>
      <c r="U7" s="823">
        <f t="shared" si="5"/>
        <v>450435.66</v>
      </c>
      <c r="V7" s="823">
        <f t="shared" si="5"/>
        <v>449512.58999999997</v>
      </c>
      <c r="W7" s="823">
        <f t="shared" si="5"/>
        <v>450435.66</v>
      </c>
      <c r="X7" s="823">
        <f t="shared" si="5"/>
        <v>450435.66</v>
      </c>
      <c r="Y7" s="823">
        <f t="shared" si="5"/>
        <v>446097.66</v>
      </c>
      <c r="Z7" s="823">
        <f t="shared" si="5"/>
        <v>456653.66</v>
      </c>
      <c r="AA7" s="822">
        <f t="shared" si="5"/>
        <v>5360927.09</v>
      </c>
      <c r="AB7" s="823">
        <f t="shared" si="5"/>
        <v>451472.20999999996</v>
      </c>
      <c r="AC7" s="823">
        <f t="shared" si="5"/>
        <v>451926.74999999994</v>
      </c>
      <c r="AD7" s="823">
        <f t="shared" si="5"/>
        <v>451517.67</v>
      </c>
      <c r="AE7" s="823">
        <f t="shared" si="5"/>
        <v>466810.75000000006</v>
      </c>
      <c r="AF7" s="823">
        <f t="shared" si="5"/>
        <v>466425.30000000005</v>
      </c>
      <c r="AG7" s="823">
        <f t="shared" si="5"/>
        <v>458527.71</v>
      </c>
      <c r="AH7" s="823">
        <f t="shared" si="5"/>
        <v>471271.06000000006</v>
      </c>
      <c r="AI7" s="823">
        <f t="shared" si="5"/>
        <v>458715.06000000006</v>
      </c>
      <c r="AJ7" s="823">
        <f t="shared" si="5"/>
        <v>465410.06000000006</v>
      </c>
      <c r="AK7" s="823">
        <f t="shared" si="5"/>
        <v>465630.32000000007</v>
      </c>
      <c r="AL7" s="823">
        <f t="shared" si="5"/>
        <v>465401.92000000004</v>
      </c>
      <c r="AM7" s="823">
        <f t="shared" si="5"/>
        <v>467332.91000000003</v>
      </c>
      <c r="AN7" s="822">
        <f t="shared" si="5"/>
        <v>5540441.7200000007</v>
      </c>
    </row>
    <row r="8" spans="1:47">
      <c r="B8" s="824" t="str">
        <f>'RP- Profit &amp; Loss 2016'!B13</f>
        <v>Office rent</v>
      </c>
      <c r="C8" s="825"/>
      <c r="D8" s="826">
        <f>'RP- Profit &amp; Loss 2016'!D13</f>
        <v>306196.2</v>
      </c>
      <c r="E8" s="827">
        <f t="shared" ref="E8:E55" si="6">D8/24*31</f>
        <v>395503.42500000005</v>
      </c>
      <c r="F8" s="828">
        <f>'RP- Profit &amp; Loss 2016'!E13</f>
        <v>395503.42</v>
      </c>
      <c r="G8" s="828">
        <f>'RP- Profit &amp; Loss 2016'!F13</f>
        <v>395503.42</v>
      </c>
      <c r="H8" s="828">
        <f>'RP- Profit &amp; Loss 2016'!G13</f>
        <v>395503.42</v>
      </c>
      <c r="I8" s="828">
        <f>'RP- Profit &amp; Loss 2016'!H13</f>
        <v>395503.42</v>
      </c>
      <c r="J8" s="828">
        <f>'RP- Profit &amp; Loss 2016'!I13</f>
        <v>395503.42</v>
      </c>
      <c r="K8" s="828">
        <f>'RP- Profit &amp; Loss 2016'!J13</f>
        <v>395503.31</v>
      </c>
      <c r="L8" s="828">
        <f>'RP- Profit &amp; Loss 2016'!K13</f>
        <v>395503.42</v>
      </c>
      <c r="M8" s="828">
        <f>'RP- Profit &amp; Loss 2016'!L13</f>
        <v>395503.42</v>
      </c>
      <c r="N8" s="827">
        <f>'RP- Profit &amp; Loss 2016'!M13</f>
        <v>3470223.45</v>
      </c>
      <c r="O8" s="829">
        <f>'RP- Profit &amp; Loss 2017'!C13</f>
        <v>395503.42</v>
      </c>
      <c r="P8" s="829">
        <f>'RP- Profit &amp; Loss 2017'!D13</f>
        <v>395503.42</v>
      </c>
      <c r="Q8" s="829">
        <f>'RP- Profit &amp; Loss 2017'!E13</f>
        <v>395503.42</v>
      </c>
      <c r="R8" s="829">
        <f>'RP- Profit &amp; Loss 2017'!F13</f>
        <v>409346.04</v>
      </c>
      <c r="S8" s="829">
        <f>'RP- Profit &amp; Loss 2017'!G13</f>
        <v>409346.04</v>
      </c>
      <c r="T8" s="829">
        <f>'RP- Profit &amp; Loss 2017'!H13</f>
        <v>409346.04</v>
      </c>
      <c r="U8" s="829">
        <f>'RP- Profit &amp; Loss 2017'!I13</f>
        <v>409346.04</v>
      </c>
      <c r="V8" s="829">
        <f>'RP- Profit &amp; Loss 2017'!J13</f>
        <v>409346.04</v>
      </c>
      <c r="W8" s="829">
        <f>'RP- Profit &amp; Loss 2017'!K13</f>
        <v>409346.04</v>
      </c>
      <c r="X8" s="829">
        <f>'RP- Profit &amp; Loss 2017'!L13</f>
        <v>409346.04</v>
      </c>
      <c r="Y8" s="829">
        <f>'RP- Profit &amp; Loss 2017'!M13</f>
        <v>409346.04</v>
      </c>
      <c r="Z8" s="829">
        <f>'RP- Profit &amp; Loss 2017'!N13</f>
        <v>409346.04</v>
      </c>
      <c r="AA8" s="827">
        <f>'RP- Profit &amp; Loss 2017'!O13</f>
        <v>4870624.62</v>
      </c>
      <c r="AB8" s="829">
        <f>'RP- Profit &amp; Loss 2018'!C13</f>
        <v>409346.04</v>
      </c>
      <c r="AC8" s="829">
        <f>'RP- Profit &amp; Loss 2018'!D13</f>
        <v>409346.04</v>
      </c>
      <c r="AD8" s="829">
        <f>'RP- Profit &amp; Loss 2018'!E13</f>
        <v>409346.04</v>
      </c>
      <c r="AE8" s="829">
        <f>'RP- Profit &amp; Loss 2018'!F13</f>
        <v>423673.15</v>
      </c>
      <c r="AF8" s="829">
        <f>'RP- Profit &amp; Loss 2018'!G13</f>
        <v>423673.01</v>
      </c>
      <c r="AG8" s="829">
        <f>'RP- Profit &amp; Loss 2018'!H13</f>
        <v>423673.15</v>
      </c>
      <c r="AH8" s="829">
        <f>'RP- Profit &amp; Loss 2018'!I13</f>
        <v>423673.15</v>
      </c>
      <c r="AI8" s="829">
        <f>'RP- Profit &amp; Loss 2018'!J13</f>
        <v>423673.15</v>
      </c>
      <c r="AJ8" s="829">
        <f>'RP- Profit &amp; Loss 2018'!K13</f>
        <v>423673.15</v>
      </c>
      <c r="AK8" s="829">
        <f>'RP- Profit &amp; Loss 2018'!L13</f>
        <v>423673.15</v>
      </c>
      <c r="AL8" s="829">
        <f>'RP- Profit &amp; Loss 2018'!M13</f>
        <v>423673.01</v>
      </c>
      <c r="AM8" s="829">
        <f>'RP- Profit &amp; Loss 2018'!N13</f>
        <v>423673.15</v>
      </c>
      <c r="AN8" s="827">
        <f>'RP- Profit &amp; Loss 2018'!O13</f>
        <v>5041096.1900000004</v>
      </c>
    </row>
    <row r="9" spans="1:47">
      <c r="B9" s="824" t="str">
        <f>'RP- Profit &amp; Loss 2016'!B14</f>
        <v>Office rent - Stepped rent cap</v>
      </c>
      <c r="C9" s="825"/>
      <c r="D9" s="826">
        <f>'RP- Profit &amp; Loss 2016'!D14</f>
        <v>0</v>
      </c>
      <c r="E9" s="827"/>
      <c r="F9" s="828"/>
      <c r="G9" s="828"/>
      <c r="H9" s="828"/>
      <c r="I9" s="828"/>
      <c r="J9" s="828"/>
      <c r="K9" s="828"/>
      <c r="L9" s="828"/>
      <c r="M9" s="828"/>
      <c r="N9" s="827"/>
      <c r="O9" s="829"/>
      <c r="P9" s="829"/>
      <c r="Q9" s="829"/>
      <c r="R9" s="829"/>
      <c r="S9" s="829"/>
      <c r="T9" s="829"/>
      <c r="U9" s="829"/>
      <c r="V9" s="829"/>
      <c r="W9" s="829"/>
      <c r="X9" s="829"/>
      <c r="Y9" s="829"/>
      <c r="Z9" s="829"/>
      <c r="AA9" s="827"/>
      <c r="AB9" s="829"/>
      <c r="AC9" s="829"/>
      <c r="AD9" s="829"/>
      <c r="AE9" s="829"/>
      <c r="AF9" s="829"/>
      <c r="AG9" s="829"/>
      <c r="AH9" s="829"/>
      <c r="AI9" s="829"/>
      <c r="AJ9" s="829"/>
      <c r="AK9" s="829"/>
      <c r="AL9" s="829"/>
      <c r="AM9" s="829"/>
      <c r="AN9" s="827"/>
    </row>
    <row r="10" spans="1:47">
      <c r="A10" s="805" t="str">
        <f>'RP- Profit &amp; Loss 2016'!A15</f>
        <v/>
      </c>
      <c r="B10" s="805" t="str">
        <f>'RP- Profit &amp; Loss 2016'!B15</f>
        <v>Total Rent - Office</v>
      </c>
      <c r="C10" s="830" t="str">
        <f>B144</f>
        <v xml:space="preserve">  Rent - Office</v>
      </c>
      <c r="D10" s="826">
        <f>'RP- Profit &amp; Loss 2016'!D15</f>
        <v>306196.2</v>
      </c>
      <c r="E10" s="827">
        <f t="shared" ref="E10:AN10" si="7">SUM(E8:E9)</f>
        <v>395503.42500000005</v>
      </c>
      <c r="F10" s="828">
        <f t="shared" si="7"/>
        <v>395503.42</v>
      </c>
      <c r="G10" s="828">
        <f t="shared" si="7"/>
        <v>395503.42</v>
      </c>
      <c r="H10" s="828">
        <f t="shared" si="7"/>
        <v>395503.42</v>
      </c>
      <c r="I10" s="828">
        <f t="shared" si="7"/>
        <v>395503.42</v>
      </c>
      <c r="J10" s="828">
        <f t="shared" si="7"/>
        <v>395503.42</v>
      </c>
      <c r="K10" s="828">
        <f t="shared" si="7"/>
        <v>395503.31</v>
      </c>
      <c r="L10" s="828">
        <f t="shared" si="7"/>
        <v>395503.42</v>
      </c>
      <c r="M10" s="828">
        <f t="shared" si="7"/>
        <v>395503.42</v>
      </c>
      <c r="N10" s="827">
        <f t="shared" si="7"/>
        <v>3470223.45</v>
      </c>
      <c r="O10" s="829">
        <f t="shared" si="7"/>
        <v>395503.42</v>
      </c>
      <c r="P10" s="829">
        <f t="shared" si="7"/>
        <v>395503.42</v>
      </c>
      <c r="Q10" s="829">
        <f t="shared" si="7"/>
        <v>395503.42</v>
      </c>
      <c r="R10" s="829">
        <f t="shared" si="7"/>
        <v>409346.04</v>
      </c>
      <c r="S10" s="829">
        <f t="shared" si="7"/>
        <v>409346.04</v>
      </c>
      <c r="T10" s="829">
        <f t="shared" si="7"/>
        <v>409346.04</v>
      </c>
      <c r="U10" s="829">
        <f t="shared" si="7"/>
        <v>409346.04</v>
      </c>
      <c r="V10" s="829">
        <f t="shared" si="7"/>
        <v>409346.04</v>
      </c>
      <c r="W10" s="829">
        <f t="shared" si="7"/>
        <v>409346.04</v>
      </c>
      <c r="X10" s="829">
        <f t="shared" si="7"/>
        <v>409346.04</v>
      </c>
      <c r="Y10" s="829">
        <f t="shared" si="7"/>
        <v>409346.04</v>
      </c>
      <c r="Z10" s="829">
        <f t="shared" si="7"/>
        <v>409346.04</v>
      </c>
      <c r="AA10" s="827">
        <f t="shared" si="7"/>
        <v>4870624.62</v>
      </c>
      <c r="AB10" s="829">
        <f t="shared" si="7"/>
        <v>409346.04</v>
      </c>
      <c r="AC10" s="829">
        <f t="shared" si="7"/>
        <v>409346.04</v>
      </c>
      <c r="AD10" s="829">
        <f t="shared" si="7"/>
        <v>409346.04</v>
      </c>
      <c r="AE10" s="829">
        <f t="shared" si="7"/>
        <v>423673.15</v>
      </c>
      <c r="AF10" s="829">
        <f t="shared" si="7"/>
        <v>423673.01</v>
      </c>
      <c r="AG10" s="829">
        <f t="shared" si="7"/>
        <v>423673.15</v>
      </c>
      <c r="AH10" s="829">
        <f t="shared" si="7"/>
        <v>423673.15</v>
      </c>
      <c r="AI10" s="829">
        <f t="shared" si="7"/>
        <v>423673.15</v>
      </c>
      <c r="AJ10" s="829">
        <f t="shared" si="7"/>
        <v>423673.15</v>
      </c>
      <c r="AK10" s="829">
        <f t="shared" si="7"/>
        <v>423673.15</v>
      </c>
      <c r="AL10" s="829">
        <f t="shared" si="7"/>
        <v>423673.01</v>
      </c>
      <c r="AM10" s="829">
        <f t="shared" si="7"/>
        <v>423673.15</v>
      </c>
      <c r="AN10" s="827">
        <f t="shared" si="7"/>
        <v>5041096.1900000004</v>
      </c>
      <c r="AP10" s="805"/>
      <c r="AQ10" s="805"/>
      <c r="AR10" s="805"/>
      <c r="AU10" s="805"/>
    </row>
    <row r="11" spans="1:47">
      <c r="A11" s="805" t="str">
        <f>'RP- Profit &amp; Loss 2016'!A17</f>
        <v>4-1201</v>
      </c>
      <c r="B11" s="805" t="str">
        <f>'RP- Profit &amp; Loss 2016'!B17</f>
        <v>Retail rent</v>
      </c>
      <c r="C11" s="830" t="str">
        <f>+B145</f>
        <v xml:space="preserve">  Rent - Speciality</v>
      </c>
      <c r="D11" s="826">
        <f>'RP- Profit &amp; Loss 2016'!D17</f>
        <v>14297.28</v>
      </c>
      <c r="E11" s="828">
        <f t="shared" si="6"/>
        <v>18467.32</v>
      </c>
      <c r="F11" s="828">
        <f>'RP- Profit &amp; Loss 2016'!E17</f>
        <v>18467.330000000002</v>
      </c>
      <c r="G11" s="828">
        <f>'RP- Profit &amp; Loss 2016'!F17</f>
        <v>19205.759999999998</v>
      </c>
      <c r="H11" s="828">
        <f>'RP- Profit &amp; Loss 2016'!G17</f>
        <v>19021.77</v>
      </c>
      <c r="I11" s="828">
        <f>'RP- Profit &amp; Loss 2016'!H17</f>
        <v>19021.77</v>
      </c>
      <c r="J11" s="828">
        <f>'RP- Profit &amp; Loss 2016'!I17</f>
        <v>19021.77</v>
      </c>
      <c r="K11" s="828">
        <f>'RP- Profit &amp; Loss 2016'!J17</f>
        <v>19021.77</v>
      </c>
      <c r="L11" s="828">
        <f>'RP- Profit &amp; Loss 2016'!K17</f>
        <v>19021.77</v>
      </c>
      <c r="M11" s="828">
        <f>'RP- Profit &amp; Loss 2016'!L17</f>
        <v>19021.77</v>
      </c>
      <c r="N11" s="827">
        <f>'RP- Profit &amp; Loss 2016'!M17</f>
        <v>166100.99</v>
      </c>
      <c r="O11" s="829">
        <f>'RP- Profit &amp; Loss 2017'!C17</f>
        <v>19021.77</v>
      </c>
      <c r="P11" s="829">
        <f>'RP- Profit &amp; Loss 2017'!D17</f>
        <v>19021.77</v>
      </c>
      <c r="Q11" s="829">
        <f>'RP- Profit &amp; Loss 2017'!E17</f>
        <v>19021.77</v>
      </c>
      <c r="R11" s="829">
        <f>'RP- Profit &amp; Loss 2017'!F17</f>
        <v>19021.77</v>
      </c>
      <c r="S11" s="829">
        <f>'RP- Profit &amp; Loss 2017'!G17</f>
        <v>19256.12</v>
      </c>
      <c r="T11" s="829">
        <f>'RP- Profit &amp; Loss 2017'!H17</f>
        <v>19547.41</v>
      </c>
      <c r="U11" s="829">
        <f>'RP- Profit &amp; Loss 2017'!I17</f>
        <v>19584.53</v>
      </c>
      <c r="V11" s="829">
        <f>'RP- Profit &amp; Loss 2017'!J17</f>
        <v>19584.53</v>
      </c>
      <c r="W11" s="829">
        <f>'RP- Profit &amp; Loss 2017'!K17</f>
        <v>19584.53</v>
      </c>
      <c r="X11" s="829">
        <f>'RP- Profit &amp; Loss 2017'!L17</f>
        <v>19584.53</v>
      </c>
      <c r="Y11" s="829">
        <f>'RP- Profit &amp; Loss 2017'!M17</f>
        <v>19584.53</v>
      </c>
      <c r="Z11" s="829">
        <f>'RP- Profit &amp; Loss 2017'!N17</f>
        <v>19584.53</v>
      </c>
      <c r="AA11" s="827">
        <f>'RP- Profit &amp; Loss 2017'!O17</f>
        <v>232397.79</v>
      </c>
      <c r="AB11" s="829">
        <f>'RP- Profit &amp; Loss 2018'!C17</f>
        <v>19584.53</v>
      </c>
      <c r="AC11" s="829">
        <f>'RP- Profit &amp; Loss 2018'!D17</f>
        <v>19584.53</v>
      </c>
      <c r="AD11" s="829">
        <f>'RP- Profit &amp; Loss 2018'!E17</f>
        <v>19584.53</v>
      </c>
      <c r="AE11" s="829">
        <f>'RP- Profit &amp; Loss 2018'!F17</f>
        <v>19584.53</v>
      </c>
      <c r="AF11" s="829">
        <f>'RP- Profit &amp; Loss 2018'!G17</f>
        <v>19827.080000000002</v>
      </c>
      <c r="AG11" s="829">
        <f>'RP- Profit &amp; Loss 2018'!H17</f>
        <v>20137.79</v>
      </c>
      <c r="AH11" s="829">
        <f>'RP- Profit &amp; Loss 2018'!I17</f>
        <v>20190.84</v>
      </c>
      <c r="AI11" s="829">
        <f>'RP- Profit &amp; Loss 2018'!J17</f>
        <v>20190.84</v>
      </c>
      <c r="AJ11" s="829">
        <f>'RP- Profit &amp; Loss 2018'!K17</f>
        <v>20190.84</v>
      </c>
      <c r="AK11" s="829">
        <f>'RP- Profit &amp; Loss 2018'!L17</f>
        <v>20190.84</v>
      </c>
      <c r="AL11" s="829">
        <f>'RP- Profit &amp; Loss 2018'!M17</f>
        <v>20190.84</v>
      </c>
      <c r="AM11" s="829">
        <f>'RP- Profit &amp; Loss 2018'!N17</f>
        <v>20190.84</v>
      </c>
      <c r="AN11" s="827">
        <f>'RP- Profit &amp; Loss 2018'!O17</f>
        <v>239448.03</v>
      </c>
      <c r="AP11" s="805"/>
      <c r="AQ11" s="805"/>
      <c r="AR11" s="805"/>
      <c r="AU11" s="805"/>
    </row>
    <row r="12" spans="1:47">
      <c r="A12" s="805"/>
      <c r="B12" s="831" t="s">
        <v>671</v>
      </c>
      <c r="C12" s="832" t="str">
        <f>+B148</f>
        <v xml:space="preserve">  Free Rent - Speciality</v>
      </c>
      <c r="D12" s="826"/>
      <c r="E12" s="828"/>
      <c r="F12" s="828"/>
      <c r="G12" s="828"/>
      <c r="H12" s="828"/>
      <c r="I12" s="828"/>
      <c r="J12" s="828"/>
      <c r="K12" s="828"/>
      <c r="L12" s="828"/>
      <c r="M12" s="828"/>
      <c r="N12" s="827"/>
      <c r="O12" s="829"/>
      <c r="P12" s="829"/>
      <c r="Q12" s="829"/>
      <c r="R12" s="829"/>
      <c r="S12" s="829"/>
      <c r="T12" s="829"/>
      <c r="U12" s="829"/>
      <c r="V12" s="829"/>
      <c r="W12" s="829"/>
      <c r="X12" s="829"/>
      <c r="Y12" s="829"/>
      <c r="Z12" s="829"/>
      <c r="AA12" s="827"/>
      <c r="AB12" s="829"/>
      <c r="AC12" s="829"/>
      <c r="AD12" s="829"/>
      <c r="AE12" s="829"/>
      <c r="AF12" s="829"/>
      <c r="AG12" s="829"/>
      <c r="AH12" s="829"/>
      <c r="AI12" s="829"/>
      <c r="AJ12" s="829"/>
      <c r="AK12" s="829"/>
      <c r="AL12" s="829"/>
      <c r="AM12" s="829"/>
      <c r="AN12" s="827"/>
      <c r="AP12" s="805"/>
      <c r="AQ12" s="805"/>
      <c r="AR12" s="805"/>
      <c r="AU12" s="805"/>
    </row>
    <row r="13" spans="1:47">
      <c r="A13" s="805" t="str">
        <f>'RP- Profit &amp; Loss 2016'!A20</f>
        <v/>
      </c>
      <c r="B13" s="805" t="str">
        <f>'RP- Profit &amp; Loss 2016'!B20</f>
        <v>Total Rent - Special Areas</v>
      </c>
      <c r="C13" s="830" t="str">
        <f>+B146</f>
        <v xml:space="preserve">  Rent - Basement / Storage</v>
      </c>
      <c r="D13" s="826">
        <f>'RP- Profit &amp; Loss 2016'!D20</f>
        <v>3129.46</v>
      </c>
      <c r="E13" s="828">
        <f t="shared" si="6"/>
        <v>4042.2191666666672</v>
      </c>
      <c r="F13" s="828">
        <f>'RP- Profit &amp; Loss 2016'!E20</f>
        <v>4350</v>
      </c>
      <c r="G13" s="828">
        <f>'RP- Profit &amp; Loss 2016'!F20</f>
        <v>4350</v>
      </c>
      <c r="H13" s="828">
        <f>'RP- Profit &amp; Loss 2016'!G20</f>
        <v>4350</v>
      </c>
      <c r="I13" s="828">
        <f>'RP- Profit &amp; Loss 2016'!H20</f>
        <v>4350</v>
      </c>
      <c r="J13" s="828">
        <f>'RP- Profit &amp; Loss 2016'!I20</f>
        <v>4350</v>
      </c>
      <c r="K13" s="828">
        <f>'RP- Profit &amp; Loss 2016'!J20</f>
        <v>4350</v>
      </c>
      <c r="L13" s="828">
        <f>'RP- Profit &amp; Loss 2016'!K20</f>
        <v>4350</v>
      </c>
      <c r="M13" s="828">
        <f>'RP- Profit &amp; Loss 2016'!L20</f>
        <v>4350</v>
      </c>
      <c r="N13" s="827">
        <f>'RP- Profit &amp; Loss 2016'!M20</f>
        <v>37929.46</v>
      </c>
      <c r="O13" s="829">
        <f>'RP- Profit &amp; Loss 2017'!C20</f>
        <v>4350</v>
      </c>
      <c r="P13" s="829">
        <f>'RP- Profit &amp; Loss 2017'!D20</f>
        <v>4350</v>
      </c>
      <c r="Q13" s="829">
        <f>'RP- Profit &amp; Loss 2017'!E20</f>
        <v>4350</v>
      </c>
      <c r="R13" s="829">
        <f>'RP- Profit &amp; Loss 2017'!F20</f>
        <v>4350</v>
      </c>
      <c r="S13" s="829">
        <f>'RP- Profit &amp; Loss 2017'!G20</f>
        <v>4350</v>
      </c>
      <c r="T13" s="829">
        <f>'RP- Profit &amp; Loss 2017'!H20</f>
        <v>4350</v>
      </c>
      <c r="U13" s="829">
        <f>'RP- Profit &amp; Loss 2017'!I20</f>
        <v>4350</v>
      </c>
      <c r="V13" s="829">
        <f>'RP- Profit &amp; Loss 2017'!J20</f>
        <v>4350</v>
      </c>
      <c r="W13" s="829">
        <f>'RP- Profit &amp; Loss 2017'!K20</f>
        <v>4350</v>
      </c>
      <c r="X13" s="829">
        <f>'RP- Profit &amp; Loss 2017'!L20</f>
        <v>4350</v>
      </c>
      <c r="Y13" s="829">
        <f>'RP- Profit &amp; Loss 2017'!M20</f>
        <v>4350</v>
      </c>
      <c r="Z13" s="829">
        <f>'RP- Profit &amp; Loss 2017'!N20</f>
        <v>4350</v>
      </c>
      <c r="AA13" s="827">
        <f>'RP- Profit &amp; Loss 2017'!O20</f>
        <v>52200</v>
      </c>
      <c r="AB13" s="829">
        <f>'RP- Profit &amp; Loss 2018'!C20</f>
        <v>4350</v>
      </c>
      <c r="AC13" s="829">
        <f>'RP- Profit &amp; Loss 2018'!D20</f>
        <v>4350</v>
      </c>
      <c r="AD13" s="829">
        <f>'RP- Profit &amp; Loss 2018'!E20</f>
        <v>4350</v>
      </c>
      <c r="AE13" s="829">
        <f>'RP- Profit &amp; Loss 2018'!F20</f>
        <v>4350</v>
      </c>
      <c r="AF13" s="829">
        <f>'RP- Profit &amp; Loss 2018'!G20</f>
        <v>4350</v>
      </c>
      <c r="AG13" s="829">
        <f>'RP- Profit &amp; Loss 2018'!H20</f>
        <v>4350</v>
      </c>
      <c r="AH13" s="829">
        <f>'RP- Profit &amp; Loss 2018'!I20</f>
        <v>4350</v>
      </c>
      <c r="AI13" s="829">
        <f>'RP- Profit &amp; Loss 2018'!J20</f>
        <v>4350</v>
      </c>
      <c r="AJ13" s="829">
        <f>'RP- Profit &amp; Loss 2018'!K20</f>
        <v>4350</v>
      </c>
      <c r="AK13" s="829">
        <f>'RP- Profit &amp; Loss 2018'!L20</f>
        <v>4350</v>
      </c>
      <c r="AL13" s="829">
        <f>'RP- Profit &amp; Loss 2018'!M20</f>
        <v>4350</v>
      </c>
      <c r="AM13" s="829">
        <f>'RP- Profit &amp; Loss 2018'!N20</f>
        <v>4350</v>
      </c>
      <c r="AN13" s="827">
        <f>'RP- Profit &amp; Loss 2018'!O20</f>
        <v>52200</v>
      </c>
      <c r="AP13" s="805"/>
      <c r="AQ13" s="805"/>
      <c r="AR13" s="805"/>
      <c r="AU13" s="805"/>
    </row>
    <row r="14" spans="1:47">
      <c r="A14" s="805" t="str">
        <f>'RP- Profit &amp; Loss 2016'!A23</f>
        <v/>
      </c>
      <c r="B14" s="805" t="str">
        <f>'RP- Profit &amp; Loss 2016'!B23</f>
        <v>Total Parking Income</v>
      </c>
      <c r="C14" s="830" t="str">
        <f>B143</f>
        <v xml:space="preserve">  Rent - Car Park Permanent</v>
      </c>
      <c r="D14" s="826">
        <f>'RP- Profit &amp; Loss 2016'!D23</f>
        <v>8835.75</v>
      </c>
      <c r="E14" s="828">
        <f t="shared" si="6"/>
        <v>11412.84375</v>
      </c>
      <c r="F14" s="828">
        <f>'RP- Profit &amp; Loss 2016'!E23</f>
        <v>11105.07</v>
      </c>
      <c r="G14" s="828">
        <f>'RP- Profit &amp; Loss 2016'!F23</f>
        <v>11105.07</v>
      </c>
      <c r="H14" s="828">
        <f>'RP- Profit &amp; Loss 2016'!G23</f>
        <v>11105.07</v>
      </c>
      <c r="I14" s="828">
        <f>'RP- Profit &amp; Loss 2016'!H23</f>
        <v>11105.07</v>
      </c>
      <c r="J14" s="828">
        <f>'RP- Profit &amp; Loss 2016'!I23</f>
        <v>11105.04</v>
      </c>
      <c r="K14" s="828">
        <f>'RP- Profit &amp; Loss 2016'!J23</f>
        <v>11105.07</v>
      </c>
      <c r="L14" s="828">
        <f>'RP- Profit &amp; Loss 2016'!K23</f>
        <v>11105.07</v>
      </c>
      <c r="M14" s="828">
        <f>'RP- Profit &amp; Loss 2016'!L23</f>
        <v>11105.07</v>
      </c>
      <c r="N14" s="827">
        <f>'RP- Profit &amp; Loss 2016'!M23</f>
        <v>97676.28</v>
      </c>
      <c r="O14" s="829">
        <f>'RP- Profit &amp; Loss 2017'!C23</f>
        <v>11105.07</v>
      </c>
      <c r="P14" s="829">
        <f>'RP- Profit &amp; Loss 2017'!D23</f>
        <v>11105.07</v>
      </c>
      <c r="Q14" s="829">
        <f>'RP- Profit &amp; Loss 2017'!E23</f>
        <v>11105.07</v>
      </c>
      <c r="R14" s="829">
        <f>'RP- Profit &amp; Loss 2017'!F23</f>
        <v>11476.09</v>
      </c>
      <c r="S14" s="829">
        <f>'RP- Profit &amp; Loss 2017'!G23</f>
        <v>11476.09</v>
      </c>
      <c r="T14" s="829">
        <f>'RP- Profit &amp; Loss 2017'!H23</f>
        <v>11476.09</v>
      </c>
      <c r="U14" s="829">
        <f>'RP- Profit &amp; Loss 2017'!I23</f>
        <v>11476.09</v>
      </c>
      <c r="V14" s="829">
        <f>'RP- Profit &amp; Loss 2017'!J23</f>
        <v>11476.09</v>
      </c>
      <c r="W14" s="829">
        <f>'RP- Profit &amp; Loss 2017'!K23</f>
        <v>11476.09</v>
      </c>
      <c r="X14" s="829">
        <f>'RP- Profit &amp; Loss 2017'!L23</f>
        <v>11476.09</v>
      </c>
      <c r="Y14" s="829">
        <f>'RP- Profit &amp; Loss 2017'!M23</f>
        <v>11476.09</v>
      </c>
      <c r="Z14" s="829">
        <f>'RP- Profit &amp; Loss 2017'!N23</f>
        <v>11476.09</v>
      </c>
      <c r="AA14" s="827">
        <f>'RP- Profit &amp; Loss 2017'!O23</f>
        <v>136600.01999999999</v>
      </c>
      <c r="AB14" s="829">
        <f>'RP- Profit &amp; Loss 2018'!C23</f>
        <v>11476.09</v>
      </c>
      <c r="AC14" s="829">
        <f>'RP- Profit &amp; Loss 2018'!D23</f>
        <v>11476.09</v>
      </c>
      <c r="AD14" s="829">
        <f>'RP- Profit &amp; Loss 2018'!E23</f>
        <v>11476.09</v>
      </c>
      <c r="AE14" s="829">
        <f>'RP- Profit &amp; Loss 2018'!F23</f>
        <v>11859.52</v>
      </c>
      <c r="AF14" s="829">
        <f>'RP- Profit &amp; Loss 2018'!G23</f>
        <v>11859.52</v>
      </c>
      <c r="AG14" s="829">
        <f>'RP- Profit &amp; Loss 2018'!H23</f>
        <v>11859.52</v>
      </c>
      <c r="AH14" s="829">
        <f>'RP- Profit &amp; Loss 2018'!I23</f>
        <v>11859.52</v>
      </c>
      <c r="AI14" s="829">
        <f>'RP- Profit &amp; Loss 2018'!J23</f>
        <v>11859.52</v>
      </c>
      <c r="AJ14" s="829">
        <f>'RP- Profit &amp; Loss 2018'!K23</f>
        <v>11859.52</v>
      </c>
      <c r="AK14" s="829">
        <f>'RP- Profit &amp; Loss 2018'!L23</f>
        <v>11859.52</v>
      </c>
      <c r="AL14" s="829">
        <f>'RP- Profit &amp; Loss 2018'!M23</f>
        <v>11859.52</v>
      </c>
      <c r="AM14" s="829">
        <f>'RP- Profit &amp; Loss 2018'!N23</f>
        <v>11859.52</v>
      </c>
      <c r="AN14" s="827">
        <f>'RP- Profit &amp; Loss 2018'!O23</f>
        <v>141163.95000000001</v>
      </c>
      <c r="AP14" s="805"/>
      <c r="AQ14" s="805"/>
      <c r="AR14" s="805"/>
      <c r="AU14" s="805"/>
    </row>
    <row r="15" spans="1:47">
      <c r="A15" s="805" t="str">
        <f>'RP- Profit &amp; Loss 2016'!A27</f>
        <v/>
      </c>
      <c r="B15" s="805" t="str">
        <f>'RP- Profit &amp; Loss 2016'!B27</f>
        <v>Total Monthly Outgoings Income</v>
      </c>
      <c r="C15" s="830" t="str">
        <f>+B152</f>
        <v xml:space="preserve">  Recoveries</v>
      </c>
      <c r="D15" s="826">
        <f>'RP- Profit &amp; Loss 2016'!D27</f>
        <v>3167.99</v>
      </c>
      <c r="E15" s="828">
        <f t="shared" si="6"/>
        <v>4091.9870833333334</v>
      </c>
      <c r="F15" s="828">
        <f>'RP- Profit &amp; Loss 2016'!E27</f>
        <v>4091.99</v>
      </c>
      <c r="G15" s="828">
        <f>'RP- Profit &amp; Loss 2016'!F27</f>
        <v>4910.33</v>
      </c>
      <c r="H15" s="828">
        <f>'RP- Profit &amp; Loss 2016'!G27</f>
        <v>4091.99</v>
      </c>
      <c r="I15" s="828">
        <f>'RP- Profit &amp; Loss 2016'!H27</f>
        <v>3273.65</v>
      </c>
      <c r="J15" s="828">
        <f>'RP- Profit &amp; Loss 2016'!I27</f>
        <v>4091.99</v>
      </c>
      <c r="K15" s="828">
        <f>'RP- Profit &amp; Loss 2016'!J27</f>
        <v>4091.99</v>
      </c>
      <c r="L15" s="828">
        <f>'RP- Profit &amp; Loss 2016'!K27</f>
        <v>4091.99</v>
      </c>
      <c r="M15" s="828">
        <f>'RP- Profit &amp; Loss 2016'!L27</f>
        <v>8038.57</v>
      </c>
      <c r="N15" s="827">
        <f>'RP- Profit &amp; Loss 2016'!M27</f>
        <v>39850.49</v>
      </c>
      <c r="O15" s="829">
        <f>'RP- Profit &amp; Loss 2017'!C27</f>
        <v>5761.99</v>
      </c>
      <c r="P15" s="829">
        <f>'RP- Profit &amp; Loss 2017'!D27</f>
        <v>5762.01</v>
      </c>
      <c r="Q15" s="829">
        <f>'RP- Profit &amp; Loss 2017'!E27</f>
        <v>5513</v>
      </c>
      <c r="R15" s="829">
        <f>'RP- Profit &amp; Loss 2017'!F27</f>
        <v>5679</v>
      </c>
      <c r="S15" s="829">
        <f>'RP- Profit &amp; Loss 2017'!G27</f>
        <v>5679</v>
      </c>
      <c r="T15" s="829">
        <f>'RP- Profit &amp; Loss 2017'!H27</f>
        <v>5678.73</v>
      </c>
      <c r="U15" s="829">
        <f>'RP- Profit &amp; Loss 2017'!I27</f>
        <v>5679</v>
      </c>
      <c r="V15" s="829">
        <f>'RP- Profit &amp; Loss 2017'!J27</f>
        <v>4755.93</v>
      </c>
      <c r="W15" s="829">
        <f>'RP- Profit &amp; Loss 2017'!K27</f>
        <v>5679</v>
      </c>
      <c r="X15" s="829">
        <f>'RP- Profit &amp; Loss 2017'!L27</f>
        <v>5679</v>
      </c>
      <c r="Y15" s="829">
        <f>'RP- Profit &amp; Loss 2017'!M27</f>
        <v>1341</v>
      </c>
      <c r="Z15" s="829">
        <f>'RP- Profit &amp; Loss 2017'!N27</f>
        <v>11897</v>
      </c>
      <c r="AA15" s="827">
        <f>'RP- Profit &amp; Loss 2017'!O27</f>
        <v>69104.66</v>
      </c>
      <c r="AB15" s="829">
        <f>'RP- Profit &amp; Loss 2018'!C27</f>
        <v>6715.55</v>
      </c>
      <c r="AC15" s="829">
        <f>'RP- Profit &amp; Loss 2018'!D27</f>
        <v>6715.55</v>
      </c>
      <c r="AD15" s="829">
        <f>'RP- Profit &amp; Loss 2018'!E27</f>
        <v>6715.55</v>
      </c>
      <c r="AE15" s="829">
        <f>'RP- Profit &amp; Loss 2018'!F27</f>
        <v>7343.55</v>
      </c>
      <c r="AF15" s="829">
        <f>'RP- Profit &amp; Loss 2018'!G27</f>
        <v>6715.39</v>
      </c>
      <c r="AG15" s="829">
        <f>'RP- Profit &amp; Loss 2018'!H27</f>
        <v>-4102.45</v>
      </c>
      <c r="AH15" s="829">
        <f>'RP- Profit &amp; Loss 2018'!I27</f>
        <v>11197.55</v>
      </c>
      <c r="AI15" s="829">
        <f>'RP- Profit &amp; Loss 2018'!J27</f>
        <v>-1358.45</v>
      </c>
      <c r="AJ15" s="829">
        <f>'RP- Profit &amp; Loss 2018'!K27</f>
        <v>5336.55</v>
      </c>
      <c r="AK15" s="829">
        <f>'RP- Profit &amp; Loss 2018'!L27</f>
        <v>5556.81</v>
      </c>
      <c r="AL15" s="829">
        <f>'RP- Profit &amp; Loss 2018'!M27</f>
        <v>5328.55</v>
      </c>
      <c r="AM15" s="829">
        <f>'RP- Profit &amp; Loss 2018'!N27</f>
        <v>4970.55</v>
      </c>
      <c r="AN15" s="827">
        <f>'RP- Profit &amp; Loss 2018'!O27</f>
        <v>61134.7</v>
      </c>
      <c r="AP15" s="805"/>
      <c r="AQ15" s="805"/>
      <c r="AR15" s="805"/>
      <c r="AU15" s="805"/>
    </row>
    <row r="16" spans="1:47">
      <c r="A16" s="805" t="str">
        <f>'RP- Profit &amp; Loss 2016'!A31</f>
        <v/>
      </c>
      <c r="B16" s="805" t="str">
        <f>'RP- Profit &amp; Loss 2016'!B31</f>
        <v>Total Direct recoverable recharges</v>
      </c>
      <c r="C16" s="830" t="str">
        <f>+B152</f>
        <v xml:space="preserve">  Recoveries</v>
      </c>
      <c r="D16" s="826">
        <f>'RP- Profit &amp; Loss 2016'!D31</f>
        <v>0</v>
      </c>
      <c r="E16" s="828">
        <f t="shared" si="6"/>
        <v>0</v>
      </c>
      <c r="F16" s="828">
        <f>'RP- Profit &amp; Loss 2016'!E31</f>
        <v>5323</v>
      </c>
      <c r="G16" s="828">
        <f>'RP- Profit &amp; Loss 2016'!F31</f>
        <v>14628.03</v>
      </c>
      <c r="H16" s="828">
        <f>'RP- Profit &amp; Loss 2016'!G31</f>
        <v>7999.98</v>
      </c>
      <c r="I16" s="828">
        <f>'RP- Profit &amp; Loss 2016'!H31</f>
        <v>-8226.01</v>
      </c>
      <c r="J16" s="828">
        <f>'RP- Profit &amp; Loss 2016'!I31</f>
        <v>0</v>
      </c>
      <c r="K16" s="828">
        <f>'RP- Profit &amp; Loss 2016'!J31</f>
        <v>0</v>
      </c>
      <c r="L16" s="828">
        <f>'RP- Profit &amp; Loss 2016'!K31</f>
        <v>0</v>
      </c>
      <c r="M16" s="828">
        <f>'RP- Profit &amp; Loss 2016'!L31</f>
        <v>0</v>
      </c>
      <c r="N16" s="827">
        <f>'RP- Profit &amp; Loss 2016'!M31</f>
        <v>19725</v>
      </c>
      <c r="O16" s="831"/>
      <c r="P16" s="831"/>
      <c r="Q16" s="831"/>
      <c r="R16" s="831"/>
      <c r="S16" s="831"/>
      <c r="T16" s="831"/>
      <c r="U16" s="831"/>
      <c r="V16" s="831"/>
      <c r="W16" s="831"/>
      <c r="X16" s="831"/>
      <c r="Y16" s="831"/>
      <c r="Z16" s="831"/>
      <c r="AA16" s="833"/>
      <c r="AB16" s="829">
        <f>'RP- Profit &amp; Loss 2018'!C34</f>
        <v>0</v>
      </c>
      <c r="AC16" s="829">
        <f>'RP- Profit &amp; Loss 2018'!D34</f>
        <v>454.54</v>
      </c>
      <c r="AD16" s="829">
        <f>'RP- Profit &amp; Loss 2018'!E34</f>
        <v>45.46</v>
      </c>
      <c r="AE16" s="829">
        <f>'RP- Profit &amp; Loss 2018'!F34</f>
        <v>0</v>
      </c>
      <c r="AF16" s="829">
        <f>'RP- Profit &amp; Loss 2018'!G34</f>
        <v>0.3</v>
      </c>
      <c r="AG16" s="829">
        <f>'RP- Profit &amp; Loss 2018'!H34</f>
        <v>2609.6999999999998</v>
      </c>
      <c r="AH16" s="829">
        <f>'RP- Profit &amp; Loss 2018'!I34</f>
        <v>0</v>
      </c>
      <c r="AI16" s="829">
        <f>'RP- Profit &amp; Loss 2018'!J34</f>
        <v>0</v>
      </c>
      <c r="AJ16" s="829">
        <f>'RP- Profit &amp; Loss 2018'!K34</f>
        <v>0</v>
      </c>
      <c r="AK16" s="829">
        <f>'RP- Profit &amp; Loss 2018'!L34</f>
        <v>0</v>
      </c>
      <c r="AL16" s="829">
        <f>'RP- Profit &amp; Loss 2018'!M34</f>
        <v>0</v>
      </c>
      <c r="AM16" s="829">
        <f>'RP- Profit &amp; Loss 2018'!N34</f>
        <v>2288.85</v>
      </c>
      <c r="AN16" s="827">
        <f>'RP- Profit &amp; Loss 2018'!O34</f>
        <v>5398.85</v>
      </c>
      <c r="AP16" s="805"/>
      <c r="AQ16" s="805"/>
      <c r="AR16" s="805"/>
      <c r="AU16" s="805"/>
    </row>
    <row r="17" spans="1:47">
      <c r="A17" s="805"/>
      <c r="B17" s="834" t="s">
        <v>672</v>
      </c>
      <c r="C17" s="830"/>
      <c r="D17" s="820">
        <f>SUM(D18:D38)</f>
        <v>52563.199999999997</v>
      </c>
      <c r="E17" s="821">
        <f t="shared" si="6"/>
        <v>67894.133333333331</v>
      </c>
      <c r="F17" s="821">
        <f t="shared" ref="F17:AN17" si="8">SUM(F18:F38)</f>
        <v>82745.940000000017</v>
      </c>
      <c r="G17" s="821">
        <f t="shared" si="8"/>
        <v>78018.570000000007</v>
      </c>
      <c r="H17" s="821">
        <f t="shared" si="8"/>
        <v>57128.85</v>
      </c>
      <c r="I17" s="821">
        <f t="shared" si="8"/>
        <v>88545.439999999988</v>
      </c>
      <c r="J17" s="821">
        <f t="shared" si="8"/>
        <v>55858.349999999991</v>
      </c>
      <c r="K17" s="821">
        <f t="shared" si="8"/>
        <v>68887.42</v>
      </c>
      <c r="L17" s="821">
        <f t="shared" si="8"/>
        <v>69493.06</v>
      </c>
      <c r="M17" s="821">
        <f t="shared" si="8"/>
        <v>69751.98</v>
      </c>
      <c r="N17" s="822">
        <f t="shared" si="8"/>
        <v>622992.81000000006</v>
      </c>
      <c r="O17" s="823">
        <f t="shared" si="8"/>
        <v>69418.64</v>
      </c>
      <c r="P17" s="823">
        <f t="shared" si="8"/>
        <v>67992.55</v>
      </c>
      <c r="Q17" s="823">
        <f t="shared" si="8"/>
        <v>68440.33</v>
      </c>
      <c r="R17" s="823">
        <f t="shared" si="8"/>
        <v>67112.179999999993</v>
      </c>
      <c r="S17" s="823">
        <f t="shared" si="8"/>
        <v>68225.299999999988</v>
      </c>
      <c r="T17" s="823">
        <f t="shared" si="8"/>
        <v>68468.3</v>
      </c>
      <c r="U17" s="823">
        <f t="shared" si="8"/>
        <v>68533.37</v>
      </c>
      <c r="V17" s="823">
        <f t="shared" si="8"/>
        <v>62694.789999999994</v>
      </c>
      <c r="W17" s="823">
        <f t="shared" si="8"/>
        <v>65719.11</v>
      </c>
      <c r="X17" s="823">
        <f t="shared" si="8"/>
        <v>70356.53</v>
      </c>
      <c r="Y17" s="823">
        <f t="shared" si="8"/>
        <v>68948.319999999992</v>
      </c>
      <c r="Z17" s="823">
        <f t="shared" si="8"/>
        <v>72165.56</v>
      </c>
      <c r="AA17" s="822">
        <f t="shared" si="8"/>
        <v>818074.9800000001</v>
      </c>
      <c r="AB17" s="823">
        <f t="shared" si="8"/>
        <v>70220.33</v>
      </c>
      <c r="AC17" s="823">
        <f t="shared" si="8"/>
        <v>69333.58</v>
      </c>
      <c r="AD17" s="823">
        <f t="shared" si="8"/>
        <v>66874.319999999992</v>
      </c>
      <c r="AE17" s="823">
        <f t="shared" si="8"/>
        <v>70474.640000000014</v>
      </c>
      <c r="AF17" s="823">
        <f t="shared" si="8"/>
        <v>72455.13</v>
      </c>
      <c r="AG17" s="823">
        <f t="shared" si="8"/>
        <v>64437.850000000006</v>
      </c>
      <c r="AH17" s="823">
        <f t="shared" si="8"/>
        <v>67642.439999999988</v>
      </c>
      <c r="AI17" s="823">
        <f t="shared" si="8"/>
        <v>86043.3</v>
      </c>
      <c r="AJ17" s="823">
        <f t="shared" si="8"/>
        <v>69676.700000000012</v>
      </c>
      <c r="AK17" s="823">
        <f t="shared" si="8"/>
        <v>71098.080000000002</v>
      </c>
      <c r="AL17" s="823">
        <f t="shared" si="8"/>
        <v>68689.829999999987</v>
      </c>
      <c r="AM17" s="823">
        <f t="shared" si="8"/>
        <v>71859.800000000017</v>
      </c>
      <c r="AN17" s="822">
        <f t="shared" si="8"/>
        <v>848806</v>
      </c>
      <c r="AP17" s="805"/>
      <c r="AQ17" s="805"/>
      <c r="AR17" s="805"/>
      <c r="AU17" s="805"/>
    </row>
    <row r="18" spans="1:47">
      <c r="A18" s="805" t="str">
        <f>'RP- Profit &amp; Loss 2016'!A36</f>
        <v>6-1154</v>
      </c>
      <c r="B18" s="805" t="str">
        <f>'RP- Profit &amp; Loss 2016'!B36</f>
        <v>DRR - Air-R&amp;M</v>
      </c>
      <c r="C18" s="830" t="str">
        <f>C31</f>
        <v xml:space="preserve">  R&amp;M Honeywell Contract</v>
      </c>
      <c r="D18" s="826">
        <f>'RP- Profit &amp; Loss 2016'!D36</f>
        <v>0</v>
      </c>
      <c r="E18" s="828">
        <f t="shared" si="6"/>
        <v>0</v>
      </c>
      <c r="F18" s="828">
        <f>'RP- Profit &amp; Loss 2016'!E36</f>
        <v>5323</v>
      </c>
      <c r="G18" s="828">
        <f>'RP- Profit &amp; Loss 2016'!F36</f>
        <v>14628.03</v>
      </c>
      <c r="H18" s="828">
        <f>'RP- Profit &amp; Loss 2016'!G36</f>
        <v>-19951.03</v>
      </c>
      <c r="I18" s="828">
        <f>'RP- Profit &amp; Loss 2016'!H36</f>
        <v>19725</v>
      </c>
      <c r="J18" s="828">
        <f>'RP- Profit &amp; Loss 2016'!I36</f>
        <v>0</v>
      </c>
      <c r="K18" s="828">
        <f>'RP- Profit &amp; Loss 2016'!J36</f>
        <v>0</v>
      </c>
      <c r="L18" s="828">
        <f>'RP- Profit &amp; Loss 2016'!K36</f>
        <v>0</v>
      </c>
      <c r="M18" s="828">
        <f>'RP- Profit &amp; Loss 2016'!L36</f>
        <v>0</v>
      </c>
      <c r="N18" s="827">
        <f>'RP- Profit &amp; Loss 2016'!M36</f>
        <v>19725</v>
      </c>
      <c r="O18" s="829">
        <f>IFERROR(VLOOKUP($A18,'RP- Profit &amp; Loss 2017'!$A:$O,O$1,FALSE),)</f>
        <v>0</v>
      </c>
      <c r="P18" s="829">
        <f>IFERROR(VLOOKUP($A18,'RP- Profit &amp; Loss 2017'!$A:$O,P$1,FALSE),)</f>
        <v>0</v>
      </c>
      <c r="Q18" s="829">
        <f>IFERROR(VLOOKUP($A18,'RP- Profit &amp; Loss 2017'!$A:$O,Q$1,FALSE),)</f>
        <v>0</v>
      </c>
      <c r="R18" s="829">
        <f>IFERROR(VLOOKUP($A18,'RP- Profit &amp; Loss 2017'!$A:$O,R$1,FALSE),)</f>
        <v>0</v>
      </c>
      <c r="S18" s="829">
        <f>IFERROR(VLOOKUP($A18,'RP- Profit &amp; Loss 2017'!$A:$O,S$1,FALSE),)</f>
        <v>0</v>
      </c>
      <c r="T18" s="829">
        <f>IFERROR(VLOOKUP($A18,'RP- Profit &amp; Loss 2017'!$A:$O,T$1,FALSE),)</f>
        <v>0</v>
      </c>
      <c r="U18" s="829">
        <f>IFERROR(VLOOKUP($A18,'RP- Profit &amp; Loss 2017'!$A:$O,U$1,FALSE),)</f>
        <v>0</v>
      </c>
      <c r="V18" s="829">
        <f>IFERROR(VLOOKUP($A18,'RP- Profit &amp; Loss 2017'!$A:$O,V$1,FALSE),)</f>
        <v>0</v>
      </c>
      <c r="W18" s="829">
        <f>IFERROR(VLOOKUP($A18,'RP- Profit &amp; Loss 2017'!$A:$O,W$1,FALSE),)</f>
        <v>0</v>
      </c>
      <c r="X18" s="829">
        <f>IFERROR(VLOOKUP($A18,'RP- Profit &amp; Loss 2017'!$A:$O,X$1,FALSE),)</f>
        <v>0</v>
      </c>
      <c r="Y18" s="829">
        <f>IFERROR(VLOOKUP($A18,'RP- Profit &amp; Loss 2017'!$A:$O,Y$1,FALSE),)</f>
        <v>0</v>
      </c>
      <c r="Z18" s="829">
        <f>IFERROR(VLOOKUP($A18,'RP- Profit &amp; Loss 2017'!$A:$O,Z$1,FALSE),)</f>
        <v>0</v>
      </c>
      <c r="AA18" s="827">
        <f>IFERROR(VLOOKUP($A18,'RP- Profit &amp; Loss 2017'!$A:$O,AA$1,FALSE),)</f>
        <v>0</v>
      </c>
      <c r="AB18" s="831"/>
      <c r="AC18" s="831"/>
      <c r="AD18" s="831"/>
      <c r="AE18" s="831"/>
      <c r="AF18" s="831"/>
      <c r="AG18" s="831"/>
      <c r="AH18" s="831"/>
      <c r="AI18" s="831"/>
      <c r="AJ18" s="831"/>
      <c r="AK18" s="831"/>
      <c r="AL18" s="831"/>
      <c r="AM18" s="831"/>
      <c r="AN18" s="833"/>
      <c r="AP18" s="805"/>
      <c r="AQ18" s="805"/>
      <c r="AR18" s="805"/>
      <c r="AU18" s="805"/>
    </row>
    <row r="19" spans="1:47">
      <c r="A19" s="805" t="str">
        <f>'RP- Profit &amp; Loss 2018'!A39</f>
        <v>6-1170</v>
      </c>
      <c r="B19" s="805" t="str">
        <f>'RP- Profit &amp; Loss 2018'!B39</f>
        <v>DRR - Cle-Exhaust Fans</v>
      </c>
      <c r="C19" s="830" t="s">
        <v>673</v>
      </c>
      <c r="D19" s="826">
        <v>0</v>
      </c>
      <c r="E19" s="828">
        <f t="shared" si="6"/>
        <v>0</v>
      </c>
      <c r="F19" s="828">
        <v>0</v>
      </c>
      <c r="G19" s="828">
        <v>0</v>
      </c>
      <c r="H19" s="828">
        <v>0</v>
      </c>
      <c r="I19" s="828">
        <v>0</v>
      </c>
      <c r="J19" s="828">
        <v>0</v>
      </c>
      <c r="K19" s="828">
        <v>0</v>
      </c>
      <c r="L19" s="828">
        <v>0</v>
      </c>
      <c r="M19" s="828">
        <v>0</v>
      </c>
      <c r="N19" s="827">
        <v>0</v>
      </c>
      <c r="O19" s="829">
        <f>IFERROR(VLOOKUP($A19,'RP- Profit &amp; Loss 2017'!$A:$O,O$1,FALSE),)</f>
        <v>0</v>
      </c>
      <c r="P19" s="829">
        <f>IFERROR(VLOOKUP($A19,'RP- Profit &amp; Loss 2017'!$A:$O,P$1,FALSE),)</f>
        <v>0</v>
      </c>
      <c r="Q19" s="829">
        <f>IFERROR(VLOOKUP($A19,'RP- Profit &amp; Loss 2017'!$A:$O,Q$1,FALSE),)</f>
        <v>0</v>
      </c>
      <c r="R19" s="829">
        <f>IFERROR(VLOOKUP($A19,'RP- Profit &amp; Loss 2017'!$A:$O,R$1,FALSE),)</f>
        <v>0</v>
      </c>
      <c r="S19" s="829">
        <f>IFERROR(VLOOKUP($A19,'RP- Profit &amp; Loss 2017'!$A:$O,S$1,FALSE),)</f>
        <v>0</v>
      </c>
      <c r="T19" s="829">
        <f>IFERROR(VLOOKUP($A19,'RP- Profit &amp; Loss 2017'!$A:$O,T$1,FALSE),)</f>
        <v>0</v>
      </c>
      <c r="U19" s="829">
        <f>IFERROR(VLOOKUP($A19,'RP- Profit &amp; Loss 2017'!$A:$O,U$1,FALSE),)</f>
        <v>0</v>
      </c>
      <c r="V19" s="829">
        <f>IFERROR(VLOOKUP($A19,'RP- Profit &amp; Loss 2017'!$A:$O,V$1,FALSE),)</f>
        <v>0</v>
      </c>
      <c r="W19" s="829">
        <f>IFERROR(VLOOKUP($A19,'RP- Profit &amp; Loss 2017'!$A:$O,W$1,FALSE),)</f>
        <v>0</v>
      </c>
      <c r="X19" s="829">
        <f>IFERROR(VLOOKUP($A19,'RP- Profit &amp; Loss 2017'!$A:$O,X$1,FALSE),)</f>
        <v>0</v>
      </c>
      <c r="Y19" s="829">
        <f>IFERROR(VLOOKUP($A19,'RP- Profit &amp; Loss 2017'!$A:$O,Y$1,FALSE),)</f>
        <v>0</v>
      </c>
      <c r="Z19" s="829">
        <f>IFERROR(VLOOKUP($A19,'RP- Profit &amp; Loss 2017'!$A:$O,Z$1,FALSE),)</f>
        <v>0</v>
      </c>
      <c r="AA19" s="827">
        <f>IFERROR(VLOOKUP($A19,'RP- Profit &amp; Loss 2017'!$A:$O,AA$1,FALSE),)</f>
        <v>0</v>
      </c>
      <c r="AB19" s="829">
        <f>'RP- Profit &amp; Loss 2018'!C39</f>
        <v>0</v>
      </c>
      <c r="AC19" s="829">
        <f>'RP- Profit &amp; Loss 2018'!D39</f>
        <v>454.54</v>
      </c>
      <c r="AD19" s="829">
        <f>'RP- Profit &amp; Loss 2018'!E39</f>
        <v>45.46</v>
      </c>
      <c r="AE19" s="829">
        <f>'RP- Profit &amp; Loss 2018'!F39</f>
        <v>0</v>
      </c>
      <c r="AF19" s="829">
        <f>'RP- Profit &amp; Loss 2018'!G39</f>
        <v>0</v>
      </c>
      <c r="AG19" s="829">
        <f>'RP- Profit &amp; Loss 2018'!H39</f>
        <v>0</v>
      </c>
      <c r="AH19" s="829">
        <f>'RP- Profit &amp; Loss 2018'!I39</f>
        <v>0</v>
      </c>
      <c r="AI19" s="829">
        <f>'RP- Profit &amp; Loss 2018'!J39</f>
        <v>0</v>
      </c>
      <c r="AJ19" s="829">
        <f>'RP- Profit &amp; Loss 2018'!K39</f>
        <v>0</v>
      </c>
      <c r="AK19" s="829">
        <f>'RP- Profit &amp; Loss 2018'!L39</f>
        <v>0</v>
      </c>
      <c r="AL19" s="829">
        <f>'RP- Profit &amp; Loss 2018'!M39</f>
        <v>0</v>
      </c>
      <c r="AM19" s="829">
        <f>'RP- Profit &amp; Loss 2018'!N39</f>
        <v>0</v>
      </c>
      <c r="AN19" s="827">
        <f>'RP- Profit &amp; Loss 2018'!O39</f>
        <v>500</v>
      </c>
      <c r="AP19" s="805"/>
      <c r="AQ19" s="805"/>
      <c r="AR19" s="805"/>
      <c r="AU19" s="805"/>
    </row>
    <row r="20" spans="1:47">
      <c r="A20" s="805" t="str">
        <f>'RP- Profit &amp; Loss 2018'!A40</f>
        <v>6-1500</v>
      </c>
      <c r="B20" s="805" t="str">
        <f>'RP- Profit &amp; Loss 2018'!B40</f>
        <v>DRR - CHILD MINDING</v>
      </c>
      <c r="C20" s="830" t="s">
        <v>673</v>
      </c>
      <c r="D20" s="826">
        <v>0</v>
      </c>
      <c r="E20" s="828">
        <f t="shared" si="6"/>
        <v>0</v>
      </c>
      <c r="F20" s="828">
        <v>0</v>
      </c>
      <c r="G20" s="828">
        <v>0</v>
      </c>
      <c r="H20" s="828">
        <v>0</v>
      </c>
      <c r="I20" s="828">
        <v>0</v>
      </c>
      <c r="J20" s="828">
        <v>0</v>
      </c>
      <c r="K20" s="828">
        <v>0</v>
      </c>
      <c r="L20" s="828">
        <v>0</v>
      </c>
      <c r="M20" s="828">
        <v>0</v>
      </c>
      <c r="N20" s="827">
        <v>0</v>
      </c>
      <c r="O20" s="829">
        <f>IFERROR(VLOOKUP($A20,'RP- Profit &amp; Loss 2017'!$A:$O,O$1,FALSE),)</f>
        <v>0</v>
      </c>
      <c r="P20" s="829">
        <f>IFERROR(VLOOKUP($A20,'RP- Profit &amp; Loss 2017'!$A:$O,P$1,FALSE),)</f>
        <v>0</v>
      </c>
      <c r="Q20" s="829">
        <f>IFERROR(VLOOKUP($A20,'RP- Profit &amp; Loss 2017'!$A:$O,Q$1,FALSE),)</f>
        <v>0</v>
      </c>
      <c r="R20" s="829">
        <f>IFERROR(VLOOKUP($A20,'RP- Profit &amp; Loss 2017'!$A:$O,R$1,FALSE),)</f>
        <v>0</v>
      </c>
      <c r="S20" s="829">
        <f>IFERROR(VLOOKUP($A20,'RP- Profit &amp; Loss 2017'!$A:$O,S$1,FALSE),)</f>
        <v>0</v>
      </c>
      <c r="T20" s="829">
        <f>IFERROR(VLOOKUP($A20,'RP- Profit &amp; Loss 2017'!$A:$O,T$1,FALSE),)</f>
        <v>0</v>
      </c>
      <c r="U20" s="829">
        <f>IFERROR(VLOOKUP($A20,'RP- Profit &amp; Loss 2017'!$A:$O,U$1,FALSE),)</f>
        <v>0</v>
      </c>
      <c r="V20" s="829">
        <f>IFERROR(VLOOKUP($A20,'RP- Profit &amp; Loss 2017'!$A:$O,V$1,FALSE),)</f>
        <v>0</v>
      </c>
      <c r="W20" s="829">
        <f>IFERROR(VLOOKUP($A20,'RP- Profit &amp; Loss 2017'!$A:$O,W$1,FALSE),)</f>
        <v>0</v>
      </c>
      <c r="X20" s="829">
        <f>IFERROR(VLOOKUP($A20,'RP- Profit &amp; Loss 2017'!$A:$O,X$1,FALSE),)</f>
        <v>0</v>
      </c>
      <c r="Y20" s="829">
        <f>IFERROR(VLOOKUP($A20,'RP- Profit &amp; Loss 2017'!$A:$O,Y$1,FALSE),)</f>
        <v>0</v>
      </c>
      <c r="Z20" s="829">
        <f>IFERROR(VLOOKUP($A20,'RP- Profit &amp; Loss 2017'!$A:$O,Z$1,FALSE),)</f>
        <v>0</v>
      </c>
      <c r="AA20" s="827">
        <f>IFERROR(VLOOKUP($A20,'RP- Profit &amp; Loss 2017'!$A:$O,AA$1,FALSE),)</f>
        <v>0</v>
      </c>
      <c r="AB20" s="829">
        <f>'RP- Profit &amp; Loss 2018'!C40</f>
        <v>0</v>
      </c>
      <c r="AC20" s="829">
        <f>'RP- Profit &amp; Loss 2018'!D40</f>
        <v>0</v>
      </c>
      <c r="AD20" s="829">
        <f>'RP- Profit &amp; Loss 2018'!E40</f>
        <v>0</v>
      </c>
      <c r="AE20" s="829">
        <f>'RP- Profit &amp; Loss 2018'!F40</f>
        <v>0</v>
      </c>
      <c r="AF20" s="829">
        <f>'RP- Profit &amp; Loss 2018'!G40</f>
        <v>0</v>
      </c>
      <c r="AG20" s="829">
        <f>'RP- Profit &amp; Loss 2018'!H40</f>
        <v>0</v>
      </c>
      <c r="AH20" s="829">
        <f>'RP- Profit &amp; Loss 2018'!I40</f>
        <v>0</v>
      </c>
      <c r="AI20" s="829">
        <f>'RP- Profit &amp; Loss 2018'!J40</f>
        <v>0</v>
      </c>
      <c r="AJ20" s="829">
        <f>'RP- Profit &amp; Loss 2018'!K40</f>
        <v>0</v>
      </c>
      <c r="AK20" s="829">
        <f>'RP- Profit &amp; Loss 2018'!L40</f>
        <v>0</v>
      </c>
      <c r="AL20" s="829">
        <f>'RP- Profit &amp; Loss 2018'!M40</f>
        <v>0</v>
      </c>
      <c r="AM20" s="829">
        <f>'RP- Profit &amp; Loss 2018'!N40</f>
        <v>0</v>
      </c>
      <c r="AN20" s="827">
        <f>'RP- Profit &amp; Loss 2018'!O40</f>
        <v>0</v>
      </c>
      <c r="AP20" s="805"/>
      <c r="AQ20" s="805"/>
      <c r="AR20" s="805"/>
      <c r="AU20" s="805"/>
    </row>
    <row r="21" spans="1:47">
      <c r="A21" s="805" t="str">
        <f>'RP- Profit &amp; Loss 2018'!A41</f>
        <v>6-1520</v>
      </c>
      <c r="B21" s="805" t="str">
        <f>'RP- Profit &amp; Loss 2018'!B41</f>
        <v>DRR - MISCELLANEOUS EXPEN</v>
      </c>
      <c r="C21" s="830" t="s">
        <v>673</v>
      </c>
      <c r="D21" s="826">
        <v>0</v>
      </c>
      <c r="E21" s="828">
        <f t="shared" si="6"/>
        <v>0</v>
      </c>
      <c r="F21" s="828">
        <v>0</v>
      </c>
      <c r="G21" s="828">
        <v>0</v>
      </c>
      <c r="H21" s="828">
        <v>0</v>
      </c>
      <c r="I21" s="828">
        <v>0</v>
      </c>
      <c r="J21" s="828">
        <v>0</v>
      </c>
      <c r="K21" s="828">
        <v>0</v>
      </c>
      <c r="L21" s="828">
        <v>0</v>
      </c>
      <c r="M21" s="828">
        <v>0</v>
      </c>
      <c r="N21" s="827">
        <v>0</v>
      </c>
      <c r="O21" s="829">
        <f>IFERROR(VLOOKUP($A21,'RP- Profit &amp; Loss 2017'!$A:$O,O$1,FALSE),)</f>
        <v>0</v>
      </c>
      <c r="P21" s="829">
        <f>IFERROR(VLOOKUP($A21,'RP- Profit &amp; Loss 2017'!$A:$O,P$1,FALSE),)</f>
        <v>0</v>
      </c>
      <c r="Q21" s="829">
        <f>IFERROR(VLOOKUP($A21,'RP- Profit &amp; Loss 2017'!$A:$O,Q$1,FALSE),)</f>
        <v>0</v>
      </c>
      <c r="R21" s="829">
        <f>IFERROR(VLOOKUP($A21,'RP- Profit &amp; Loss 2017'!$A:$O,R$1,FALSE),)</f>
        <v>0</v>
      </c>
      <c r="S21" s="829">
        <f>IFERROR(VLOOKUP($A21,'RP- Profit &amp; Loss 2017'!$A:$O,S$1,FALSE),)</f>
        <v>0</v>
      </c>
      <c r="T21" s="829">
        <f>IFERROR(VLOOKUP($A21,'RP- Profit &amp; Loss 2017'!$A:$O,T$1,FALSE),)</f>
        <v>0</v>
      </c>
      <c r="U21" s="829">
        <f>IFERROR(VLOOKUP($A21,'RP- Profit &amp; Loss 2017'!$A:$O,U$1,FALSE),)</f>
        <v>0</v>
      </c>
      <c r="V21" s="829">
        <f>IFERROR(VLOOKUP($A21,'RP- Profit &amp; Loss 2017'!$A:$O,V$1,FALSE),)</f>
        <v>0</v>
      </c>
      <c r="W21" s="829">
        <f>IFERROR(VLOOKUP($A21,'RP- Profit &amp; Loss 2017'!$A:$O,W$1,FALSE),)</f>
        <v>0</v>
      </c>
      <c r="X21" s="829">
        <f>IFERROR(VLOOKUP($A21,'RP- Profit &amp; Loss 2017'!$A:$O,X$1,FALSE),)</f>
        <v>0</v>
      </c>
      <c r="Y21" s="829">
        <f>IFERROR(VLOOKUP($A21,'RP- Profit &amp; Loss 2017'!$A:$O,Y$1,FALSE),)</f>
        <v>0</v>
      </c>
      <c r="Z21" s="829">
        <f>IFERROR(VLOOKUP($A21,'RP- Profit &amp; Loss 2017'!$A:$O,Z$1,FALSE),)</f>
        <v>0</v>
      </c>
      <c r="AA21" s="827">
        <f>IFERROR(VLOOKUP($A21,'RP- Profit &amp; Loss 2017'!$A:$O,AA$1,FALSE),)</f>
        <v>0</v>
      </c>
      <c r="AB21" s="829">
        <f>'RP- Profit &amp; Loss 2018'!C41</f>
        <v>0</v>
      </c>
      <c r="AC21" s="829">
        <f>'RP- Profit &amp; Loss 2018'!D41</f>
        <v>0</v>
      </c>
      <c r="AD21" s="829">
        <f>'RP- Profit &amp; Loss 2018'!E41</f>
        <v>0</v>
      </c>
      <c r="AE21" s="829">
        <f>'RP- Profit &amp; Loss 2018'!F41</f>
        <v>0</v>
      </c>
      <c r="AF21" s="829">
        <f>'RP- Profit &amp; Loss 2018'!G41</f>
        <v>0</v>
      </c>
      <c r="AG21" s="829">
        <f>'RP- Profit &amp; Loss 2018'!H41</f>
        <v>0</v>
      </c>
      <c r="AH21" s="829">
        <f>'RP- Profit &amp; Loss 2018'!I41</f>
        <v>0</v>
      </c>
      <c r="AI21" s="829">
        <f>'RP- Profit &amp; Loss 2018'!J41</f>
        <v>0</v>
      </c>
      <c r="AJ21" s="829">
        <f>'RP- Profit &amp; Loss 2018'!K41</f>
        <v>0</v>
      </c>
      <c r="AK21" s="829">
        <f>'RP- Profit &amp; Loss 2018'!L41</f>
        <v>0</v>
      </c>
      <c r="AL21" s="829">
        <f>'RP- Profit &amp; Loss 2018'!M41</f>
        <v>0</v>
      </c>
      <c r="AM21" s="829">
        <f>'RP- Profit &amp; Loss 2018'!N41</f>
        <v>0</v>
      </c>
      <c r="AN21" s="827">
        <f>'RP- Profit &amp; Loss 2018'!O41</f>
        <v>0</v>
      </c>
      <c r="AP21" s="805"/>
      <c r="AQ21" s="805"/>
      <c r="AR21" s="805"/>
      <c r="AU21" s="805"/>
    </row>
    <row r="22" spans="1:47">
      <c r="A22" s="805" t="str">
        <f>'RP- Profit &amp; Loss 2018'!A42</f>
        <v>6-1529</v>
      </c>
      <c r="B22" s="805" t="str">
        <f>'RP- Profit &amp; Loss 2018'!B42</f>
        <v>DRR - Misc-Consultant Fees</v>
      </c>
      <c r="C22" s="830" t="s">
        <v>673</v>
      </c>
      <c r="D22" s="826">
        <v>0</v>
      </c>
      <c r="E22" s="828">
        <f t="shared" si="6"/>
        <v>0</v>
      </c>
      <c r="F22" s="828">
        <v>0</v>
      </c>
      <c r="G22" s="828">
        <v>0</v>
      </c>
      <c r="H22" s="828">
        <v>0</v>
      </c>
      <c r="I22" s="828">
        <v>0</v>
      </c>
      <c r="J22" s="828">
        <v>0</v>
      </c>
      <c r="K22" s="828">
        <v>0</v>
      </c>
      <c r="L22" s="828">
        <v>0</v>
      </c>
      <c r="M22" s="828">
        <v>0</v>
      </c>
      <c r="N22" s="827">
        <v>0</v>
      </c>
      <c r="O22" s="829">
        <f>IFERROR(VLOOKUP($A22,'RP- Profit &amp; Loss 2017'!$A:$O,O$1,FALSE),)</f>
        <v>0</v>
      </c>
      <c r="P22" s="829">
        <f>IFERROR(VLOOKUP($A22,'RP- Profit &amp; Loss 2017'!$A:$O,P$1,FALSE),)</f>
        <v>0</v>
      </c>
      <c r="Q22" s="829">
        <f>IFERROR(VLOOKUP($A22,'RP- Profit &amp; Loss 2017'!$A:$O,Q$1,FALSE),)</f>
        <v>0</v>
      </c>
      <c r="R22" s="829">
        <f>IFERROR(VLOOKUP($A22,'RP- Profit &amp; Loss 2017'!$A:$O,R$1,FALSE),)</f>
        <v>0</v>
      </c>
      <c r="S22" s="829">
        <f>IFERROR(VLOOKUP($A22,'RP- Profit &amp; Loss 2017'!$A:$O,S$1,FALSE),)</f>
        <v>0</v>
      </c>
      <c r="T22" s="829">
        <f>IFERROR(VLOOKUP($A22,'RP- Profit &amp; Loss 2017'!$A:$O,T$1,FALSE),)</f>
        <v>0</v>
      </c>
      <c r="U22" s="829">
        <f>IFERROR(VLOOKUP($A22,'RP- Profit &amp; Loss 2017'!$A:$O,U$1,FALSE),)</f>
        <v>0</v>
      </c>
      <c r="V22" s="829">
        <f>IFERROR(VLOOKUP($A22,'RP- Profit &amp; Loss 2017'!$A:$O,V$1,FALSE),)</f>
        <v>0</v>
      </c>
      <c r="W22" s="829">
        <f>IFERROR(VLOOKUP($A22,'RP- Profit &amp; Loss 2017'!$A:$O,W$1,FALSE),)</f>
        <v>0</v>
      </c>
      <c r="X22" s="829">
        <f>IFERROR(VLOOKUP($A22,'RP- Profit &amp; Loss 2017'!$A:$O,X$1,FALSE),)</f>
        <v>0</v>
      </c>
      <c r="Y22" s="829">
        <f>IFERROR(VLOOKUP($A22,'RP- Profit &amp; Loss 2017'!$A:$O,Y$1,FALSE),)</f>
        <v>0</v>
      </c>
      <c r="Z22" s="829">
        <f>IFERROR(VLOOKUP($A22,'RP- Profit &amp; Loss 2017'!$A:$O,Z$1,FALSE),)</f>
        <v>0</v>
      </c>
      <c r="AA22" s="827">
        <f>IFERROR(VLOOKUP($A22,'RP- Profit &amp; Loss 2017'!$A:$O,AA$1,FALSE),)</f>
        <v>0</v>
      </c>
      <c r="AB22" s="829">
        <f>'RP- Profit &amp; Loss 2018'!C42</f>
        <v>0</v>
      </c>
      <c r="AC22" s="829">
        <f>'RP- Profit &amp; Loss 2018'!D42</f>
        <v>0</v>
      </c>
      <c r="AD22" s="829">
        <f>'RP- Profit &amp; Loss 2018'!E42</f>
        <v>0</v>
      </c>
      <c r="AE22" s="829">
        <f>'RP- Profit &amp; Loss 2018'!F42</f>
        <v>0</v>
      </c>
      <c r="AF22" s="829">
        <f>'RP- Profit &amp; Loss 2018'!G42</f>
        <v>2109.6999999999998</v>
      </c>
      <c r="AG22" s="829">
        <f>'RP- Profit &amp; Loss 2018'!H42</f>
        <v>0</v>
      </c>
      <c r="AH22" s="829">
        <f>'RP- Profit &amp; Loss 2018'!I42</f>
        <v>0</v>
      </c>
      <c r="AI22" s="829">
        <f>'RP- Profit &amp; Loss 2018'!J42</f>
        <v>0</v>
      </c>
      <c r="AJ22" s="829">
        <f>'RP- Profit &amp; Loss 2018'!K42</f>
        <v>0</v>
      </c>
      <c r="AK22" s="829">
        <f>'RP- Profit &amp; Loss 2018'!L42</f>
        <v>0</v>
      </c>
      <c r="AL22" s="829">
        <f>'RP- Profit &amp; Loss 2018'!M42</f>
        <v>0</v>
      </c>
      <c r="AM22" s="829">
        <f>'RP- Profit &amp; Loss 2018'!N42</f>
        <v>0</v>
      </c>
      <c r="AN22" s="827">
        <f>'RP- Profit &amp; Loss 2018'!O42</f>
        <v>2109.6999999999998</v>
      </c>
      <c r="AP22" s="805"/>
      <c r="AQ22" s="805"/>
      <c r="AR22" s="805"/>
      <c r="AU22" s="805"/>
    </row>
    <row r="23" spans="1:47">
      <c r="A23" s="805" t="str">
        <f>'RP- Profit &amp; Loss 2018'!A43</f>
        <v>6-1536</v>
      </c>
      <c r="B23" s="805" t="str">
        <f>'RP- Profit &amp; Loss 2018'!B43</f>
        <v>DRR - Misc-Legal Fees</v>
      </c>
      <c r="C23" s="830" t="s">
        <v>673</v>
      </c>
      <c r="D23" s="826">
        <v>0</v>
      </c>
      <c r="E23" s="828">
        <f t="shared" si="6"/>
        <v>0</v>
      </c>
      <c r="F23" s="828">
        <v>0</v>
      </c>
      <c r="G23" s="828">
        <v>0</v>
      </c>
      <c r="H23" s="828">
        <v>0</v>
      </c>
      <c r="I23" s="828">
        <v>0</v>
      </c>
      <c r="J23" s="828">
        <v>0</v>
      </c>
      <c r="K23" s="828">
        <v>0</v>
      </c>
      <c r="L23" s="828">
        <v>0</v>
      </c>
      <c r="M23" s="828">
        <v>0</v>
      </c>
      <c r="N23" s="827">
        <v>0</v>
      </c>
      <c r="O23" s="829">
        <f>IFERROR(VLOOKUP($A23,'RP- Profit &amp; Loss 2017'!$A:$O,O$1,FALSE),)</f>
        <v>0</v>
      </c>
      <c r="P23" s="829">
        <f>IFERROR(VLOOKUP($A23,'RP- Profit &amp; Loss 2017'!$A:$O,P$1,FALSE),)</f>
        <v>0</v>
      </c>
      <c r="Q23" s="829">
        <f>IFERROR(VLOOKUP($A23,'RP- Profit &amp; Loss 2017'!$A:$O,Q$1,FALSE),)</f>
        <v>0</v>
      </c>
      <c r="R23" s="829">
        <f>IFERROR(VLOOKUP($A23,'RP- Profit &amp; Loss 2017'!$A:$O,R$1,FALSE),)</f>
        <v>0</v>
      </c>
      <c r="S23" s="829">
        <f>IFERROR(VLOOKUP($A23,'RP- Profit &amp; Loss 2017'!$A:$O,S$1,FALSE),)</f>
        <v>0</v>
      </c>
      <c r="T23" s="829">
        <f>IFERROR(VLOOKUP($A23,'RP- Profit &amp; Loss 2017'!$A:$O,T$1,FALSE),)</f>
        <v>0</v>
      </c>
      <c r="U23" s="829">
        <f>IFERROR(VLOOKUP($A23,'RP- Profit &amp; Loss 2017'!$A:$O,U$1,FALSE),)</f>
        <v>0</v>
      </c>
      <c r="V23" s="829">
        <f>IFERROR(VLOOKUP($A23,'RP- Profit &amp; Loss 2017'!$A:$O,V$1,FALSE),)</f>
        <v>0</v>
      </c>
      <c r="W23" s="829">
        <f>IFERROR(VLOOKUP($A23,'RP- Profit &amp; Loss 2017'!$A:$O,W$1,FALSE),)</f>
        <v>0</v>
      </c>
      <c r="X23" s="829">
        <f>IFERROR(VLOOKUP($A23,'RP- Profit &amp; Loss 2017'!$A:$O,X$1,FALSE),)</f>
        <v>0</v>
      </c>
      <c r="Y23" s="829">
        <f>IFERROR(VLOOKUP($A23,'RP- Profit &amp; Loss 2017'!$A:$O,Y$1,FALSE),)</f>
        <v>0</v>
      </c>
      <c r="Z23" s="829">
        <f>IFERROR(VLOOKUP($A23,'RP- Profit &amp; Loss 2017'!$A:$O,Z$1,FALSE),)</f>
        <v>0</v>
      </c>
      <c r="AA23" s="827">
        <f>IFERROR(VLOOKUP($A23,'RP- Profit &amp; Loss 2017'!$A:$O,AA$1,FALSE),)</f>
        <v>0</v>
      </c>
      <c r="AB23" s="829">
        <f>'RP- Profit &amp; Loss 2018'!C43</f>
        <v>0</v>
      </c>
      <c r="AC23" s="829">
        <f>'RP- Profit &amp; Loss 2018'!D43</f>
        <v>0</v>
      </c>
      <c r="AD23" s="829">
        <f>'RP- Profit &amp; Loss 2018'!E43</f>
        <v>0</v>
      </c>
      <c r="AE23" s="829">
        <f>'RP- Profit &amp; Loss 2018'!F43</f>
        <v>0</v>
      </c>
      <c r="AF23" s="829">
        <f>'RP- Profit &amp; Loss 2018'!G43</f>
        <v>0</v>
      </c>
      <c r="AG23" s="829">
        <f>'RP- Profit &amp; Loss 2018'!H43</f>
        <v>0</v>
      </c>
      <c r="AH23" s="829">
        <f>'RP- Profit &amp; Loss 2018'!I43</f>
        <v>0</v>
      </c>
      <c r="AI23" s="829">
        <f>'RP- Profit &amp; Loss 2018'!J43</f>
        <v>0</v>
      </c>
      <c r="AJ23" s="829">
        <f>'RP- Profit &amp; Loss 2018'!K43</f>
        <v>0</v>
      </c>
      <c r="AK23" s="829">
        <f>'RP- Profit &amp; Loss 2018'!L43</f>
        <v>0</v>
      </c>
      <c r="AL23" s="829">
        <f>'RP- Profit &amp; Loss 2018'!M43</f>
        <v>0</v>
      </c>
      <c r="AM23" s="829">
        <f>'RP- Profit &amp; Loss 2018'!N43</f>
        <v>2788.85</v>
      </c>
      <c r="AN23" s="827">
        <f>'RP- Profit &amp; Loss 2018'!O43</f>
        <v>2788.85</v>
      </c>
      <c r="AP23" s="805"/>
      <c r="AQ23" s="805"/>
      <c r="AR23" s="805"/>
      <c r="AU23" s="805"/>
    </row>
    <row r="24" spans="1:47">
      <c r="A24" s="805" t="str">
        <f>'RP- Profit &amp; Loss 2016'!A39</f>
        <v>6-2101</v>
      </c>
      <c r="B24" s="805" t="str">
        <f>'RP- Profit &amp; Loss 2016'!B39</f>
        <v>REvSC - General/Council Rates</v>
      </c>
      <c r="C24" s="830" t="str">
        <f>B159</f>
        <v xml:space="preserve">    Municipal / Council Rates</v>
      </c>
      <c r="D24" s="826">
        <f>'RP- Profit &amp; Loss 2016'!D39</f>
        <v>3835.92</v>
      </c>
      <c r="E24" s="828">
        <f t="shared" si="6"/>
        <v>4954.7300000000005</v>
      </c>
      <c r="F24" s="828">
        <f>'RP- Profit &amp; Loss 2016'!E39</f>
        <v>4794.8999999999996</v>
      </c>
      <c r="G24" s="828">
        <f>'RP- Profit &amp; Loss 2016'!F39</f>
        <v>4794.8999999999996</v>
      </c>
      <c r="H24" s="828">
        <f>'RP- Profit &amp; Loss 2016'!G39</f>
        <v>4794.8999999999996</v>
      </c>
      <c r="I24" s="828">
        <f>'RP- Profit &amp; Loss 2016'!H39</f>
        <v>4794.8999999999996</v>
      </c>
      <c r="J24" s="828">
        <f>'RP- Profit &amp; Loss 2016'!I39</f>
        <v>4794.8999999999996</v>
      </c>
      <c r="K24" s="828">
        <f>'RP- Profit &amp; Loss 2016'!J39</f>
        <v>5150.95</v>
      </c>
      <c r="L24" s="828">
        <f>'RP- Profit &amp; Loss 2016'!K39</f>
        <v>4793.26</v>
      </c>
      <c r="M24" s="828">
        <f>'RP- Profit &amp; Loss 2016'!L39</f>
        <v>4920</v>
      </c>
      <c r="N24" s="827">
        <f>'RP- Profit &amp; Loss 2016'!M39</f>
        <v>42674.63</v>
      </c>
      <c r="O24" s="829">
        <f>IFERROR(VLOOKUP($A24,'RP- Profit &amp; Loss 2017'!$A:$O,O$1,FALSE),)</f>
        <v>5119</v>
      </c>
      <c r="P24" s="829">
        <f>IFERROR(VLOOKUP($A24,'RP- Profit &amp; Loss 2017'!$A:$O,P$1,FALSE),)</f>
        <v>4956.66</v>
      </c>
      <c r="Q24" s="829">
        <f>IFERROR(VLOOKUP($A24,'RP- Profit &amp; Loss 2017'!$A:$O,Q$1,FALSE),)</f>
        <v>4875.32</v>
      </c>
      <c r="R24" s="829">
        <f>IFERROR(VLOOKUP($A24,'RP- Profit &amp; Loss 2017'!$A:$O,R$1,FALSE),)</f>
        <v>5036.16</v>
      </c>
      <c r="S24" s="829">
        <f>IFERROR(VLOOKUP($A24,'RP- Profit &amp; Loss 2017'!$A:$O,S$1,FALSE),)</f>
        <v>4873.7</v>
      </c>
      <c r="T24" s="829">
        <f>IFERROR(VLOOKUP($A24,'RP- Profit &amp; Loss 2017'!$A:$O,T$1,FALSE),)</f>
        <v>5036.1400000000003</v>
      </c>
      <c r="U24" s="829">
        <f>IFERROR(VLOOKUP($A24,'RP- Profit &amp; Loss 2017'!$A:$O,U$1,FALSE),)</f>
        <v>5148.07</v>
      </c>
      <c r="V24" s="829">
        <f>IFERROR(VLOOKUP($A24,'RP- Profit &amp; Loss 2017'!$A:$O,V$1,FALSE),)</f>
        <v>4649.87</v>
      </c>
      <c r="W24" s="829">
        <f>IFERROR(VLOOKUP($A24,'RP- Profit &amp; Loss 2017'!$A:$O,W$1,FALSE),)</f>
        <v>5148.0600000000004</v>
      </c>
      <c r="X24" s="829">
        <f>IFERROR(VLOOKUP($A24,'RP- Profit &amp; Loss 2017'!$A:$O,X$1,FALSE),)</f>
        <v>4927.26</v>
      </c>
      <c r="Y24" s="829">
        <f>IFERROR(VLOOKUP($A24,'RP- Profit &amp; Loss 2017'!$A:$O,Y$1,FALSE),)</f>
        <v>5091.5</v>
      </c>
      <c r="Z24" s="829">
        <f>IFERROR(VLOOKUP($A24,'RP- Profit &amp; Loss 2017'!$A:$O,Z$1,FALSE),)</f>
        <v>4927.24</v>
      </c>
      <c r="AA24" s="827">
        <f>IFERROR(VLOOKUP($A24,'RP- Profit &amp; Loss 2017'!$A:$O,AA$1,FALSE),)</f>
        <v>59788.98</v>
      </c>
      <c r="AB24" s="829">
        <f>IFERROR(VLOOKUP($A24,'RP- Profit &amp; Loss 2018'!$A:$O,AB$1,FALSE),)</f>
        <v>5663</v>
      </c>
      <c r="AC24" s="829">
        <f>IFERROR(VLOOKUP($A24,'RP- Profit &amp; Loss 2018'!$A:$O,AC$1,FALSE),)</f>
        <v>4768.8</v>
      </c>
      <c r="AD24" s="829">
        <f>IFERROR(VLOOKUP($A24,'RP- Profit &amp; Loss 2018'!$A:$O,AD$1,FALSE),)</f>
        <v>5047.6400000000003</v>
      </c>
      <c r="AE24" s="829">
        <f>IFERROR(VLOOKUP($A24,'RP- Profit &amp; Loss 2018'!$A:$O,AE$1,FALSE),)</f>
        <v>5215.8999999999996</v>
      </c>
      <c r="AF24" s="829">
        <f>IFERROR(VLOOKUP($A24,'RP- Profit &amp; Loss 2018'!$A:$O,AF$1,FALSE),)</f>
        <v>5047.6400000000003</v>
      </c>
      <c r="AG24" s="829">
        <f>IFERROR(VLOOKUP($A24,'RP- Profit &amp; Loss 2018'!$A:$O,AG$1,FALSE),)</f>
        <v>5215.8999999999996</v>
      </c>
      <c r="AH24" s="829">
        <f>IFERROR(VLOOKUP($A24,'RP- Profit &amp; Loss 2018'!$A:$O,AH$1,FALSE),)</f>
        <v>5215.8999999999996</v>
      </c>
      <c r="AI24" s="829">
        <f>IFERROR(VLOOKUP($A24,'RP- Profit &amp; Loss 2018'!$A:$O,AI$1,FALSE),)</f>
        <v>4711.1400000000003</v>
      </c>
      <c r="AJ24" s="829">
        <f>IFERROR(VLOOKUP($A24,'RP- Profit &amp; Loss 2018'!$A:$O,AJ$1,FALSE),)</f>
        <v>5215.8999999999996</v>
      </c>
      <c r="AK24" s="829">
        <f>IFERROR(VLOOKUP($A24,'RP- Profit &amp; Loss 2018'!$A:$O,AK$1,FALSE),)</f>
        <v>5047.6400000000003</v>
      </c>
      <c r="AL24" s="829">
        <f>IFERROR(VLOOKUP($A24,'RP- Profit &amp; Loss 2018'!$A:$O,AL$1,FALSE),)</f>
        <v>5215.8999999999996</v>
      </c>
      <c r="AM24" s="829">
        <f>IFERROR(VLOOKUP($A24,'RP- Profit &amp; Loss 2018'!$A:$O,AM$1,FALSE),)</f>
        <v>5047.6899999999996</v>
      </c>
      <c r="AN24" s="827">
        <f>IFERROR(VLOOKUP($A24,'RP- Profit &amp; Loss 2018'!$A:$O,AN$1,FALSE),)</f>
        <v>61413.05</v>
      </c>
      <c r="AP24" s="805"/>
      <c r="AQ24" s="805"/>
      <c r="AR24" s="805"/>
      <c r="AU24" s="805"/>
    </row>
    <row r="25" spans="1:47">
      <c r="A25" s="805" t="str">
        <f>'RP- Profit &amp; Loss 2016'!A40</f>
        <v>6-2102</v>
      </c>
      <c r="B25" s="805" t="str">
        <f>'RP- Profit &amp; Loss 2016'!B40</f>
        <v>REvSC - Water/Sewerage Rates</v>
      </c>
      <c r="C25" s="830" t="str">
        <f>B160</f>
        <v xml:space="preserve">    Water Rates</v>
      </c>
      <c r="D25" s="826">
        <f>'RP- Profit &amp; Loss 2016'!D40</f>
        <v>215.42</v>
      </c>
      <c r="E25" s="828">
        <f t="shared" si="6"/>
        <v>278.25083333333328</v>
      </c>
      <c r="F25" s="828">
        <f>'RP- Profit &amp; Loss 2016'!E40</f>
        <v>269.27</v>
      </c>
      <c r="G25" s="828">
        <f>'RP- Profit &amp; Loss 2016'!F40</f>
        <v>269.27</v>
      </c>
      <c r="H25" s="828">
        <f>'RP- Profit &amp; Loss 2016'!G40</f>
        <v>269.27</v>
      </c>
      <c r="I25" s="828">
        <f>'RP- Profit &amp; Loss 2016'!H40</f>
        <v>269.27</v>
      </c>
      <c r="J25" s="828">
        <f>'RP- Profit &amp; Loss 2016'!I40</f>
        <v>1291.24</v>
      </c>
      <c r="K25" s="828">
        <f>'RP- Profit &amp; Loss 2016'!J40</f>
        <v>428.84</v>
      </c>
      <c r="L25" s="828">
        <f>'RP- Profit &amp; Loss 2016'!K40</f>
        <v>299.60000000000002</v>
      </c>
      <c r="M25" s="828">
        <f>'RP- Profit &amp; Loss 2016'!L40</f>
        <v>138.81</v>
      </c>
      <c r="N25" s="827">
        <f>'RP- Profit &amp; Loss 2016'!M40</f>
        <v>3450.99</v>
      </c>
      <c r="O25" s="829">
        <f>IFERROR(VLOOKUP($A25,'RP- Profit &amp; Loss 2017'!$A:$O,O$1,FALSE),)</f>
        <v>336.56</v>
      </c>
      <c r="P25" s="829">
        <f>IFERROR(VLOOKUP($A25,'RP- Profit &amp; Loss 2017'!$A:$O,P$1,FALSE),)</f>
        <v>349.92</v>
      </c>
      <c r="Q25" s="829">
        <f>IFERROR(VLOOKUP($A25,'RP- Profit &amp; Loss 2017'!$A:$O,Q$1,FALSE),)</f>
        <v>350.13</v>
      </c>
      <c r="R25" s="829">
        <f>IFERROR(VLOOKUP($A25,'RP- Profit &amp; Loss 2017'!$A:$O,R$1,FALSE),)</f>
        <v>350</v>
      </c>
      <c r="S25" s="829">
        <f>IFERROR(VLOOKUP($A25,'RP- Profit &amp; Loss 2017'!$A:$O,S$1,FALSE),)</f>
        <v>349.62</v>
      </c>
      <c r="T25" s="829">
        <f>IFERROR(VLOOKUP($A25,'RP- Profit &amp; Loss 2017'!$A:$O,T$1,FALSE),)</f>
        <v>350</v>
      </c>
      <c r="U25" s="829">
        <f>IFERROR(VLOOKUP($A25,'RP- Profit &amp; Loss 2017'!$A:$O,U$1,FALSE),)</f>
        <v>334.67</v>
      </c>
      <c r="V25" s="829">
        <f>IFERROR(VLOOKUP($A25,'RP- Profit &amp; Loss 2017'!$A:$O,V$1,FALSE),)</f>
        <v>333.33</v>
      </c>
      <c r="W25" s="829">
        <f>IFERROR(VLOOKUP($A25,'RP- Profit &amp; Loss 2017'!$A:$O,W$1,FALSE),)</f>
        <v>-61.53</v>
      </c>
      <c r="X25" s="829">
        <f>IFERROR(VLOOKUP($A25,'RP- Profit &amp; Loss 2017'!$A:$O,X$1,FALSE),)</f>
        <v>493.21</v>
      </c>
      <c r="Y25" s="829">
        <f>IFERROR(VLOOKUP($A25,'RP- Profit &amp; Loss 2017'!$A:$O,Y$1,FALSE),)</f>
        <v>276.52</v>
      </c>
      <c r="Z25" s="829">
        <f>IFERROR(VLOOKUP($A25,'RP- Profit &amp; Loss 2017'!$A:$O,Z$1,FALSE),)</f>
        <v>276.52</v>
      </c>
      <c r="AA25" s="827">
        <f>IFERROR(VLOOKUP($A25,'RP- Profit &amp; Loss 2017'!$A:$O,AA$1,FALSE),)</f>
        <v>3738.95</v>
      </c>
      <c r="AB25" s="829">
        <f>IFERROR(VLOOKUP($A25,'RP- Profit &amp; Loss 2018'!$A:$O,AB$1,FALSE),)</f>
        <v>399.52</v>
      </c>
      <c r="AC25" s="829">
        <f>IFERROR(VLOOKUP($A25,'RP- Profit &amp; Loss 2018'!$A:$O,AC$1,FALSE),)</f>
        <v>399.54</v>
      </c>
      <c r="AD25" s="829">
        <f>IFERROR(VLOOKUP($A25,'RP- Profit &amp; Loss 2018'!$A:$O,AD$1,FALSE),)</f>
        <v>399.99</v>
      </c>
      <c r="AE25" s="829">
        <f>IFERROR(VLOOKUP($A25,'RP- Profit &amp; Loss 2018'!$A:$O,AE$1,FALSE),)</f>
        <v>400</v>
      </c>
      <c r="AF25" s="829">
        <f>IFERROR(VLOOKUP($A25,'RP- Profit &amp; Loss 2018'!$A:$O,AF$1,FALSE),)</f>
        <v>400</v>
      </c>
      <c r="AG25" s="829">
        <f>IFERROR(VLOOKUP($A25,'RP- Profit &amp; Loss 2018'!$A:$O,AG$1,FALSE),)</f>
        <v>-231.72</v>
      </c>
      <c r="AH25" s="829">
        <f>IFERROR(VLOOKUP($A25,'RP- Profit &amp; Loss 2018'!$A:$O,AH$1,FALSE),)</f>
        <v>276.52</v>
      </c>
      <c r="AI25" s="829">
        <f>IFERROR(VLOOKUP($A25,'RP- Profit &amp; Loss 2018'!$A:$O,AI$1,FALSE),)</f>
        <v>384.38</v>
      </c>
      <c r="AJ25" s="829">
        <f>IFERROR(VLOOKUP($A25,'RP- Profit &amp; Loss 2018'!$A:$O,AJ$1,FALSE),)</f>
        <v>276.52</v>
      </c>
      <c r="AK25" s="829">
        <f>IFERROR(VLOOKUP($A25,'RP- Profit &amp; Loss 2018'!$A:$O,AK$1,FALSE),)</f>
        <v>384.66</v>
      </c>
      <c r="AL25" s="829">
        <f>IFERROR(VLOOKUP($A25,'RP- Profit &amp; Loss 2018'!$A:$O,AL$1,FALSE),)</f>
        <v>281.24</v>
      </c>
      <c r="AM25" s="829">
        <f>IFERROR(VLOOKUP($A25,'RP- Profit &amp; Loss 2018'!$A:$O,AM$1,FALSE),)</f>
        <v>272.17</v>
      </c>
      <c r="AN25" s="827">
        <f>IFERROR(VLOOKUP($A25,'RP- Profit &amp; Loss 2018'!$A:$O,AN$1,FALSE),)</f>
        <v>3642.82</v>
      </c>
      <c r="AP25" s="805"/>
      <c r="AQ25" s="805"/>
      <c r="AR25" s="805"/>
      <c r="AU25" s="805"/>
    </row>
    <row r="26" spans="1:47">
      <c r="A26" s="805" t="str">
        <f>'RP- Profit &amp; Loss 2016'!A41</f>
        <v>6-2104</v>
      </c>
      <c r="B26" s="805" t="str">
        <f>'RP- Profit &amp; Loss 2016'!B41</f>
        <v>REvSC - Water Usage</v>
      </c>
      <c r="C26" s="830" t="str">
        <f>B162</f>
        <v xml:space="preserve">    Water Usage</v>
      </c>
      <c r="D26" s="826">
        <f>'RP- Profit &amp; Loss 2016'!D41</f>
        <v>1394.29</v>
      </c>
      <c r="E26" s="828">
        <f t="shared" si="6"/>
        <v>1800.9579166666667</v>
      </c>
      <c r="F26" s="828">
        <f>'RP- Profit &amp; Loss 2016'!E41</f>
        <v>1684.76</v>
      </c>
      <c r="G26" s="828">
        <f>'RP- Profit &amp; Loss 2016'!F41</f>
        <v>1740.91</v>
      </c>
      <c r="H26" s="828">
        <f>'RP- Profit &amp; Loss 2016'!G41</f>
        <v>1740.91</v>
      </c>
      <c r="I26" s="828">
        <f>'RP- Profit &amp; Loss 2016'!H41</f>
        <v>1615.33</v>
      </c>
      <c r="J26" s="828">
        <f>'RP- Profit &amp; Loss 2016'!I41</f>
        <v>-2154.11</v>
      </c>
      <c r="K26" s="828">
        <f>'RP- Profit &amp; Loss 2016'!J41</f>
        <v>779.39</v>
      </c>
      <c r="L26" s="828">
        <f>'RP- Profit &amp; Loss 2016'!K41</f>
        <v>1988.73</v>
      </c>
      <c r="M26" s="828">
        <f>'RP- Profit &amp; Loss 2016'!L41</f>
        <v>1419.69</v>
      </c>
      <c r="N26" s="827">
        <f>'RP- Profit &amp; Loss 2016'!M41</f>
        <v>10209.9</v>
      </c>
      <c r="O26" s="829">
        <f>IFERROR(VLOOKUP($A26,'RP- Profit &amp; Loss 2017'!$A:$O,O$1,FALSE),)</f>
        <v>1961.56</v>
      </c>
      <c r="P26" s="829">
        <f>IFERROR(VLOOKUP($A26,'RP- Profit &amp; Loss 2017'!$A:$O,P$1,FALSE),)</f>
        <v>1961.56</v>
      </c>
      <c r="Q26" s="829">
        <f>IFERROR(VLOOKUP($A26,'RP- Profit &amp; Loss 2017'!$A:$O,Q$1,FALSE),)</f>
        <v>1962.49</v>
      </c>
      <c r="R26" s="829">
        <f>IFERROR(VLOOKUP($A26,'RP- Profit &amp; Loss 2017'!$A:$O,R$1,FALSE),)</f>
        <v>1961.54</v>
      </c>
      <c r="S26" s="829">
        <f>IFERROR(VLOOKUP($A26,'RP- Profit &amp; Loss 2017'!$A:$O,S$1,FALSE),)</f>
        <v>48.25</v>
      </c>
      <c r="T26" s="829">
        <f>IFERROR(VLOOKUP($A26,'RP- Profit &amp; Loss 2017'!$A:$O,T$1,FALSE),)</f>
        <v>1567.56</v>
      </c>
      <c r="U26" s="829">
        <f>IFERROR(VLOOKUP($A26,'RP- Profit &amp; Loss 2017'!$A:$O,U$1,FALSE),)</f>
        <v>1512.2</v>
      </c>
      <c r="V26" s="829">
        <f>IFERROR(VLOOKUP($A26,'RP- Profit &amp; Loss 2017'!$A:$O,V$1,FALSE),)</f>
        <v>1583.88</v>
      </c>
      <c r="W26" s="829">
        <f>IFERROR(VLOOKUP($A26,'RP- Profit &amp; Loss 2017'!$A:$O,W$1,FALSE),)</f>
        <v>1422</v>
      </c>
      <c r="X26" s="829">
        <f>IFERROR(VLOOKUP($A26,'RP- Profit &amp; Loss 2017'!$A:$O,X$1,FALSE),)</f>
        <v>3065.8</v>
      </c>
      <c r="Y26" s="829">
        <f>IFERROR(VLOOKUP($A26,'RP- Profit &amp; Loss 2017'!$A:$O,Y$1,FALSE),)</f>
        <v>2235.83</v>
      </c>
      <c r="Z26" s="829">
        <f>IFERROR(VLOOKUP($A26,'RP- Profit &amp; Loss 2017'!$A:$O,Z$1,FALSE),)</f>
        <v>1341.39</v>
      </c>
      <c r="AA26" s="827">
        <f>IFERROR(VLOOKUP($A26,'RP- Profit &amp; Loss 2017'!$A:$O,AA$1,FALSE),)</f>
        <v>20624.060000000001</v>
      </c>
      <c r="AB26" s="829">
        <f>IFERROR(VLOOKUP($A26,'RP- Profit &amp; Loss 2018'!$A:$O,AB$1,FALSE),)</f>
        <v>2235.65</v>
      </c>
      <c r="AC26" s="829">
        <f>IFERROR(VLOOKUP($A26,'RP- Profit &amp; Loss 2018'!$A:$O,AC$1,FALSE),)</f>
        <v>1788.52</v>
      </c>
      <c r="AD26" s="829">
        <f>IFERROR(VLOOKUP($A26,'RP- Profit &amp; Loss 2018'!$A:$O,AD$1,FALSE),)</f>
        <v>1119.79</v>
      </c>
      <c r="AE26" s="829">
        <f>IFERROR(VLOOKUP($A26,'RP- Profit &amp; Loss 2018'!$A:$O,AE$1,FALSE),)</f>
        <v>2102.04</v>
      </c>
      <c r="AF26" s="829">
        <f>IFERROR(VLOOKUP($A26,'RP- Profit &amp; Loss 2018'!$A:$O,AF$1,FALSE),)</f>
        <v>2047.36</v>
      </c>
      <c r="AG26" s="829">
        <f>IFERROR(VLOOKUP($A26,'RP- Profit &amp; Loss 2018'!$A:$O,AG$1,FALSE),)</f>
        <v>-3874.13</v>
      </c>
      <c r="AH26" s="829">
        <f>IFERROR(VLOOKUP($A26,'RP- Profit &amp; Loss 2018'!$A:$O,AH$1,FALSE),)</f>
        <v>1178.19</v>
      </c>
      <c r="AI26" s="829">
        <f>IFERROR(VLOOKUP($A26,'RP- Profit &amp; Loss 2018'!$A:$O,AI$1,FALSE),)</f>
        <v>1177.4000000000001</v>
      </c>
      <c r="AJ26" s="829">
        <f>IFERROR(VLOOKUP($A26,'RP- Profit &amp; Loss 2018'!$A:$O,AJ$1,FALSE),)</f>
        <v>1177.69</v>
      </c>
      <c r="AK26" s="829">
        <f>IFERROR(VLOOKUP($A26,'RP- Profit &amp; Loss 2018'!$A:$O,AK$1,FALSE),)</f>
        <v>1377.13</v>
      </c>
      <c r="AL26" s="829">
        <f>IFERROR(VLOOKUP($A26,'RP- Profit &amp; Loss 2018'!$A:$O,AL$1,FALSE),)</f>
        <v>1165.26</v>
      </c>
      <c r="AM26" s="829">
        <f>IFERROR(VLOOKUP($A26,'RP- Profit &amp; Loss 2018'!$A:$O,AM$1,FALSE),)</f>
        <v>1127.67</v>
      </c>
      <c r="AN26" s="827">
        <f>IFERROR(VLOOKUP($A26,'RP- Profit &amp; Loss 2018'!$A:$O,AN$1,FALSE),)</f>
        <v>12622.57</v>
      </c>
      <c r="AP26" s="805"/>
      <c r="AQ26" s="805"/>
      <c r="AR26" s="805"/>
      <c r="AU26" s="805"/>
    </row>
    <row r="27" spans="1:47">
      <c r="A27" s="805" t="str">
        <f>'RP- Profit &amp; Loss 2016'!A42</f>
        <v>6-2108</v>
      </c>
      <c r="B27" s="805" t="str">
        <f>'RP- Profit &amp; Loss 2016'!B42</f>
        <v>REvSC - Land Tax</v>
      </c>
      <c r="C27" s="830" t="str">
        <f>B161</f>
        <v xml:space="preserve">    Land Tax</v>
      </c>
      <c r="D27" s="826">
        <f>'RP- Profit &amp; Loss 2016'!D42</f>
        <v>3256.37</v>
      </c>
      <c r="E27" s="828">
        <f t="shared" si="6"/>
        <v>4206.1445833333337</v>
      </c>
      <c r="F27" s="828">
        <f>'RP- Profit &amp; Loss 2016'!E42</f>
        <v>4138.3100000000004</v>
      </c>
      <c r="G27" s="828">
        <f>'RP- Profit &amp; Loss 2016'!F42</f>
        <v>4138.3100000000004</v>
      </c>
      <c r="H27" s="828">
        <f>'RP- Profit &amp; Loss 2016'!G42</f>
        <v>4740</v>
      </c>
      <c r="I27" s="828">
        <f>'RP- Profit &amp; Loss 2016'!H42</f>
        <v>4740</v>
      </c>
      <c r="J27" s="828">
        <f>'RP- Profit &amp; Loss 2016'!I42</f>
        <v>4335.9799999999996</v>
      </c>
      <c r="K27" s="828">
        <f>'RP- Profit &amp; Loss 2016'!J42</f>
        <v>4554.72</v>
      </c>
      <c r="L27" s="828">
        <f>'RP- Profit &amp; Loss 2016'!K42</f>
        <v>4630</v>
      </c>
      <c r="M27" s="828">
        <f>'RP- Profit &amp; Loss 2016'!L42</f>
        <v>4480.6499999999996</v>
      </c>
      <c r="N27" s="827">
        <f>'RP- Profit &amp; Loss 2016'!M42</f>
        <v>39014.339999999997</v>
      </c>
      <c r="O27" s="829">
        <f>IFERROR(VLOOKUP($A27,'RP- Profit &amp; Loss 2017'!$A:$O,O$1,FALSE),)</f>
        <v>4630</v>
      </c>
      <c r="P27" s="829">
        <f>IFERROR(VLOOKUP($A27,'RP- Profit &amp; Loss 2017'!$A:$O,P$1,FALSE),)</f>
        <v>4630</v>
      </c>
      <c r="Q27" s="829">
        <f>IFERROR(VLOOKUP($A27,'RP- Profit &amp; Loss 2017'!$A:$O,Q$1,FALSE),)</f>
        <v>4517.37</v>
      </c>
      <c r="R27" s="829">
        <f>IFERROR(VLOOKUP($A27,'RP- Profit &amp; Loss 2017'!$A:$O,R$1,FALSE),)</f>
        <v>4667.95</v>
      </c>
      <c r="S27" s="829">
        <f>IFERROR(VLOOKUP($A27,'RP- Profit &amp; Loss 2017'!$A:$O,S$1,FALSE),)</f>
        <v>4517.37</v>
      </c>
      <c r="T27" s="829">
        <f>IFERROR(VLOOKUP($A27,'RP- Profit &amp; Loss 2017'!$A:$O,T$1,FALSE),)</f>
        <v>4667.96</v>
      </c>
      <c r="U27" s="829">
        <f>IFERROR(VLOOKUP($A27,'RP- Profit &amp; Loss 2017'!$A:$O,U$1,FALSE),)</f>
        <v>4695</v>
      </c>
      <c r="V27" s="829">
        <f>IFERROR(VLOOKUP($A27,'RP- Profit &amp; Loss 2017'!$A:$O,V$1,FALSE),)</f>
        <v>4241.29</v>
      </c>
      <c r="W27" s="829">
        <f>IFERROR(VLOOKUP($A27,'RP- Profit &amp; Loss 2017'!$A:$O,W$1,FALSE),)</f>
        <v>4695.34</v>
      </c>
      <c r="X27" s="829">
        <f>IFERROR(VLOOKUP($A27,'RP- Profit &amp; Loss 2017'!$A:$O,X$1,FALSE),)</f>
        <v>4543.87</v>
      </c>
      <c r="Y27" s="829">
        <f>IFERROR(VLOOKUP($A27,'RP- Profit &amp; Loss 2017'!$A:$O,Y$1,FALSE),)</f>
        <v>4695.34</v>
      </c>
      <c r="Z27" s="829">
        <f>IFERROR(VLOOKUP($A27,'RP- Profit &amp; Loss 2017'!$A:$O,Z$1,FALSE),)</f>
        <v>4543.87</v>
      </c>
      <c r="AA27" s="827">
        <f>IFERROR(VLOOKUP($A27,'RP- Profit &amp; Loss 2017'!$A:$O,AA$1,FALSE),)</f>
        <v>55045.36</v>
      </c>
      <c r="AB27" s="829">
        <f>IFERROR(VLOOKUP($A27,'RP- Profit &amp; Loss 2018'!$A:$O,AB$1,FALSE),)</f>
        <v>4695.34</v>
      </c>
      <c r="AC27" s="829">
        <f>IFERROR(VLOOKUP($A27,'RP- Profit &amp; Loss 2018'!$A:$O,AC$1,FALSE),)</f>
        <v>4695.34</v>
      </c>
      <c r="AD27" s="829">
        <f>IFERROR(VLOOKUP($A27,'RP- Profit &amp; Loss 2018'!$A:$O,AD$1,FALSE),)</f>
        <v>4543.87</v>
      </c>
      <c r="AE27" s="829">
        <f>IFERROR(VLOOKUP($A27,'RP- Profit &amp; Loss 2018'!$A:$O,AE$1,FALSE),)</f>
        <v>4695.34</v>
      </c>
      <c r="AF27" s="829">
        <f>IFERROR(VLOOKUP($A27,'RP- Profit &amp; Loss 2018'!$A:$O,AF$1,FALSE),)</f>
        <v>4543.87</v>
      </c>
      <c r="AG27" s="829">
        <f>IFERROR(VLOOKUP($A27,'RP- Profit &amp; Loss 2018'!$A:$O,AG$1,FALSE),)</f>
        <v>4695.33</v>
      </c>
      <c r="AH27" s="829">
        <f>IFERROR(VLOOKUP($A27,'RP- Profit &amp; Loss 2018'!$A:$O,AH$1,FALSE),)</f>
        <v>4861</v>
      </c>
      <c r="AI27" s="829">
        <f>IFERROR(VLOOKUP($A27,'RP- Profit &amp; Loss 2018'!$A:$O,AI$1,FALSE),)</f>
        <v>4214.7</v>
      </c>
      <c r="AJ27" s="829">
        <f>IFERROR(VLOOKUP($A27,'RP- Profit &amp; Loss 2018'!$A:$O,AJ$1,FALSE),)</f>
        <v>4768.59</v>
      </c>
      <c r="AK27" s="829">
        <f>IFERROR(VLOOKUP($A27,'RP- Profit &amp; Loss 2018'!$A:$O,AK$1,FALSE),)</f>
        <v>4614.76</v>
      </c>
      <c r="AL27" s="829">
        <f>IFERROR(VLOOKUP($A27,'RP- Profit &amp; Loss 2018'!$A:$O,AL$1,FALSE),)</f>
        <v>4768.59</v>
      </c>
      <c r="AM27" s="829">
        <f>IFERROR(VLOOKUP($A27,'RP- Profit &amp; Loss 2018'!$A:$O,AM$1,FALSE),)</f>
        <v>4614.76</v>
      </c>
      <c r="AN27" s="827">
        <f>IFERROR(VLOOKUP($A27,'RP- Profit &amp; Loss 2018'!$A:$O,AN$1,FALSE),)</f>
        <v>55711.49</v>
      </c>
      <c r="AP27" s="805"/>
      <c r="AQ27" s="805"/>
      <c r="AR27" s="805"/>
      <c r="AU27" s="805"/>
    </row>
    <row r="28" spans="1:47">
      <c r="A28" s="805"/>
      <c r="B28" s="805" t="s">
        <v>674</v>
      </c>
      <c r="C28" s="832" t="str">
        <f>+B181</f>
        <v xml:space="preserve">  Non Recov Land Tax</v>
      </c>
      <c r="D28" s="826"/>
      <c r="E28" s="828">
        <f t="shared" si="6"/>
        <v>0</v>
      </c>
      <c r="F28" s="828"/>
      <c r="G28" s="828"/>
      <c r="H28" s="828"/>
      <c r="I28" s="828"/>
      <c r="J28" s="828"/>
      <c r="K28" s="828"/>
      <c r="L28" s="828"/>
      <c r="M28" s="828"/>
      <c r="N28" s="827"/>
      <c r="O28" s="829">
        <f>IFERROR(VLOOKUP($A28,'RP- Profit &amp; Loss 2017'!$A:$O,O$1,FALSE),)</f>
        <v>0</v>
      </c>
      <c r="P28" s="829">
        <f>IFERROR(VLOOKUP($A28,'RP- Profit &amp; Loss 2017'!$A:$O,P$1,FALSE),)</f>
        <v>0</v>
      </c>
      <c r="Q28" s="829">
        <f>IFERROR(VLOOKUP($A28,'RP- Profit &amp; Loss 2017'!$A:$O,Q$1,FALSE),)</f>
        <v>0</v>
      </c>
      <c r="R28" s="829">
        <f>IFERROR(VLOOKUP($A28,'RP- Profit &amp; Loss 2017'!$A:$O,R$1,FALSE),)</f>
        <v>0</v>
      </c>
      <c r="S28" s="829">
        <f>IFERROR(VLOOKUP($A28,'RP- Profit &amp; Loss 2017'!$A:$O,S$1,FALSE),)</f>
        <v>0</v>
      </c>
      <c r="T28" s="829">
        <f>IFERROR(VLOOKUP($A28,'RP- Profit &amp; Loss 2017'!$A:$O,T$1,FALSE),)</f>
        <v>0</v>
      </c>
      <c r="U28" s="829">
        <f>IFERROR(VLOOKUP($A28,'RP- Profit &amp; Loss 2017'!$A:$O,U$1,FALSE),)</f>
        <v>0</v>
      </c>
      <c r="V28" s="829">
        <f>IFERROR(VLOOKUP($A28,'RP- Profit &amp; Loss 2017'!$A:$O,V$1,FALSE),)</f>
        <v>0</v>
      </c>
      <c r="W28" s="829">
        <f>IFERROR(VLOOKUP($A28,'RP- Profit &amp; Loss 2017'!$A:$O,W$1,FALSE),)</f>
        <v>0</v>
      </c>
      <c r="X28" s="829">
        <f>IFERROR(VLOOKUP($A28,'RP- Profit &amp; Loss 2017'!$A:$O,X$1,FALSE),)</f>
        <v>0</v>
      </c>
      <c r="Y28" s="829">
        <f>IFERROR(VLOOKUP($A28,'RP- Profit &amp; Loss 2017'!$A:$O,Y$1,FALSE),)</f>
        <v>0</v>
      </c>
      <c r="Z28" s="829">
        <f>IFERROR(VLOOKUP($A28,'RP- Profit &amp; Loss 2017'!$A:$O,Z$1,FALSE),)</f>
        <v>0</v>
      </c>
      <c r="AA28" s="827">
        <f>IFERROR(VLOOKUP($A28,'RP- Profit &amp; Loss 2017'!$A:$O,AA$1,FALSE),)</f>
        <v>0</v>
      </c>
      <c r="AB28" s="829">
        <f>IFERROR(VLOOKUP($A28,'RP- Profit &amp; Loss 2018'!$A:$O,AB$1,FALSE),)</f>
        <v>0</v>
      </c>
      <c r="AC28" s="829">
        <f>IFERROR(VLOOKUP($A28,'RP- Profit &amp; Loss 2018'!$A:$O,AC$1,FALSE),)</f>
        <v>0</v>
      </c>
      <c r="AD28" s="829">
        <f>IFERROR(VLOOKUP($A28,'RP- Profit &amp; Loss 2018'!$A:$O,AD$1,FALSE),)</f>
        <v>0</v>
      </c>
      <c r="AE28" s="829">
        <f>IFERROR(VLOOKUP($A28,'RP- Profit &amp; Loss 2018'!$A:$O,AE$1,FALSE),)</f>
        <v>0</v>
      </c>
      <c r="AF28" s="829">
        <f>IFERROR(VLOOKUP($A28,'RP- Profit &amp; Loss 2018'!$A:$O,AF$1,FALSE),)</f>
        <v>0</v>
      </c>
      <c r="AG28" s="829">
        <f>IFERROR(VLOOKUP($A28,'RP- Profit &amp; Loss 2018'!$A:$O,AG$1,FALSE),)</f>
        <v>0</v>
      </c>
      <c r="AH28" s="829">
        <f>IFERROR(VLOOKUP($A28,'RP- Profit &amp; Loss 2018'!$A:$O,AH$1,FALSE),)</f>
        <v>0</v>
      </c>
      <c r="AI28" s="829">
        <f>IFERROR(VLOOKUP($A28,'RP- Profit &amp; Loss 2018'!$A:$O,AI$1,FALSE),)</f>
        <v>0</v>
      </c>
      <c r="AJ28" s="829">
        <f>IFERROR(VLOOKUP($A28,'RP- Profit &amp; Loss 2018'!$A:$O,AJ$1,FALSE),)</f>
        <v>0</v>
      </c>
      <c r="AK28" s="829">
        <f>IFERROR(VLOOKUP($A28,'RP- Profit &amp; Loss 2018'!$A:$O,AK$1,FALSE),)</f>
        <v>0</v>
      </c>
      <c r="AL28" s="829">
        <f>IFERROR(VLOOKUP($A28,'RP- Profit &amp; Loss 2018'!$A:$O,AL$1,FALSE),)</f>
        <v>0</v>
      </c>
      <c r="AM28" s="829">
        <f>IFERROR(VLOOKUP($A28,'RP- Profit &amp; Loss 2018'!$A:$O,AM$1,FALSE),)</f>
        <v>0</v>
      </c>
      <c r="AN28" s="827">
        <f>IFERROR(VLOOKUP($A28,'RP- Profit &amp; Loss 2018'!$A:$O,AN$1,FALSE),)</f>
        <v>0</v>
      </c>
      <c r="AP28" s="805"/>
      <c r="AQ28" s="805"/>
      <c r="AR28" s="805"/>
      <c r="AU28" s="805"/>
    </row>
    <row r="29" spans="1:47">
      <c r="A29" s="805" t="str">
        <f>'RP- Profit &amp; Loss 2016'!A44</f>
        <v>6-2121</v>
      </c>
      <c r="B29" s="805" t="str">
        <f>'RP- Profit &amp; Loss 2016'!B44</f>
        <v>REvSC - Ins-Fire / ISR</v>
      </c>
      <c r="C29" s="830" t="str">
        <f>B167</f>
        <v xml:space="preserve">    ISR</v>
      </c>
      <c r="D29" s="826">
        <f>'RP- Profit &amp; Loss 2016'!D44</f>
        <v>0</v>
      </c>
      <c r="E29" s="828">
        <f t="shared" si="6"/>
        <v>0</v>
      </c>
      <c r="F29" s="828">
        <f>'RP- Profit &amp; Loss 2016'!E44</f>
        <v>10133.32</v>
      </c>
      <c r="G29" s="828">
        <f>'RP- Profit &amp; Loss 2016'!F44</f>
        <v>4879.7700000000004</v>
      </c>
      <c r="H29" s="828">
        <f>'RP- Profit &amp; Loss 2016'!G44</f>
        <v>5004.37</v>
      </c>
      <c r="I29" s="828">
        <f>'RP- Profit &amp; Loss 2016'!H44</f>
        <v>4752.88</v>
      </c>
      <c r="J29" s="828">
        <f>'RP- Profit &amp; Loss 2016'!I44</f>
        <v>-6051.5</v>
      </c>
      <c r="K29" s="828">
        <f>'RP- Profit &amp; Loss 2016'!J44</f>
        <v>4825.3900000000003</v>
      </c>
      <c r="L29" s="828">
        <f>'RP- Profit &amp; Loss 2016'!K44</f>
        <v>4986.24</v>
      </c>
      <c r="M29" s="828">
        <f>'RP- Profit &amp; Loss 2016'!L44</f>
        <v>4825.3500000000004</v>
      </c>
      <c r="N29" s="827">
        <f>'RP- Profit &amp; Loss 2016'!M44</f>
        <v>33355.82</v>
      </c>
      <c r="O29" s="829">
        <f>IFERROR(VLOOKUP($A29,'RP- Profit &amp; Loss 2017'!$A:$O,O$1,FALSE),)</f>
        <v>1232.06</v>
      </c>
      <c r="P29" s="829">
        <f>IFERROR(VLOOKUP($A29,'RP- Profit &amp; Loss 2017'!$A:$O,P$1,FALSE),)</f>
        <v>1232.07</v>
      </c>
      <c r="Q29" s="829">
        <f>IFERROR(VLOOKUP($A29,'RP- Profit &amp; Loss 2017'!$A:$O,Q$1,FALSE),)</f>
        <v>1234</v>
      </c>
      <c r="R29" s="829">
        <f>IFERROR(VLOOKUP($A29,'RP- Profit &amp; Loss 2017'!$A:$O,R$1,FALSE),)</f>
        <v>1190.3699999999999</v>
      </c>
      <c r="S29" s="829">
        <f>IFERROR(VLOOKUP($A29,'RP- Profit &amp; Loss 2017'!$A:$O,S$1,FALSE),)</f>
        <v>1192.31</v>
      </c>
      <c r="T29" s="829">
        <f>IFERROR(VLOOKUP($A29,'RP- Profit &amp; Loss 2017'!$A:$O,T$1,FALSE),)</f>
        <v>1232.07</v>
      </c>
      <c r="U29" s="829">
        <f>IFERROR(VLOOKUP($A29,'RP- Profit &amp; Loss 2017'!$A:$O,U$1,FALSE),)</f>
        <v>1232.01</v>
      </c>
      <c r="V29" s="829">
        <f>IFERROR(VLOOKUP($A29,'RP- Profit &amp; Loss 2017'!$A:$O,V$1,FALSE),)</f>
        <v>1112.83</v>
      </c>
      <c r="W29" s="829">
        <f>IFERROR(VLOOKUP($A29,'RP- Profit &amp; Loss 2017'!$A:$O,W$1,FALSE),)</f>
        <v>1232.05</v>
      </c>
      <c r="X29" s="829">
        <f>IFERROR(VLOOKUP($A29,'RP- Profit &amp; Loss 2017'!$A:$O,X$1,FALSE),)</f>
        <v>1192.32</v>
      </c>
      <c r="Y29" s="829">
        <f>IFERROR(VLOOKUP($A29,'RP- Profit &amp; Loss 2017'!$A:$O,Y$1,FALSE),)</f>
        <v>1232.05</v>
      </c>
      <c r="Z29" s="829">
        <f>IFERROR(VLOOKUP($A29,'RP- Profit &amp; Loss 2017'!$A:$O,Z$1,FALSE),)</f>
        <v>1192.3800000000001</v>
      </c>
      <c r="AA29" s="827">
        <f>IFERROR(VLOOKUP($A29,'RP- Profit &amp; Loss 2017'!$A:$O,AA$1,FALSE),)</f>
        <v>14506.52</v>
      </c>
      <c r="AB29" s="829">
        <f>IFERROR(VLOOKUP($A29,'RP- Profit &amp; Loss 2018'!$A:$O,AB$1,FALSE),)</f>
        <v>1342</v>
      </c>
      <c r="AC29" s="829">
        <f>IFERROR(VLOOKUP($A29,'RP- Profit &amp; Loss 2018'!$A:$O,AC$1,FALSE),)</f>
        <v>1342</v>
      </c>
      <c r="AD29" s="829">
        <f>IFERROR(VLOOKUP($A29,'RP- Profit &amp; Loss 2018'!$A:$O,AD$1,FALSE),)</f>
        <v>2205.12</v>
      </c>
      <c r="AE29" s="829">
        <f>IFERROR(VLOOKUP($A29,'RP- Profit &amp; Loss 2018'!$A:$O,AE$1,FALSE),)</f>
        <v>1629.66</v>
      </c>
      <c r="AF29" s="829">
        <f>IFERROR(VLOOKUP($A29,'RP- Profit &amp; Loss 2018'!$A:$O,AF$1,FALSE),)</f>
        <v>1577.14</v>
      </c>
      <c r="AG29" s="829">
        <f>IFERROR(VLOOKUP($A29,'RP- Profit &amp; Loss 2018'!$A:$O,AG$1,FALSE),)</f>
        <v>1629.69</v>
      </c>
      <c r="AH29" s="829">
        <f>IFERROR(VLOOKUP($A29,'RP- Profit &amp; Loss 2018'!$A:$O,AH$1,FALSE),)</f>
        <v>1629.69</v>
      </c>
      <c r="AI29" s="829">
        <f>IFERROR(VLOOKUP($A29,'RP- Profit &amp; Loss 2018'!$A:$O,AI$1,FALSE),)</f>
        <v>1471.99</v>
      </c>
      <c r="AJ29" s="829">
        <f>IFERROR(VLOOKUP($A29,'RP- Profit &amp; Loss 2018'!$A:$O,AJ$1,FALSE),)</f>
        <v>1629.69</v>
      </c>
      <c r="AK29" s="829">
        <f>IFERROR(VLOOKUP($A29,'RP- Profit &amp; Loss 2018'!$A:$O,AK$1,FALSE),)</f>
        <v>1577.14</v>
      </c>
      <c r="AL29" s="829">
        <f>IFERROR(VLOOKUP($A29,'RP- Profit &amp; Loss 2018'!$A:$O,AL$1,FALSE),)</f>
        <v>1629.69</v>
      </c>
      <c r="AM29" s="829">
        <f>IFERROR(VLOOKUP($A29,'RP- Profit &amp; Loss 2018'!$A:$O,AM$1,FALSE),)</f>
        <v>1577.25</v>
      </c>
      <c r="AN29" s="827">
        <f>IFERROR(VLOOKUP($A29,'RP- Profit &amp; Loss 2018'!$A:$O,AN$1,FALSE),)</f>
        <v>19241.060000000001</v>
      </c>
      <c r="AP29" s="805"/>
      <c r="AQ29" s="805"/>
      <c r="AR29" s="805"/>
      <c r="AU29" s="805"/>
    </row>
    <row r="30" spans="1:47">
      <c r="A30" s="835" t="s">
        <v>675</v>
      </c>
      <c r="B30" s="836" t="s">
        <v>676</v>
      </c>
      <c r="C30" s="830" t="str">
        <f>B168</f>
        <v xml:space="preserve">    PLI</v>
      </c>
      <c r="D30" s="826">
        <v>0</v>
      </c>
      <c r="E30" s="828">
        <f t="shared" si="6"/>
        <v>0</v>
      </c>
      <c r="F30" s="828">
        <v>0</v>
      </c>
      <c r="G30" s="828">
        <v>0</v>
      </c>
      <c r="H30" s="828">
        <v>0</v>
      </c>
      <c r="I30" s="828">
        <v>0</v>
      </c>
      <c r="J30" s="828">
        <v>0</v>
      </c>
      <c r="K30" s="828">
        <v>0</v>
      </c>
      <c r="L30" s="828">
        <v>0</v>
      </c>
      <c r="M30" s="828">
        <v>0</v>
      </c>
      <c r="N30" s="827">
        <v>0</v>
      </c>
      <c r="O30" s="829">
        <f>IFERROR(VLOOKUP($A30,'RP- Profit &amp; Loss 2017'!$A:$O,O$1,FALSE),)</f>
        <v>1022.88</v>
      </c>
      <c r="P30" s="829">
        <f>IFERROR(VLOOKUP($A30,'RP- Profit &amp; Loss 2017'!$A:$O,P$1,FALSE),)</f>
        <v>1022.89</v>
      </c>
      <c r="Q30" s="829">
        <f>IFERROR(VLOOKUP($A30,'RP- Profit &amp; Loss 2017'!$A:$O,Q$1,FALSE),)</f>
        <v>1023</v>
      </c>
      <c r="R30" s="829">
        <f>IFERROR(VLOOKUP($A30,'RP- Profit &amp; Loss 2017'!$A:$O,R$1,FALSE),)</f>
        <v>989.75</v>
      </c>
      <c r="S30" s="829">
        <f>IFERROR(VLOOKUP($A30,'RP- Profit &amp; Loss 2017'!$A:$O,S$1,FALSE),)</f>
        <v>989.88</v>
      </c>
      <c r="T30" s="829">
        <f>IFERROR(VLOOKUP($A30,'RP- Profit &amp; Loss 2017'!$A:$O,T$1,FALSE),)</f>
        <v>1022.88</v>
      </c>
      <c r="U30" s="829">
        <f>IFERROR(VLOOKUP($A30,'RP- Profit &amp; Loss 2017'!$A:$O,U$1,FALSE),)</f>
        <v>1022.83</v>
      </c>
      <c r="V30" s="829">
        <f>IFERROR(VLOOKUP($A30,'RP- Profit &amp; Loss 2017'!$A:$O,V$1,FALSE),)</f>
        <v>923.89</v>
      </c>
      <c r="W30" s="829">
        <f>IFERROR(VLOOKUP($A30,'RP- Profit &amp; Loss 2017'!$A:$O,W$1,FALSE),)</f>
        <v>1022.87</v>
      </c>
      <c r="X30" s="829">
        <f>IFERROR(VLOOKUP($A30,'RP- Profit &amp; Loss 2017'!$A:$O,X$1,FALSE),)</f>
        <v>989.88</v>
      </c>
      <c r="Y30" s="829">
        <f>IFERROR(VLOOKUP($A30,'RP- Profit &amp; Loss 2017'!$A:$O,Y$1,FALSE),)</f>
        <v>1022.87</v>
      </c>
      <c r="Z30" s="829">
        <f>IFERROR(VLOOKUP($A30,'RP- Profit &amp; Loss 2017'!$A:$O,Z$1,FALSE),)</f>
        <v>989.96</v>
      </c>
      <c r="AA30" s="827">
        <f>IFERROR(VLOOKUP($A30,'RP- Profit &amp; Loss 2017'!$A:$O,AA$1,FALSE),)</f>
        <v>12043.58</v>
      </c>
      <c r="AB30" s="829">
        <f>IFERROR(VLOOKUP($A30,'RP- Profit &amp; Loss 2018'!$A:$O,AB$1,FALSE),)</f>
        <v>1116</v>
      </c>
      <c r="AC30" s="829">
        <f>IFERROR(VLOOKUP($A30,'RP- Profit &amp; Loss 2018'!$A:$O,AC$1,FALSE),)</f>
        <v>1116</v>
      </c>
      <c r="AD30" s="829">
        <f>IFERROR(VLOOKUP($A30,'RP- Profit &amp; Loss 2018'!$A:$O,AD$1,FALSE),)</f>
        <v>-1257.93</v>
      </c>
      <c r="AE30" s="829">
        <f>IFERROR(VLOOKUP($A30,'RP- Profit &amp; Loss 2018'!$A:$O,AE$1,FALSE),)</f>
        <v>332.47</v>
      </c>
      <c r="AF30" s="829">
        <f>IFERROR(VLOOKUP($A30,'RP- Profit &amp; Loss 2018'!$A:$O,AF$1,FALSE),)</f>
        <v>316.08999999999997</v>
      </c>
      <c r="AG30" s="829">
        <f>IFERROR(VLOOKUP($A30,'RP- Profit &amp; Loss 2018'!$A:$O,AG$1,FALSE),)</f>
        <v>326.64</v>
      </c>
      <c r="AH30" s="829">
        <f>IFERROR(VLOOKUP($A30,'RP- Profit &amp; Loss 2018'!$A:$O,AH$1,FALSE),)</f>
        <v>326.64</v>
      </c>
      <c r="AI30" s="829">
        <f>IFERROR(VLOOKUP($A30,'RP- Profit &amp; Loss 2018'!$A:$O,AI$1,FALSE),)</f>
        <v>295.02999999999997</v>
      </c>
      <c r="AJ30" s="829">
        <f>IFERROR(VLOOKUP($A30,'RP- Profit &amp; Loss 2018'!$A:$O,AJ$1,FALSE),)</f>
        <v>326.64</v>
      </c>
      <c r="AK30" s="829">
        <f>IFERROR(VLOOKUP($A30,'RP- Profit &amp; Loss 2018'!$A:$O,AK$1,FALSE),)</f>
        <v>316.08999999999997</v>
      </c>
      <c r="AL30" s="829">
        <f>IFERROR(VLOOKUP($A30,'RP- Profit &amp; Loss 2018'!$A:$O,AL$1,FALSE),)</f>
        <v>326.64</v>
      </c>
      <c r="AM30" s="829">
        <f>IFERROR(VLOOKUP($A30,'RP- Profit &amp; Loss 2018'!$A:$O,AM$1,FALSE),)</f>
        <v>316.10000000000002</v>
      </c>
      <c r="AN30" s="827">
        <f>IFERROR(VLOOKUP($A30,'RP- Profit &amp; Loss 2018'!$A:$O,AN$1,FALSE),)</f>
        <v>3856.41</v>
      </c>
      <c r="AP30" s="805"/>
      <c r="AQ30" s="805"/>
      <c r="AR30" s="805"/>
      <c r="AU30" s="805"/>
    </row>
    <row r="31" spans="1:47">
      <c r="A31" s="805" t="str">
        <f>'RP- Profit &amp; Loss 2016'!A46</f>
        <v>6-2232</v>
      </c>
      <c r="B31" s="805" t="str">
        <f>'RP- Profit &amp; Loss 2016'!B46</f>
        <v>REvSC - Fire-Contract</v>
      </c>
      <c r="C31" s="830" t="str">
        <f>$B$171</f>
        <v xml:space="preserve">  R&amp;M Honeywell Contract</v>
      </c>
      <c r="D31" s="826">
        <f>'RP- Profit &amp; Loss 2016'!D46</f>
        <v>91.96</v>
      </c>
      <c r="E31" s="828">
        <f t="shared" si="6"/>
        <v>118.78166666666667</v>
      </c>
      <c r="F31" s="828">
        <f>'RP- Profit &amp; Loss 2016'!E46</f>
        <v>111.11</v>
      </c>
      <c r="G31" s="828">
        <f>'RP- Profit &amp; Loss 2016'!F46</f>
        <v>0</v>
      </c>
      <c r="H31" s="828">
        <f>'RP- Profit &amp; Loss 2016'!G46</f>
        <v>0</v>
      </c>
      <c r="I31" s="828">
        <f>'RP- Profit &amp; Loss 2016'!H46</f>
        <v>0</v>
      </c>
      <c r="J31" s="828">
        <f>'RP- Profit &amp; Loss 2016'!I46</f>
        <v>0</v>
      </c>
      <c r="K31" s="828">
        <f>'RP- Profit &amp; Loss 2016'!J46</f>
        <v>0</v>
      </c>
      <c r="L31" s="828">
        <f>'RP- Profit &amp; Loss 2016'!K46</f>
        <v>0</v>
      </c>
      <c r="M31" s="828">
        <f>'RP- Profit &amp; Loss 2016'!L46</f>
        <v>0</v>
      </c>
      <c r="N31" s="827">
        <f>'RP- Profit &amp; Loss 2016'!M46</f>
        <v>203.07</v>
      </c>
      <c r="O31" s="829">
        <f>IFERROR(VLOOKUP($A31,'RP- Profit &amp; Loss 2017'!$A:$O,O$1,FALSE),)</f>
        <v>0</v>
      </c>
      <c r="P31" s="829">
        <f>IFERROR(VLOOKUP($A31,'RP- Profit &amp; Loss 2017'!$A:$O,P$1,FALSE),)</f>
        <v>0</v>
      </c>
      <c r="Q31" s="829">
        <f>IFERROR(VLOOKUP($A31,'RP- Profit &amp; Loss 2017'!$A:$O,Q$1,FALSE),)</f>
        <v>0</v>
      </c>
      <c r="R31" s="829">
        <f>IFERROR(VLOOKUP($A31,'RP- Profit &amp; Loss 2017'!$A:$O,R$1,FALSE),)</f>
        <v>0</v>
      </c>
      <c r="S31" s="829">
        <f>IFERROR(VLOOKUP($A31,'RP- Profit &amp; Loss 2017'!$A:$O,S$1,FALSE),)</f>
        <v>0</v>
      </c>
      <c r="T31" s="829">
        <f>IFERROR(VLOOKUP($A31,'RP- Profit &amp; Loss 2017'!$A:$O,T$1,FALSE),)</f>
        <v>0</v>
      </c>
      <c r="U31" s="829">
        <f>IFERROR(VLOOKUP($A31,'RP- Profit &amp; Loss 2017'!$A:$O,U$1,FALSE),)</f>
        <v>0</v>
      </c>
      <c r="V31" s="829">
        <f>IFERROR(VLOOKUP($A31,'RP- Profit &amp; Loss 2017'!$A:$O,V$1,FALSE),)</f>
        <v>0</v>
      </c>
      <c r="W31" s="829">
        <f>IFERROR(VLOOKUP($A31,'RP- Profit &amp; Loss 2017'!$A:$O,W$1,FALSE),)</f>
        <v>0</v>
      </c>
      <c r="X31" s="829">
        <f>IFERROR(VLOOKUP($A31,'RP- Profit &amp; Loss 2017'!$A:$O,X$1,FALSE),)</f>
        <v>0</v>
      </c>
      <c r="Y31" s="829">
        <f>IFERROR(VLOOKUP($A31,'RP- Profit &amp; Loss 2017'!$A:$O,Y$1,FALSE),)</f>
        <v>0</v>
      </c>
      <c r="Z31" s="829">
        <f>IFERROR(VLOOKUP($A31,'RP- Profit &amp; Loss 2017'!$A:$O,Z$1,FALSE),)</f>
        <v>0</v>
      </c>
      <c r="AA31" s="827">
        <f>IFERROR(VLOOKUP($A31,'RP- Profit &amp; Loss 2017'!$A:$O,AA$1,FALSE),)</f>
        <v>0</v>
      </c>
      <c r="AB31" s="829">
        <f>IFERROR(VLOOKUP($A31,'RP- Profit &amp; Loss 2018'!$A:$O,AB$1,FALSE),)</f>
        <v>0</v>
      </c>
      <c r="AC31" s="829">
        <f>IFERROR(VLOOKUP($A31,'RP- Profit &amp; Loss 2018'!$A:$O,AC$1,FALSE),)</f>
        <v>0</v>
      </c>
      <c r="AD31" s="829">
        <f>IFERROR(VLOOKUP($A31,'RP- Profit &amp; Loss 2018'!$A:$O,AD$1,FALSE),)</f>
        <v>0</v>
      </c>
      <c r="AE31" s="829">
        <f>IFERROR(VLOOKUP($A31,'RP- Profit &amp; Loss 2018'!$A:$O,AE$1,FALSE),)</f>
        <v>0</v>
      </c>
      <c r="AF31" s="829">
        <f>IFERROR(VLOOKUP($A31,'RP- Profit &amp; Loss 2018'!$A:$O,AF$1,FALSE),)</f>
        <v>0</v>
      </c>
      <c r="AG31" s="829">
        <f>IFERROR(VLOOKUP($A31,'RP- Profit &amp; Loss 2018'!$A:$O,AG$1,FALSE),)</f>
        <v>0</v>
      </c>
      <c r="AH31" s="829">
        <f>IFERROR(VLOOKUP($A31,'RP- Profit &amp; Loss 2018'!$A:$O,AH$1,FALSE),)</f>
        <v>0</v>
      </c>
      <c r="AI31" s="829">
        <f>IFERROR(VLOOKUP($A31,'RP- Profit &amp; Loss 2018'!$A:$O,AI$1,FALSE),)</f>
        <v>0</v>
      </c>
      <c r="AJ31" s="829">
        <f>IFERROR(VLOOKUP($A31,'RP- Profit &amp; Loss 2018'!$A:$O,AJ$1,FALSE),)</f>
        <v>0</v>
      </c>
      <c r="AK31" s="829">
        <f>IFERROR(VLOOKUP($A31,'RP- Profit &amp; Loss 2018'!$A:$O,AK$1,FALSE),)</f>
        <v>0</v>
      </c>
      <c r="AL31" s="829">
        <f>IFERROR(VLOOKUP($A31,'RP- Profit &amp; Loss 2018'!$A:$O,AL$1,FALSE),)</f>
        <v>0</v>
      </c>
      <c r="AM31" s="829">
        <f>IFERROR(VLOOKUP($A31,'RP- Profit &amp; Loss 2018'!$A:$O,AM$1,FALSE),)</f>
        <v>0</v>
      </c>
      <c r="AN31" s="827">
        <f>IFERROR(VLOOKUP($A31,'RP- Profit &amp; Loss 2018'!$A:$O,AN$1,FALSE),)</f>
        <v>0</v>
      </c>
      <c r="AP31" s="805"/>
      <c r="AQ31" s="805"/>
      <c r="AR31" s="805"/>
      <c r="AU31" s="805"/>
    </row>
    <row r="32" spans="1:47">
      <c r="A32" s="805" t="str">
        <f>'RP- Profit &amp; Loss 2016'!A48</f>
        <v>6-2271</v>
      </c>
      <c r="B32" s="805" t="str">
        <f>'RP- Profit &amp; Loss 2016'!B48</f>
        <v>REvSC - Lifts-Contract</v>
      </c>
      <c r="C32" s="830" t="str">
        <f>$B$171</f>
        <v xml:space="preserve">  R&amp;M Honeywell Contract</v>
      </c>
      <c r="D32" s="826">
        <f>'RP- Profit &amp; Loss 2016'!D48</f>
        <v>2152.17</v>
      </c>
      <c r="E32" s="828">
        <f t="shared" si="6"/>
        <v>2779.88625</v>
      </c>
      <c r="F32" s="828">
        <f>'RP- Profit &amp; Loss 2016'!E48</f>
        <v>2735.05</v>
      </c>
      <c r="G32" s="828">
        <f>'RP- Profit &amp; Loss 2016'!F48</f>
        <v>2735.06</v>
      </c>
      <c r="H32" s="828">
        <f>'RP- Profit &amp; Loss 2016'!G48</f>
        <v>0</v>
      </c>
      <c r="I32" s="828">
        <f>'RP- Profit &amp; Loss 2016'!H48</f>
        <v>0</v>
      </c>
      <c r="J32" s="828">
        <f>'RP- Profit &amp; Loss 2016'!I48</f>
        <v>0</v>
      </c>
      <c r="K32" s="828">
        <f>'RP- Profit &amp; Loss 2016'!J48</f>
        <v>0</v>
      </c>
      <c r="L32" s="828">
        <f>'RP- Profit &amp; Loss 2016'!K48</f>
        <v>0</v>
      </c>
      <c r="M32" s="828">
        <f>'RP- Profit &amp; Loss 2016'!L48</f>
        <v>0</v>
      </c>
      <c r="N32" s="827">
        <f>'RP- Profit &amp; Loss 2016'!M48</f>
        <v>7622.28</v>
      </c>
      <c r="O32" s="829">
        <f>IFERROR(VLOOKUP($A32,'RP- Profit &amp; Loss 2017'!$A:$O,O$1,FALSE),)</f>
        <v>0</v>
      </c>
      <c r="P32" s="829">
        <f>IFERROR(VLOOKUP($A32,'RP- Profit &amp; Loss 2017'!$A:$O,P$1,FALSE),)</f>
        <v>0</v>
      </c>
      <c r="Q32" s="829">
        <f>IFERROR(VLOOKUP($A32,'RP- Profit &amp; Loss 2017'!$A:$O,Q$1,FALSE),)</f>
        <v>0</v>
      </c>
      <c r="R32" s="829">
        <f>IFERROR(VLOOKUP($A32,'RP- Profit &amp; Loss 2017'!$A:$O,R$1,FALSE),)</f>
        <v>0</v>
      </c>
      <c r="S32" s="829">
        <f>IFERROR(VLOOKUP($A32,'RP- Profit &amp; Loss 2017'!$A:$O,S$1,FALSE),)</f>
        <v>0</v>
      </c>
      <c r="T32" s="829">
        <f>IFERROR(VLOOKUP($A32,'RP- Profit &amp; Loss 2017'!$A:$O,T$1,FALSE),)</f>
        <v>0</v>
      </c>
      <c r="U32" s="829">
        <f>IFERROR(VLOOKUP($A32,'RP- Profit &amp; Loss 2017'!$A:$O,U$1,FALSE),)</f>
        <v>0</v>
      </c>
      <c r="V32" s="829">
        <f>IFERROR(VLOOKUP($A32,'RP- Profit &amp; Loss 2017'!$A:$O,V$1,FALSE),)</f>
        <v>0</v>
      </c>
      <c r="W32" s="829">
        <f>IFERROR(VLOOKUP($A32,'RP- Profit &amp; Loss 2017'!$A:$O,W$1,FALSE),)</f>
        <v>0</v>
      </c>
      <c r="X32" s="829">
        <f>IFERROR(VLOOKUP($A32,'RP- Profit &amp; Loss 2017'!$A:$O,X$1,FALSE),)</f>
        <v>0</v>
      </c>
      <c r="Y32" s="829">
        <f>IFERROR(VLOOKUP($A32,'RP- Profit &amp; Loss 2017'!$A:$O,Y$1,FALSE),)</f>
        <v>0</v>
      </c>
      <c r="Z32" s="829">
        <f>IFERROR(VLOOKUP($A32,'RP- Profit &amp; Loss 2017'!$A:$O,Z$1,FALSE),)</f>
        <v>0</v>
      </c>
      <c r="AA32" s="827">
        <f>IFERROR(VLOOKUP($A32,'RP- Profit &amp; Loss 2017'!$A:$O,AA$1,FALSE),)</f>
        <v>0</v>
      </c>
      <c r="AB32" s="829">
        <f>IFERROR(VLOOKUP($A32,'RP- Profit &amp; Loss 2018'!$A:$O,AB$1,FALSE),)</f>
        <v>0</v>
      </c>
      <c r="AC32" s="829">
        <f>IFERROR(VLOOKUP($A32,'RP- Profit &amp; Loss 2018'!$A:$O,AC$1,FALSE),)</f>
        <v>0</v>
      </c>
      <c r="AD32" s="829">
        <f>IFERROR(VLOOKUP($A32,'RP- Profit &amp; Loss 2018'!$A:$O,AD$1,FALSE),)</f>
        <v>0</v>
      </c>
      <c r="AE32" s="829">
        <f>IFERROR(VLOOKUP($A32,'RP- Profit &amp; Loss 2018'!$A:$O,AE$1,FALSE),)</f>
        <v>0</v>
      </c>
      <c r="AF32" s="829">
        <f>IFERROR(VLOOKUP($A32,'RP- Profit &amp; Loss 2018'!$A:$O,AF$1,FALSE),)</f>
        <v>0</v>
      </c>
      <c r="AG32" s="829">
        <f>IFERROR(VLOOKUP($A32,'RP- Profit &amp; Loss 2018'!$A:$O,AG$1,FALSE),)</f>
        <v>0</v>
      </c>
      <c r="AH32" s="829">
        <f>IFERROR(VLOOKUP($A32,'RP- Profit &amp; Loss 2018'!$A:$O,AH$1,FALSE),)</f>
        <v>0</v>
      </c>
      <c r="AI32" s="829">
        <f>IFERROR(VLOOKUP($A32,'RP- Profit &amp; Loss 2018'!$A:$O,AI$1,FALSE),)</f>
        <v>0</v>
      </c>
      <c r="AJ32" s="829">
        <f>IFERROR(VLOOKUP($A32,'RP- Profit &amp; Loss 2018'!$A:$O,AJ$1,FALSE),)</f>
        <v>0</v>
      </c>
      <c r="AK32" s="829">
        <f>IFERROR(VLOOKUP($A32,'RP- Profit &amp; Loss 2018'!$A:$O,AK$1,FALSE),)</f>
        <v>0</v>
      </c>
      <c r="AL32" s="829">
        <f>IFERROR(VLOOKUP($A32,'RP- Profit &amp; Loss 2018'!$A:$O,AL$1,FALSE),)</f>
        <v>0</v>
      </c>
      <c r="AM32" s="829">
        <f>IFERROR(VLOOKUP($A32,'RP- Profit &amp; Loss 2018'!$A:$O,AM$1,FALSE),)</f>
        <v>0</v>
      </c>
      <c r="AN32" s="827">
        <f>IFERROR(VLOOKUP($A32,'RP- Profit &amp; Loss 2018'!$A:$O,AN$1,FALSE),)</f>
        <v>0</v>
      </c>
      <c r="AP32" s="805"/>
      <c r="AQ32" s="805"/>
      <c r="AR32" s="805"/>
      <c r="AU32" s="805"/>
    </row>
    <row r="33" spans="1:55">
      <c r="A33" s="805" t="str">
        <f>'RP- Profit &amp; Loss 2016'!A50</f>
        <v>6-2291</v>
      </c>
      <c r="B33" s="805" t="str">
        <f>'RP- Profit &amp; Loss 2016'!B50</f>
        <v>REvSC - R&amp;M-Automatic Doors</v>
      </c>
      <c r="C33" s="830" t="str">
        <f>$B$171</f>
        <v xml:space="preserve">  R&amp;M Honeywell Contract</v>
      </c>
      <c r="D33" s="826">
        <f>'RP- Profit &amp; Loss 2016'!D50</f>
        <v>78.260000000000005</v>
      </c>
      <c r="E33" s="828">
        <f t="shared" si="6"/>
        <v>101.08583333333334</v>
      </c>
      <c r="F33" s="828">
        <f>'RP- Profit &amp; Loss 2016'!E50</f>
        <v>99.46</v>
      </c>
      <c r="G33" s="828">
        <f>'RP- Profit &amp; Loss 2016'!F50</f>
        <v>99.45</v>
      </c>
      <c r="H33" s="828">
        <f>'RP- Profit &amp; Loss 2016'!G50</f>
        <v>0</v>
      </c>
      <c r="I33" s="828">
        <f>'RP- Profit &amp; Loss 2016'!H50</f>
        <v>0</v>
      </c>
      <c r="J33" s="828">
        <f>'RP- Profit &amp; Loss 2016'!I50</f>
        <v>0</v>
      </c>
      <c r="K33" s="828">
        <f>'RP- Profit &amp; Loss 2016'!J50</f>
        <v>0</v>
      </c>
      <c r="L33" s="828">
        <f>'RP- Profit &amp; Loss 2016'!K50</f>
        <v>0</v>
      </c>
      <c r="M33" s="828">
        <f>'RP- Profit &amp; Loss 2016'!L50</f>
        <v>0</v>
      </c>
      <c r="N33" s="827">
        <f>'RP- Profit &amp; Loss 2016'!M50</f>
        <v>277.17</v>
      </c>
      <c r="O33" s="829">
        <f>IFERROR(VLOOKUP($A33,'RP- Profit &amp; Loss 2017'!$A:$O,O$1,FALSE),)</f>
        <v>0</v>
      </c>
      <c r="P33" s="829">
        <f>IFERROR(VLOOKUP($A33,'RP- Profit &amp; Loss 2017'!$A:$O,P$1,FALSE),)</f>
        <v>0</v>
      </c>
      <c r="Q33" s="829">
        <f>IFERROR(VLOOKUP($A33,'RP- Profit &amp; Loss 2017'!$A:$O,Q$1,FALSE),)</f>
        <v>0</v>
      </c>
      <c r="R33" s="829">
        <f>IFERROR(VLOOKUP($A33,'RP- Profit &amp; Loss 2017'!$A:$O,R$1,FALSE),)</f>
        <v>0</v>
      </c>
      <c r="S33" s="829">
        <f>IFERROR(VLOOKUP($A33,'RP- Profit &amp; Loss 2017'!$A:$O,S$1,FALSE),)</f>
        <v>0</v>
      </c>
      <c r="T33" s="829">
        <f>IFERROR(VLOOKUP($A33,'RP- Profit &amp; Loss 2017'!$A:$O,T$1,FALSE),)</f>
        <v>0</v>
      </c>
      <c r="U33" s="829">
        <f>IFERROR(VLOOKUP($A33,'RP- Profit &amp; Loss 2017'!$A:$O,U$1,FALSE),)</f>
        <v>0</v>
      </c>
      <c r="V33" s="829">
        <f>IFERROR(VLOOKUP($A33,'RP- Profit &amp; Loss 2017'!$A:$O,V$1,FALSE),)</f>
        <v>0</v>
      </c>
      <c r="W33" s="829">
        <f>IFERROR(VLOOKUP($A33,'RP- Profit &amp; Loss 2017'!$A:$O,W$1,FALSE),)</f>
        <v>0</v>
      </c>
      <c r="X33" s="829">
        <f>IFERROR(VLOOKUP($A33,'RP- Profit &amp; Loss 2017'!$A:$O,X$1,FALSE),)</f>
        <v>0</v>
      </c>
      <c r="Y33" s="829">
        <f>IFERROR(VLOOKUP($A33,'RP- Profit &amp; Loss 2017'!$A:$O,Y$1,FALSE),)</f>
        <v>0</v>
      </c>
      <c r="Z33" s="829">
        <f>IFERROR(VLOOKUP($A33,'RP- Profit &amp; Loss 2017'!$A:$O,Z$1,FALSE),)</f>
        <v>0</v>
      </c>
      <c r="AA33" s="827">
        <f>IFERROR(VLOOKUP($A33,'RP- Profit &amp; Loss 2017'!$A:$O,AA$1,FALSE),)</f>
        <v>0</v>
      </c>
      <c r="AB33" s="829">
        <f>IFERROR(VLOOKUP($A33,'RP- Profit &amp; Loss 2018'!$A:$O,AB$1,FALSE),)</f>
        <v>0</v>
      </c>
      <c r="AC33" s="829">
        <f>IFERROR(VLOOKUP($A33,'RP- Profit &amp; Loss 2018'!$A:$O,AC$1,FALSE),)</f>
        <v>0</v>
      </c>
      <c r="AD33" s="829">
        <f>IFERROR(VLOOKUP($A33,'RP- Profit &amp; Loss 2018'!$A:$O,AD$1,FALSE),)</f>
        <v>0</v>
      </c>
      <c r="AE33" s="829">
        <f>IFERROR(VLOOKUP($A33,'RP- Profit &amp; Loss 2018'!$A:$O,AE$1,FALSE),)</f>
        <v>0</v>
      </c>
      <c r="AF33" s="829">
        <f>IFERROR(VLOOKUP($A33,'RP- Profit &amp; Loss 2018'!$A:$O,AF$1,FALSE),)</f>
        <v>0</v>
      </c>
      <c r="AG33" s="829">
        <f>IFERROR(VLOOKUP($A33,'RP- Profit &amp; Loss 2018'!$A:$O,AG$1,FALSE),)</f>
        <v>0</v>
      </c>
      <c r="AH33" s="829">
        <f>IFERROR(VLOOKUP($A33,'RP- Profit &amp; Loss 2018'!$A:$O,AH$1,FALSE),)</f>
        <v>0</v>
      </c>
      <c r="AI33" s="829">
        <f>IFERROR(VLOOKUP($A33,'RP- Profit &amp; Loss 2018'!$A:$O,AI$1,FALSE),)</f>
        <v>0</v>
      </c>
      <c r="AJ33" s="829">
        <f>IFERROR(VLOOKUP($A33,'RP- Profit &amp; Loss 2018'!$A:$O,AJ$1,FALSE),)</f>
        <v>0</v>
      </c>
      <c r="AK33" s="829">
        <f>IFERROR(VLOOKUP($A33,'RP- Profit &amp; Loss 2018'!$A:$O,AK$1,FALSE),)</f>
        <v>0</v>
      </c>
      <c r="AL33" s="829">
        <f>IFERROR(VLOOKUP($A33,'RP- Profit &amp; Loss 2018'!$A:$O,AL$1,FALSE),)</f>
        <v>0</v>
      </c>
      <c r="AM33" s="829">
        <f>IFERROR(VLOOKUP($A33,'RP- Profit &amp; Loss 2018'!$A:$O,AM$1,FALSE),)</f>
        <v>0</v>
      </c>
      <c r="AN33" s="827">
        <f>IFERROR(VLOOKUP($A33,'RP- Profit &amp; Loss 2018'!$A:$O,AN$1,FALSE),)</f>
        <v>0</v>
      </c>
      <c r="AP33" s="805"/>
      <c r="AQ33" s="805"/>
      <c r="AR33" s="805"/>
      <c r="AU33" s="805"/>
    </row>
    <row r="34" spans="1:55">
      <c r="A34" s="805" t="str">
        <f>'RP- Profit &amp; Loss 2016'!A51</f>
        <v>6-2303</v>
      </c>
      <c r="B34" s="805" t="str">
        <f>'RP- Profit &amp; Loss 2016'!B51</f>
        <v>REvSC - R&amp;M-General</v>
      </c>
      <c r="C34" s="830" t="str">
        <f>$B$171</f>
        <v xml:space="preserve">  R&amp;M Honeywell Contract</v>
      </c>
      <c r="D34" s="826">
        <f>'RP- Profit &amp; Loss 2016'!D51</f>
        <v>41432.82</v>
      </c>
      <c r="E34" s="828">
        <f t="shared" si="6"/>
        <v>53517.392500000002</v>
      </c>
      <c r="F34" s="828">
        <f>'RP- Profit &amp; Loss 2016'!E51</f>
        <v>47806.42</v>
      </c>
      <c r="G34" s="828">
        <f>'RP- Profit &amp; Loss 2016'!F51</f>
        <v>39839.24</v>
      </c>
      <c r="H34" s="828">
        <f>'RP- Profit &amp; Loss 2016'!G51</f>
        <v>57299.46</v>
      </c>
      <c r="I34" s="828">
        <f>'RP- Profit &amp; Loss 2016'!H51</f>
        <v>49400.67</v>
      </c>
      <c r="J34" s="828">
        <f>'RP- Profit &amp; Loss 2016'!I51</f>
        <v>49400.67</v>
      </c>
      <c r="K34" s="828">
        <f>'RP- Profit &amp; Loss 2016'!J51</f>
        <v>51063.99</v>
      </c>
      <c r="L34" s="828">
        <f>'RP- Profit &amp; Loss 2016'!K51</f>
        <v>49400.67</v>
      </c>
      <c r="M34" s="828">
        <f>'RP- Profit &amp; Loss 2016'!L51</f>
        <v>49400.65</v>
      </c>
      <c r="N34" s="827">
        <f>'RP- Profit &amp; Loss 2016'!M51</f>
        <v>435044.59</v>
      </c>
      <c r="O34" s="829">
        <f>IFERROR(VLOOKUP($A34,'RP- Profit &amp; Loss 2017'!$A:$O,O$1,FALSE),)</f>
        <v>50882.67</v>
      </c>
      <c r="P34" s="829">
        <f>IFERROR(VLOOKUP($A34,'RP- Profit &amp; Loss 2017'!$A:$O,P$1,FALSE),)</f>
        <v>50883.11</v>
      </c>
      <c r="Q34" s="829">
        <f>IFERROR(VLOOKUP($A34,'RP- Profit &amp; Loss 2017'!$A:$O,Q$1,FALSE),)</f>
        <v>50883</v>
      </c>
      <c r="R34" s="829">
        <f>IFERROR(VLOOKUP($A34,'RP- Profit &amp; Loss 2017'!$A:$O,R$1,FALSE),)</f>
        <v>50883.13</v>
      </c>
      <c r="S34" s="829">
        <f>IFERROR(VLOOKUP($A34,'RP- Profit &amp; Loss 2017'!$A:$O,S$1,FALSE),)</f>
        <v>50882.75</v>
      </c>
      <c r="T34" s="829">
        <f>IFERROR(VLOOKUP($A34,'RP- Profit &amp; Loss 2017'!$A:$O,T$1,FALSE),)</f>
        <v>50882.77</v>
      </c>
      <c r="U34" s="829">
        <f>IFERROR(VLOOKUP($A34,'RP- Profit &amp; Loss 2017'!$A:$O,U$1,FALSE),)</f>
        <v>50882.75</v>
      </c>
      <c r="V34" s="829">
        <f>IFERROR(VLOOKUP($A34,'RP- Profit &amp; Loss 2017'!$A:$O,V$1,FALSE),)</f>
        <v>46148.75</v>
      </c>
      <c r="W34" s="829">
        <f>IFERROR(VLOOKUP($A34,'RP- Profit &amp; Loss 2017'!$A:$O,W$1,FALSE),)</f>
        <v>50882.75</v>
      </c>
      <c r="X34" s="829">
        <f>IFERROR(VLOOKUP($A34,'RP- Profit &amp; Loss 2017'!$A:$O,X$1,FALSE),)</f>
        <v>50882.75</v>
      </c>
      <c r="Y34" s="829">
        <f>IFERROR(VLOOKUP($A34,'RP- Profit &amp; Loss 2017'!$A:$O,Y$1,FALSE),)</f>
        <v>50882.75</v>
      </c>
      <c r="Z34" s="829">
        <f>IFERROR(VLOOKUP($A34,'RP- Profit &amp; Loss 2017'!$A:$O,Z$1,FALSE),)</f>
        <v>50882.75</v>
      </c>
      <c r="AA34" s="827">
        <f>IFERROR(VLOOKUP($A34,'RP- Profit &amp; Loss 2017'!$A:$O,AA$1,FALSE),)</f>
        <v>605859.93000000005</v>
      </c>
      <c r="AB34" s="829">
        <f>IFERROR(VLOOKUP($A34,'RP- Profit &amp; Loss 2018'!$A:$O,AB$1,FALSE),)</f>
        <v>50882.74</v>
      </c>
      <c r="AC34" s="829">
        <f>IFERROR(VLOOKUP($A34,'RP- Profit &amp; Loss 2018'!$A:$O,AC$1,FALSE),)</f>
        <v>50882.75</v>
      </c>
      <c r="AD34" s="829">
        <f>IFERROR(VLOOKUP($A34,'RP- Profit &amp; Loss 2018'!$A:$O,AD$1,FALSE),)</f>
        <v>50882.76</v>
      </c>
      <c r="AE34" s="829">
        <f>IFERROR(VLOOKUP($A34,'RP- Profit &amp; Loss 2018'!$A:$O,AE$1,FALSE),)</f>
        <v>52113.72</v>
      </c>
      <c r="AF34" s="829">
        <f>IFERROR(VLOOKUP($A34,'RP- Profit &amp; Loss 2018'!$A:$O,AF$1,FALSE),)</f>
        <v>52409.18</v>
      </c>
      <c r="AG34" s="829">
        <f>IFERROR(VLOOKUP($A34,'RP- Profit &amp; Loss 2018'!$A:$O,AG$1,FALSE),)</f>
        <v>52409.17</v>
      </c>
      <c r="AH34" s="829">
        <f>IFERROR(VLOOKUP($A34,'RP- Profit &amp; Loss 2018'!$A:$O,AH$1,FALSE),)</f>
        <v>52409.17</v>
      </c>
      <c r="AI34" s="829">
        <f>IFERROR(VLOOKUP($A34,'RP- Profit &amp; Loss 2018'!$A:$O,AI$1,FALSE),)</f>
        <v>52409.17</v>
      </c>
      <c r="AJ34" s="829">
        <f>IFERROR(VLOOKUP($A34,'RP- Profit &amp; Loss 2018'!$A:$O,AJ$1,FALSE),)</f>
        <v>52409.17</v>
      </c>
      <c r="AK34" s="829">
        <f>IFERROR(VLOOKUP($A34,'RP- Profit &amp; Loss 2018'!$A:$O,AK$1,FALSE),)</f>
        <v>52409.17</v>
      </c>
      <c r="AL34" s="829">
        <f>IFERROR(VLOOKUP($A34,'RP- Profit &amp; Loss 2018'!$A:$O,AL$1,FALSE),)</f>
        <v>52409.17</v>
      </c>
      <c r="AM34" s="829">
        <f>IFERROR(VLOOKUP($A34,'RP- Profit &amp; Loss 2018'!$A:$O,AM$1,FALSE),)</f>
        <v>52409.14</v>
      </c>
      <c r="AN34" s="827">
        <f>IFERROR(VLOOKUP($A34,'RP- Profit &amp; Loss 2018'!$A:$O,AN$1,FALSE),)</f>
        <v>624035.31000000006</v>
      </c>
      <c r="AP34" s="805"/>
      <c r="AQ34" s="805"/>
      <c r="AR34" s="805"/>
      <c r="AU34" s="805"/>
    </row>
    <row r="35" spans="1:55">
      <c r="A35" s="805" t="str">
        <f>'RP- Profit &amp; Loss 2016'!A52</f>
        <v>6-2345</v>
      </c>
      <c r="B35" s="805" t="str">
        <f>'RP- Profit &amp; Loss 2016'!B52</f>
        <v>REvSC - R&amp;M - Adjustment</v>
      </c>
      <c r="C35" s="830" t="str">
        <f>$B$171</f>
        <v xml:space="preserve">  R&amp;M Honeywell Contract</v>
      </c>
      <c r="D35" s="826">
        <f>'RP- Profit &amp; Loss 2016'!D52</f>
        <v>0</v>
      </c>
      <c r="E35" s="828">
        <f t="shared" si="6"/>
        <v>0</v>
      </c>
      <c r="F35" s="828">
        <f>'RP- Profit &amp; Loss 2016'!E52</f>
        <v>0</v>
      </c>
      <c r="G35" s="828">
        <f>'RP- Profit &amp; Loss 2016'!F52</f>
        <v>1662.65</v>
      </c>
      <c r="H35" s="828">
        <f>'RP- Profit &amp; Loss 2016'!G52</f>
        <v>0</v>
      </c>
      <c r="I35" s="828">
        <f>'RP- Profit &amp; Loss 2016'!H52</f>
        <v>0</v>
      </c>
      <c r="J35" s="828">
        <f>'RP- Profit &amp; Loss 2016'!I52</f>
        <v>0</v>
      </c>
      <c r="K35" s="828">
        <f>'RP- Profit &amp; Loss 2016'!J52</f>
        <v>-1662.65</v>
      </c>
      <c r="L35" s="828">
        <f>'RP- Profit &amp; Loss 2016'!K52</f>
        <v>0</v>
      </c>
      <c r="M35" s="828">
        <f>'RP- Profit &amp; Loss 2016'!L52</f>
        <v>0</v>
      </c>
      <c r="N35" s="827">
        <f>'RP- Profit &amp; Loss 2016'!M52</f>
        <v>0</v>
      </c>
      <c r="O35" s="829">
        <f>IFERROR(VLOOKUP($A35,'RP- Profit &amp; Loss 2017'!$A:$O,O$1,FALSE),)</f>
        <v>0</v>
      </c>
      <c r="P35" s="829">
        <f>IFERROR(VLOOKUP($A35,'RP- Profit &amp; Loss 2017'!$A:$O,P$1,FALSE),)</f>
        <v>0</v>
      </c>
      <c r="Q35" s="829">
        <f>IFERROR(VLOOKUP($A35,'RP- Profit &amp; Loss 2017'!$A:$O,Q$1,FALSE),)</f>
        <v>0</v>
      </c>
      <c r="R35" s="829">
        <f>IFERROR(VLOOKUP($A35,'RP- Profit &amp; Loss 2017'!$A:$O,R$1,FALSE),)</f>
        <v>0</v>
      </c>
      <c r="S35" s="829">
        <f>IFERROR(VLOOKUP($A35,'RP- Profit &amp; Loss 2017'!$A:$O,S$1,FALSE),)</f>
        <v>0</v>
      </c>
      <c r="T35" s="829">
        <f>IFERROR(VLOOKUP($A35,'RP- Profit &amp; Loss 2017'!$A:$O,T$1,FALSE),)</f>
        <v>0</v>
      </c>
      <c r="U35" s="829">
        <f>IFERROR(VLOOKUP($A35,'RP- Profit &amp; Loss 2017'!$A:$O,U$1,FALSE),)</f>
        <v>0</v>
      </c>
      <c r="V35" s="829">
        <f>IFERROR(VLOOKUP($A35,'RP- Profit &amp; Loss 2017'!$A:$O,V$1,FALSE),)</f>
        <v>0</v>
      </c>
      <c r="W35" s="829">
        <f>IFERROR(VLOOKUP($A35,'RP- Profit &amp; Loss 2017'!$A:$O,W$1,FALSE),)</f>
        <v>0</v>
      </c>
      <c r="X35" s="829">
        <f>IFERROR(VLOOKUP($A35,'RP- Profit &amp; Loss 2017'!$A:$O,X$1,FALSE),)</f>
        <v>0</v>
      </c>
      <c r="Y35" s="829">
        <f>IFERROR(VLOOKUP($A35,'RP- Profit &amp; Loss 2017'!$A:$O,Y$1,FALSE),)</f>
        <v>0</v>
      </c>
      <c r="Z35" s="829">
        <f>IFERROR(VLOOKUP($A35,'RP- Profit &amp; Loss 2017'!$A:$O,Z$1,FALSE),)</f>
        <v>0</v>
      </c>
      <c r="AA35" s="827">
        <f>IFERROR(VLOOKUP($A35,'RP- Profit &amp; Loss 2017'!$A:$O,AA$1,FALSE),)</f>
        <v>0</v>
      </c>
      <c r="AB35" s="829">
        <f>IFERROR(VLOOKUP($A35,'RP- Profit &amp; Loss 2018'!$A:$O,AB$1,FALSE),)</f>
        <v>0</v>
      </c>
      <c r="AC35" s="829">
        <f>IFERROR(VLOOKUP($A35,'RP- Profit &amp; Loss 2018'!$A:$O,AC$1,FALSE),)</f>
        <v>0</v>
      </c>
      <c r="AD35" s="829">
        <f>IFERROR(VLOOKUP($A35,'RP- Profit &amp; Loss 2018'!$A:$O,AD$1,FALSE),)</f>
        <v>0</v>
      </c>
      <c r="AE35" s="829">
        <f>IFERROR(VLOOKUP($A35,'RP- Profit &amp; Loss 2018'!$A:$O,AE$1,FALSE),)</f>
        <v>0</v>
      </c>
      <c r="AF35" s="829">
        <f>IFERROR(VLOOKUP($A35,'RP- Profit &amp; Loss 2018'!$A:$O,AF$1,FALSE),)</f>
        <v>0</v>
      </c>
      <c r="AG35" s="829">
        <f>IFERROR(VLOOKUP($A35,'RP- Profit &amp; Loss 2018'!$A:$O,AG$1,FALSE),)</f>
        <v>0</v>
      </c>
      <c r="AH35" s="829">
        <f>IFERROR(VLOOKUP($A35,'RP- Profit &amp; Loss 2018'!$A:$O,AH$1,FALSE),)</f>
        <v>0</v>
      </c>
      <c r="AI35" s="829">
        <f>IFERROR(VLOOKUP($A35,'RP- Profit &amp; Loss 2018'!$A:$O,AI$1,FALSE),)</f>
        <v>0</v>
      </c>
      <c r="AJ35" s="829">
        <f>IFERROR(VLOOKUP($A35,'RP- Profit &amp; Loss 2018'!$A:$O,AJ$1,FALSE),)</f>
        <v>0</v>
      </c>
      <c r="AK35" s="829">
        <f>IFERROR(VLOOKUP($A35,'RP- Profit &amp; Loss 2018'!$A:$O,AK$1,FALSE),)</f>
        <v>0</v>
      </c>
      <c r="AL35" s="829">
        <f>IFERROR(VLOOKUP($A35,'RP- Profit &amp; Loss 2018'!$A:$O,AL$1,FALSE),)</f>
        <v>0</v>
      </c>
      <c r="AM35" s="829">
        <f>IFERROR(VLOOKUP($A35,'RP- Profit &amp; Loss 2018'!$A:$O,AM$1,FALSE),)</f>
        <v>0</v>
      </c>
      <c r="AN35" s="827">
        <f>IFERROR(VLOOKUP($A35,'RP- Profit &amp; Loss 2018'!$A:$O,AN$1,FALSE),)</f>
        <v>0</v>
      </c>
      <c r="AP35" s="805"/>
      <c r="AQ35" s="805"/>
      <c r="AR35" s="805"/>
      <c r="AU35" s="805"/>
    </row>
    <row r="36" spans="1:55">
      <c r="A36" s="805" t="str">
        <f>'RP- Profit &amp; Loss 2016'!A54</f>
        <v>6-2571</v>
      </c>
      <c r="B36" s="805" t="str">
        <f>'RP- Profit &amp; Loss 2016'!B54</f>
        <v>REvSC - Strata-Admin Fund Levy</v>
      </c>
      <c r="C36" s="830" t="str">
        <f>+B176</f>
        <v xml:space="preserve">    Stata Admin Fund Levy</v>
      </c>
      <c r="D36" s="826">
        <f>'RP- Profit &amp; Loss 2016'!D54</f>
        <v>105.99</v>
      </c>
      <c r="E36" s="828">
        <f t="shared" si="6"/>
        <v>136.90375</v>
      </c>
      <c r="F36" s="828">
        <f>'RP- Profit &amp; Loss 2016'!E54</f>
        <v>105.99</v>
      </c>
      <c r="G36" s="828">
        <f>'RP- Profit &amp; Loss 2016'!F54</f>
        <v>105.99</v>
      </c>
      <c r="H36" s="828">
        <f>'RP- Profit &amp; Loss 2016'!G54</f>
        <v>105.97</v>
      </c>
      <c r="I36" s="828">
        <f>'RP- Profit &amp; Loss 2016'!H54</f>
        <v>122.39</v>
      </c>
      <c r="J36" s="828">
        <f>'RP- Profit &amp; Loss 2016'!I54</f>
        <v>1116.17</v>
      </c>
      <c r="K36" s="828">
        <f>'RP- Profit &amp; Loss 2016'!J54</f>
        <v>-155.71</v>
      </c>
      <c r="L36" s="828">
        <f>'RP- Profit &amp; Loss 2016'!K54</f>
        <v>269.56</v>
      </c>
      <c r="M36" s="828">
        <f>'RP- Profit &amp; Loss 2016'!L54</f>
        <v>275.57</v>
      </c>
      <c r="N36" s="827">
        <f>'RP- Profit &amp; Loss 2016'!M54</f>
        <v>2051.92</v>
      </c>
      <c r="O36" s="829">
        <f>IFERROR(VLOOKUP($A36,'RP- Profit &amp; Loss 2017'!$A:$O,O$1,FALSE),)</f>
        <v>275.58</v>
      </c>
      <c r="P36" s="829">
        <f>IFERROR(VLOOKUP($A36,'RP- Profit &amp; Loss 2017'!$A:$O,P$1,FALSE),)</f>
        <v>275.58</v>
      </c>
      <c r="Q36" s="829">
        <f>IFERROR(VLOOKUP($A36,'RP- Profit &amp; Loss 2017'!$A:$O,Q$1,FALSE),)</f>
        <v>275.58</v>
      </c>
      <c r="R36" s="829">
        <f>IFERROR(VLOOKUP($A36,'RP- Profit &amp; Loss 2017'!$A:$O,R$1,FALSE),)</f>
        <v>-1377.89</v>
      </c>
      <c r="S36" s="829">
        <f>IFERROR(VLOOKUP($A36,'RP- Profit &amp; Loss 2017'!$A:$O,S$1,FALSE),)</f>
        <v>1942.59</v>
      </c>
      <c r="T36" s="829">
        <f>IFERROR(VLOOKUP($A36,'RP- Profit &amp; Loss 2017'!$A:$O,T$1,FALSE),)</f>
        <v>280.10000000000002</v>
      </c>
      <c r="U36" s="829">
        <f>IFERROR(VLOOKUP($A36,'RP- Profit &amp; Loss 2017'!$A:$O,U$1,FALSE),)</f>
        <v>277.02</v>
      </c>
      <c r="V36" s="829">
        <f>IFERROR(VLOOKUP($A36,'RP- Profit &amp; Loss 2017'!$A:$O,V$1,FALSE),)</f>
        <v>277.14999999999998</v>
      </c>
      <c r="W36" s="829">
        <f>IFERROR(VLOOKUP($A36,'RP- Profit &amp; Loss 2017'!$A:$O,W$1,FALSE),)</f>
        <v>277.08</v>
      </c>
      <c r="X36" s="829">
        <f>IFERROR(VLOOKUP($A36,'RP- Profit &amp; Loss 2017'!$A:$O,X$1,FALSE),)</f>
        <v>277.08</v>
      </c>
      <c r="Y36" s="829">
        <f>IFERROR(VLOOKUP($A36,'RP- Profit &amp; Loss 2017'!$A:$O,Y$1,FALSE),)</f>
        <v>277.08999999999997</v>
      </c>
      <c r="Z36" s="829">
        <f>IFERROR(VLOOKUP($A36,'RP- Profit &amp; Loss 2017'!$A:$O,Z$1,FALSE),)</f>
        <v>277.08</v>
      </c>
      <c r="AA36" s="827">
        <f>IFERROR(VLOOKUP($A36,'RP- Profit &amp; Loss 2017'!$A:$O,AA$1,FALSE),)</f>
        <v>3334.04</v>
      </c>
      <c r="AB36" s="829">
        <f>IFERROR(VLOOKUP($A36,'RP- Profit &amp; Loss 2018'!$A:$O,AB$1,FALSE),)</f>
        <v>277.08</v>
      </c>
      <c r="AC36" s="829">
        <f>IFERROR(VLOOKUP($A36,'RP- Profit &amp; Loss 2018'!$A:$O,AC$1,FALSE),)</f>
        <v>277.08999999999997</v>
      </c>
      <c r="AD36" s="829">
        <f>IFERROR(VLOOKUP($A36,'RP- Profit &amp; Loss 2018'!$A:$O,AD$1,FALSE),)</f>
        <v>277.88</v>
      </c>
      <c r="AE36" s="829">
        <f>IFERROR(VLOOKUP($A36,'RP- Profit &amp; Loss 2018'!$A:$O,AE$1,FALSE),)</f>
        <v>281.19</v>
      </c>
      <c r="AF36" s="829">
        <f>IFERROR(VLOOKUP($A36,'RP- Profit &amp; Loss 2018'!$A:$O,AF$1,FALSE),)</f>
        <v>281.19</v>
      </c>
      <c r="AG36" s="829">
        <f>IFERROR(VLOOKUP($A36,'RP- Profit &amp; Loss 2018'!$A:$O,AG$1,FALSE),)</f>
        <v>281.19</v>
      </c>
      <c r="AH36" s="829">
        <f>IFERROR(VLOOKUP($A36,'RP- Profit &amp; Loss 2018'!$A:$O,AH$1,FALSE),)</f>
        <v>284.18</v>
      </c>
      <c r="AI36" s="829">
        <f>IFERROR(VLOOKUP($A36,'RP- Profit &amp; Loss 2018'!$A:$O,AI$1,FALSE),)</f>
        <v>281.93</v>
      </c>
      <c r="AJ36" s="829">
        <f>IFERROR(VLOOKUP($A36,'RP- Profit &amp; Loss 2018'!$A:$O,AJ$1,FALSE),)</f>
        <v>272.88</v>
      </c>
      <c r="AK36" s="829">
        <f>IFERROR(VLOOKUP($A36,'RP- Profit &amp; Loss 2018'!$A:$O,AK$1,FALSE),)</f>
        <v>277.33999999999997</v>
      </c>
      <c r="AL36" s="829">
        <f>IFERROR(VLOOKUP($A36,'RP- Profit &amp; Loss 2018'!$A:$O,AL$1,FALSE),)</f>
        <v>-709.02</v>
      </c>
      <c r="AM36" s="829">
        <f>IFERROR(VLOOKUP($A36,'RP- Profit &amp; Loss 2018'!$A:$O,AM$1,FALSE),)</f>
        <v>112.02</v>
      </c>
      <c r="AN36" s="827">
        <f>IFERROR(VLOOKUP($A36,'RP- Profit &amp; Loss 2018'!$A:$O,AN$1,FALSE),)</f>
        <v>2194.9499999999998</v>
      </c>
      <c r="AP36" s="805"/>
      <c r="AQ36" s="805"/>
      <c r="AR36" s="805"/>
      <c r="AU36" s="805"/>
    </row>
    <row r="37" spans="1:55">
      <c r="A37" s="805" t="str">
        <f>'RP- Profit &amp; Loss 2016'!A56</f>
        <v>6-2581</v>
      </c>
      <c r="B37" s="805" t="str">
        <f>'RP- Profit &amp; Loss 2016'!B56</f>
        <v>REvSC - Management Fee</v>
      </c>
      <c r="C37" s="830" t="str">
        <f>B175</f>
        <v xml:space="preserve">    Property Management</v>
      </c>
      <c r="D37" s="826">
        <f>'RP- Profit &amp; Loss 2016'!D56</f>
        <v>0</v>
      </c>
      <c r="E37" s="828">
        <f t="shared" si="6"/>
        <v>0</v>
      </c>
      <c r="F37" s="828">
        <f>'RP- Profit &amp; Loss 2016'!E56</f>
        <v>5544.35</v>
      </c>
      <c r="G37" s="828">
        <f>'RP- Profit &amp; Loss 2016'!F56</f>
        <v>3124.99</v>
      </c>
      <c r="H37" s="828">
        <f>'RP- Profit &amp; Loss 2016'!G56</f>
        <v>3125</v>
      </c>
      <c r="I37" s="828">
        <f>'RP- Profit &amp; Loss 2016'!H56</f>
        <v>3125</v>
      </c>
      <c r="J37" s="828">
        <f>'RP- Profit &amp; Loss 2016'!I56</f>
        <v>3125</v>
      </c>
      <c r="K37" s="828">
        <f>'RP- Profit &amp; Loss 2016'!J56</f>
        <v>3125</v>
      </c>
      <c r="L37" s="828">
        <f>'RP- Profit &amp; Loss 2016'!K56</f>
        <v>3125</v>
      </c>
      <c r="M37" s="828">
        <f>'RP- Profit &amp; Loss 2016'!L56</f>
        <v>3125</v>
      </c>
      <c r="N37" s="827">
        <f>'RP- Profit &amp; Loss 2016'!M56</f>
        <v>27419.34</v>
      </c>
      <c r="O37" s="829">
        <f>IFERROR(VLOOKUP($A37,'RP- Profit &amp; Loss 2017'!$A:$O,O$1,FALSE),)</f>
        <v>3125</v>
      </c>
      <c r="P37" s="829">
        <f>IFERROR(VLOOKUP($A37,'RP- Profit &amp; Loss 2017'!$A:$O,P$1,FALSE),)</f>
        <v>3125</v>
      </c>
      <c r="Q37" s="829">
        <f>IFERROR(VLOOKUP($A37,'RP- Profit &amp; Loss 2017'!$A:$O,Q$1,FALSE),)</f>
        <v>3125</v>
      </c>
      <c r="R37" s="829">
        <f>IFERROR(VLOOKUP($A37,'RP- Profit &amp; Loss 2017'!$A:$O,R$1,FALSE),)</f>
        <v>3216.73</v>
      </c>
      <c r="S37" s="829">
        <f>IFERROR(VLOOKUP($A37,'RP- Profit &amp; Loss 2017'!$A:$O,S$1,FALSE),)</f>
        <v>3234.38</v>
      </c>
      <c r="T37" s="829">
        <f>IFERROR(VLOOKUP($A37,'RP- Profit &amp; Loss 2017'!$A:$O,T$1,FALSE),)</f>
        <v>3234.38</v>
      </c>
      <c r="U37" s="829">
        <f>IFERROR(VLOOKUP($A37,'RP- Profit &amp; Loss 2017'!$A:$O,U$1,FALSE),)</f>
        <v>3234.38</v>
      </c>
      <c r="V37" s="829">
        <f>IFERROR(VLOOKUP($A37,'RP- Profit &amp; Loss 2017'!$A:$O,V$1,FALSE),)</f>
        <v>3234.35</v>
      </c>
      <c r="W37" s="829">
        <f>IFERROR(VLOOKUP($A37,'RP- Profit &amp; Loss 2017'!$A:$O,W$1,FALSE),)</f>
        <v>3234.37</v>
      </c>
      <c r="X37" s="829">
        <f>IFERROR(VLOOKUP($A37,'RP- Profit &amp; Loss 2017'!$A:$O,X$1,FALSE),)</f>
        <v>3234.36</v>
      </c>
      <c r="Y37" s="829">
        <f>IFERROR(VLOOKUP($A37,'RP- Profit &amp; Loss 2017'!$A:$O,Y$1,FALSE),)</f>
        <v>3234.37</v>
      </c>
      <c r="Z37" s="829">
        <f>IFERROR(VLOOKUP($A37,'RP- Profit &amp; Loss 2017'!$A:$O,Z$1,FALSE),)</f>
        <v>3234.37</v>
      </c>
      <c r="AA37" s="827">
        <f>IFERROR(VLOOKUP($A37,'RP- Profit &amp; Loss 2017'!$A:$O,AA$1,FALSE),)</f>
        <v>38466.69</v>
      </c>
      <c r="AB37" s="829">
        <f>IFERROR(VLOOKUP($A37,'RP- Profit &amp; Loss 2018'!$A:$O,AB$1,FALSE),)</f>
        <v>3234</v>
      </c>
      <c r="AC37" s="829">
        <f>IFERROR(VLOOKUP($A37,'RP- Profit &amp; Loss 2018'!$A:$O,AC$1,FALSE),)</f>
        <v>3234</v>
      </c>
      <c r="AD37" s="829">
        <f>IFERROR(VLOOKUP($A37,'RP- Profit &amp; Loss 2018'!$A:$O,AD$1,FALSE),)</f>
        <v>3234.74</v>
      </c>
      <c r="AE37" s="829">
        <f>IFERROR(VLOOKUP($A37,'RP- Profit &amp; Loss 2018'!$A:$O,AE$1,FALSE),)</f>
        <v>3329.32</v>
      </c>
      <c r="AF37" s="829">
        <f>IFERROR(VLOOKUP($A37,'RP- Profit &amp; Loss 2018'!$A:$O,AF$1,FALSE),)</f>
        <v>3347.96</v>
      </c>
      <c r="AG37" s="829">
        <f>IFERROR(VLOOKUP($A37,'RP- Profit &amp; Loss 2018'!$A:$O,AG$1,FALSE),)</f>
        <v>3233.98</v>
      </c>
      <c r="AH37" s="829">
        <f>IFERROR(VLOOKUP($A37,'RP- Profit &amp; Loss 2018'!$A:$O,AH$1,FALSE),)</f>
        <v>3461.15</v>
      </c>
      <c r="AI37" s="829">
        <f>IFERROR(VLOOKUP($A37,'RP- Profit &amp; Loss 2018'!$A:$O,AI$1,FALSE),)</f>
        <v>3347.56</v>
      </c>
      <c r="AJ37" s="829">
        <f>IFERROR(VLOOKUP($A37,'RP- Profit &amp; Loss 2018'!$A:$O,AJ$1,FALSE),)</f>
        <v>3347.57</v>
      </c>
      <c r="AK37" s="829">
        <f>IFERROR(VLOOKUP($A37,'RP- Profit &amp; Loss 2018'!$A:$O,AK$1,FALSE),)</f>
        <v>3347.57</v>
      </c>
      <c r="AL37" s="829">
        <f>IFERROR(VLOOKUP($A37,'RP- Profit &amp; Loss 2018'!$A:$O,AL$1,FALSE),)</f>
        <v>3347.57</v>
      </c>
      <c r="AM37" s="829">
        <f>IFERROR(VLOOKUP($A37,'RP- Profit &amp; Loss 2018'!$A:$O,AM$1,FALSE),)</f>
        <v>3347.57</v>
      </c>
      <c r="AN37" s="827">
        <f>IFERROR(VLOOKUP($A37,'RP- Profit &amp; Loss 2018'!$A:$O,AN$1,FALSE),)</f>
        <v>39812.99</v>
      </c>
      <c r="AP37" s="805"/>
      <c r="AQ37" s="805"/>
      <c r="AR37" s="805"/>
      <c r="AU37" s="805"/>
    </row>
    <row r="38" spans="1:55">
      <c r="A38" s="805" t="str">
        <f>'RP- Profit &amp; Loss 2016'!A59</f>
        <v>6-3509</v>
      </c>
      <c r="B38" s="805" t="str">
        <f>'RP- Profit &amp; Loss 2016'!B59</f>
        <v>NRE - Misc-Consultant Fees</v>
      </c>
      <c r="C38" s="830" t="str">
        <f>+B180</f>
        <v xml:space="preserve">  Non Recov Misc Consultants</v>
      </c>
      <c r="D38" s="826">
        <f>'RP- Profit &amp; Loss 2016'!D59</f>
        <v>0</v>
      </c>
      <c r="E38" s="828">
        <f t="shared" si="6"/>
        <v>0</v>
      </c>
      <c r="F38" s="828">
        <f>'RP- Profit &amp; Loss 2016'!E59</f>
        <v>0</v>
      </c>
      <c r="G38" s="828">
        <f>'RP- Profit &amp; Loss 2016'!F59</f>
        <v>0</v>
      </c>
      <c r="H38" s="828">
        <f>'RP- Profit &amp; Loss 2016'!G59</f>
        <v>0</v>
      </c>
      <c r="I38" s="828">
        <f>'RP- Profit &amp; Loss 2016'!H59</f>
        <v>0</v>
      </c>
      <c r="J38" s="828">
        <f>'RP- Profit &amp; Loss 2016'!I59</f>
        <v>0</v>
      </c>
      <c r="K38" s="828">
        <f>'RP- Profit &amp; Loss 2016'!J59</f>
        <v>777.5</v>
      </c>
      <c r="L38" s="828">
        <f>'RP- Profit &amp; Loss 2016'!K59</f>
        <v>0</v>
      </c>
      <c r="M38" s="828">
        <f>'RP- Profit &amp; Loss 2016'!L59</f>
        <v>1166.26</v>
      </c>
      <c r="N38" s="827">
        <f>'RP- Profit &amp; Loss 2016'!M59</f>
        <v>1943.76</v>
      </c>
      <c r="O38" s="829">
        <f>IFERROR(VLOOKUP($A38,'RP- Profit &amp; Loss 2017'!$A:$O,O$1,FALSE),)</f>
        <v>833.33</v>
      </c>
      <c r="P38" s="829">
        <f>IFERROR(VLOOKUP($A38,'RP- Profit &amp; Loss 2017'!$A:$O,P$1,FALSE),)</f>
        <v>-444.24</v>
      </c>
      <c r="Q38" s="829">
        <f>IFERROR(VLOOKUP($A38,'RP- Profit &amp; Loss 2017'!$A:$O,Q$1,FALSE),)</f>
        <v>194.44</v>
      </c>
      <c r="R38" s="829">
        <f>IFERROR(VLOOKUP($A38,'RP- Profit &amp; Loss 2017'!$A:$O,R$1,FALSE),)</f>
        <v>194.44</v>
      </c>
      <c r="S38" s="829">
        <f>IFERROR(VLOOKUP($A38,'RP- Profit &amp; Loss 2017'!$A:$O,S$1,FALSE),)</f>
        <v>194.45</v>
      </c>
      <c r="T38" s="829">
        <f>IFERROR(VLOOKUP($A38,'RP- Profit &amp; Loss 2017'!$A:$O,T$1,FALSE),)</f>
        <v>194.44</v>
      </c>
      <c r="U38" s="829">
        <f>IFERROR(VLOOKUP($A38,'RP- Profit &amp; Loss 2017'!$A:$O,U$1,FALSE),)</f>
        <v>194.44</v>
      </c>
      <c r="V38" s="829">
        <f>IFERROR(VLOOKUP($A38,'RP- Profit &amp; Loss 2017'!$A:$O,V$1,FALSE),)</f>
        <v>189.45</v>
      </c>
      <c r="W38" s="829">
        <f>IFERROR(VLOOKUP($A38,'RP- Profit &amp; Loss 2017'!$A:$O,W$1,FALSE),)</f>
        <v>-2133.88</v>
      </c>
      <c r="X38" s="829">
        <f>IFERROR(VLOOKUP($A38,'RP- Profit &amp; Loss 2017'!$A:$O,X$1,FALSE),)</f>
        <v>750</v>
      </c>
      <c r="Y38" s="829">
        <f>IFERROR(VLOOKUP($A38,'RP- Profit &amp; Loss 2017'!$A:$O,Y$1,FALSE),)</f>
        <v>0</v>
      </c>
      <c r="Z38" s="829">
        <f>IFERROR(VLOOKUP($A38,'RP- Profit &amp; Loss 2017'!$A:$O,Z$1,FALSE),)</f>
        <v>4500</v>
      </c>
      <c r="AA38" s="827">
        <f>IFERROR(VLOOKUP($A38,'RP- Profit &amp; Loss 2017'!$A:$O,AA$1,FALSE),)</f>
        <v>4666.87</v>
      </c>
      <c r="AB38" s="829">
        <f>IFERROR(VLOOKUP($A38,'RP- Profit &amp; Loss 2018'!$A:$O,AB$1,FALSE),)</f>
        <v>375</v>
      </c>
      <c r="AC38" s="829">
        <f>IFERROR(VLOOKUP($A38,'RP- Profit &amp; Loss 2018'!$A:$O,AC$1,FALSE),)</f>
        <v>375</v>
      </c>
      <c r="AD38" s="829">
        <f>IFERROR(VLOOKUP($A38,'RP- Profit &amp; Loss 2018'!$A:$O,AD$1,FALSE),)</f>
        <v>375</v>
      </c>
      <c r="AE38" s="829">
        <f>IFERROR(VLOOKUP($A38,'RP- Profit &amp; Loss 2018'!$A:$O,AE$1,FALSE),)</f>
        <v>375</v>
      </c>
      <c r="AF38" s="829">
        <f>IFERROR(VLOOKUP($A38,'RP- Profit &amp; Loss 2018'!$A:$O,AF$1,FALSE),)</f>
        <v>375</v>
      </c>
      <c r="AG38" s="829">
        <f>IFERROR(VLOOKUP($A38,'RP- Profit &amp; Loss 2018'!$A:$O,AG$1,FALSE),)</f>
        <v>751.8</v>
      </c>
      <c r="AH38" s="829">
        <f>IFERROR(VLOOKUP($A38,'RP- Profit &amp; Loss 2018'!$A:$O,AH$1,FALSE),)</f>
        <v>-2000</v>
      </c>
      <c r="AI38" s="829">
        <f>IFERROR(VLOOKUP($A38,'RP- Profit &amp; Loss 2018'!$A:$O,AI$1,FALSE),)</f>
        <v>17750</v>
      </c>
      <c r="AJ38" s="829">
        <f>IFERROR(VLOOKUP($A38,'RP- Profit &amp; Loss 2018'!$A:$O,AJ$1,FALSE),)</f>
        <v>252.05</v>
      </c>
      <c r="AK38" s="829">
        <f>IFERROR(VLOOKUP($A38,'RP- Profit &amp; Loss 2018'!$A:$O,AK$1,FALSE),)</f>
        <v>1746.58</v>
      </c>
      <c r="AL38" s="829">
        <f>IFERROR(VLOOKUP($A38,'RP- Profit &amp; Loss 2018'!$A:$O,AL$1,FALSE),)</f>
        <v>254.79</v>
      </c>
      <c r="AM38" s="829">
        <f>IFERROR(VLOOKUP($A38,'RP- Profit &amp; Loss 2018'!$A:$O,AM$1,FALSE),)</f>
        <v>246.58</v>
      </c>
      <c r="AN38" s="827">
        <f>IFERROR(VLOOKUP($A38,'RP- Profit &amp; Loss 2018'!$A:$O,AN$1,FALSE),)</f>
        <v>20876.8</v>
      </c>
      <c r="AP38" s="805"/>
      <c r="AQ38" s="805"/>
      <c r="AR38" s="805"/>
      <c r="AU38" s="805"/>
    </row>
    <row r="39" spans="1:55">
      <c r="A39" s="805"/>
      <c r="B39" s="837" t="s">
        <v>677</v>
      </c>
      <c r="C39" s="830" t="str">
        <f>+B182</f>
        <v xml:space="preserve">  Non-Rec Out - Letting Expense</v>
      </c>
      <c r="D39" s="826"/>
      <c r="E39" s="828">
        <f t="shared" si="6"/>
        <v>0</v>
      </c>
      <c r="F39" s="828"/>
      <c r="G39" s="828"/>
      <c r="H39" s="828"/>
      <c r="I39" s="828"/>
      <c r="J39" s="828"/>
      <c r="K39" s="828"/>
      <c r="L39" s="828"/>
      <c r="M39" s="828"/>
      <c r="N39" s="827"/>
      <c r="O39" s="829"/>
      <c r="P39" s="829"/>
      <c r="Q39" s="829"/>
      <c r="R39" s="829"/>
      <c r="S39" s="829"/>
      <c r="T39" s="829"/>
      <c r="U39" s="829"/>
      <c r="V39" s="829"/>
      <c r="W39" s="829"/>
      <c r="X39" s="829"/>
      <c r="Y39" s="829"/>
      <c r="Z39" s="829"/>
      <c r="AA39" s="827"/>
      <c r="AB39" s="829"/>
      <c r="AC39" s="829"/>
      <c r="AD39" s="829"/>
      <c r="AE39" s="829"/>
      <c r="AF39" s="829"/>
      <c r="AG39" s="829"/>
      <c r="AH39" s="829"/>
      <c r="AI39" s="829"/>
      <c r="AJ39" s="829"/>
      <c r="AK39" s="829"/>
      <c r="AL39" s="829"/>
      <c r="AM39" s="829"/>
      <c r="AN39" s="827"/>
      <c r="AP39" s="805"/>
      <c r="AQ39" s="805"/>
      <c r="AR39" s="805"/>
      <c r="AU39" s="805"/>
    </row>
    <row r="40" spans="1:55">
      <c r="B40" s="818" t="s">
        <v>678</v>
      </c>
      <c r="C40" s="830"/>
      <c r="D40" s="820">
        <f>D7-D17</f>
        <v>283063.48000000004</v>
      </c>
      <c r="E40" s="821">
        <f t="shared" si="6"/>
        <v>365623.66166666674</v>
      </c>
      <c r="F40" s="821">
        <f t="shared" ref="F40:AN40" si="9">F7-F17</f>
        <v>356094.87</v>
      </c>
      <c r="G40" s="821">
        <f t="shared" si="9"/>
        <v>371684.04000000004</v>
      </c>
      <c r="H40" s="821">
        <f t="shared" si="9"/>
        <v>384943.38</v>
      </c>
      <c r="I40" s="821">
        <f t="shared" si="9"/>
        <v>336482.46</v>
      </c>
      <c r="J40" s="821">
        <f t="shared" si="9"/>
        <v>378213.87</v>
      </c>
      <c r="K40" s="821">
        <f t="shared" si="9"/>
        <v>365184.72000000003</v>
      </c>
      <c r="L40" s="821">
        <f t="shared" si="9"/>
        <v>364579.19</v>
      </c>
      <c r="M40" s="821">
        <f t="shared" si="9"/>
        <v>368266.85000000003</v>
      </c>
      <c r="N40" s="822">
        <f t="shared" si="9"/>
        <v>3208512.8600000003</v>
      </c>
      <c r="O40" s="823">
        <f t="shared" si="9"/>
        <v>366323.61</v>
      </c>
      <c r="P40" s="823">
        <f t="shared" si="9"/>
        <v>367749.72000000003</v>
      </c>
      <c r="Q40" s="823">
        <f t="shared" si="9"/>
        <v>367052.93</v>
      </c>
      <c r="R40" s="823">
        <f t="shared" si="9"/>
        <v>382760.72000000003</v>
      </c>
      <c r="S40" s="823">
        <f t="shared" si="9"/>
        <v>381881.95</v>
      </c>
      <c r="T40" s="823">
        <f t="shared" si="9"/>
        <v>381929.97</v>
      </c>
      <c r="U40" s="823">
        <f t="shared" si="9"/>
        <v>381902.29</v>
      </c>
      <c r="V40" s="823">
        <f t="shared" si="9"/>
        <v>386817.8</v>
      </c>
      <c r="W40" s="823">
        <f t="shared" si="9"/>
        <v>384716.55</v>
      </c>
      <c r="X40" s="823">
        <f t="shared" si="9"/>
        <v>380079.13</v>
      </c>
      <c r="Y40" s="823">
        <f t="shared" si="9"/>
        <v>377149.33999999997</v>
      </c>
      <c r="Z40" s="823">
        <f t="shared" si="9"/>
        <v>384488.1</v>
      </c>
      <c r="AA40" s="822">
        <f t="shared" si="9"/>
        <v>4542852.1099999994</v>
      </c>
      <c r="AB40" s="823">
        <f t="shared" si="9"/>
        <v>381251.87999999995</v>
      </c>
      <c r="AC40" s="823">
        <f t="shared" si="9"/>
        <v>382593.16999999993</v>
      </c>
      <c r="AD40" s="823">
        <f t="shared" si="9"/>
        <v>384643.35</v>
      </c>
      <c r="AE40" s="823">
        <f t="shared" si="9"/>
        <v>396336.11000000004</v>
      </c>
      <c r="AF40" s="823">
        <f t="shared" si="9"/>
        <v>393970.17000000004</v>
      </c>
      <c r="AG40" s="823">
        <f t="shared" si="9"/>
        <v>394089.86</v>
      </c>
      <c r="AH40" s="823">
        <f t="shared" si="9"/>
        <v>403628.62000000005</v>
      </c>
      <c r="AI40" s="823">
        <f t="shared" si="9"/>
        <v>372671.76000000007</v>
      </c>
      <c r="AJ40" s="823">
        <f t="shared" si="9"/>
        <v>395733.36000000004</v>
      </c>
      <c r="AK40" s="823">
        <f t="shared" si="9"/>
        <v>394532.24000000005</v>
      </c>
      <c r="AL40" s="823">
        <f t="shared" si="9"/>
        <v>396712.09000000008</v>
      </c>
      <c r="AM40" s="823">
        <f t="shared" si="9"/>
        <v>395473.11</v>
      </c>
      <c r="AN40" s="822">
        <f t="shared" si="9"/>
        <v>4691635.7200000007</v>
      </c>
      <c r="AP40" s="805"/>
      <c r="AQ40" s="805"/>
      <c r="AR40" s="805"/>
      <c r="AU40" s="805"/>
    </row>
    <row r="41" spans="1:55">
      <c r="B41" s="818" t="s">
        <v>679</v>
      </c>
      <c r="C41" s="830"/>
      <c r="D41" s="820">
        <f>SUM(D42:D51)</f>
        <v>29574.510000000002</v>
      </c>
      <c r="E41" s="821">
        <f t="shared" si="6"/>
        <v>38200.408750000002</v>
      </c>
      <c r="F41" s="821">
        <f t="shared" ref="F41:AN41" si="10">SUM(F42:F51)</f>
        <v>20244.380000000005</v>
      </c>
      <c r="G41" s="821">
        <f t="shared" si="10"/>
        <v>24472.47</v>
      </c>
      <c r="H41" s="821">
        <f t="shared" si="10"/>
        <v>32173.790000000008</v>
      </c>
      <c r="I41" s="821">
        <f t="shared" si="10"/>
        <v>23258.04</v>
      </c>
      <c r="J41" s="821">
        <f t="shared" si="10"/>
        <v>24076.77</v>
      </c>
      <c r="K41" s="821">
        <f t="shared" si="10"/>
        <v>23245.439999999995</v>
      </c>
      <c r="L41" s="821">
        <f t="shared" si="10"/>
        <v>23777.269999999997</v>
      </c>
      <c r="M41" s="821">
        <f t="shared" si="10"/>
        <v>21403.59</v>
      </c>
      <c r="N41" s="822">
        <f t="shared" si="10"/>
        <v>222226.26</v>
      </c>
      <c r="O41" s="823">
        <f t="shared" si="10"/>
        <v>22703.550000000003</v>
      </c>
      <c r="P41" s="823">
        <f t="shared" si="10"/>
        <v>22624.67</v>
      </c>
      <c r="Q41" s="823">
        <f t="shared" si="10"/>
        <v>22635.7</v>
      </c>
      <c r="R41" s="823">
        <f t="shared" si="10"/>
        <v>22761.160000000003</v>
      </c>
      <c r="S41" s="823">
        <f t="shared" si="10"/>
        <v>22900.99</v>
      </c>
      <c r="T41" s="823">
        <f t="shared" si="10"/>
        <v>22636.080000000002</v>
      </c>
      <c r="U41" s="823">
        <f t="shared" si="10"/>
        <v>57937.329999999994</v>
      </c>
      <c r="V41" s="823">
        <f t="shared" si="10"/>
        <v>39960.979999999996</v>
      </c>
      <c r="W41" s="823">
        <f t="shared" si="10"/>
        <v>22413.47</v>
      </c>
      <c r="X41" s="823">
        <f t="shared" si="10"/>
        <v>23583.42</v>
      </c>
      <c r="Y41" s="823">
        <f t="shared" si="10"/>
        <v>24399.34</v>
      </c>
      <c r="Z41" s="823">
        <f t="shared" si="10"/>
        <v>24378.71</v>
      </c>
      <c r="AA41" s="822">
        <f t="shared" si="10"/>
        <v>328935.40000000002</v>
      </c>
      <c r="AB41" s="823">
        <f t="shared" si="10"/>
        <v>22958.43</v>
      </c>
      <c r="AC41" s="823">
        <f t="shared" si="10"/>
        <v>23252.25</v>
      </c>
      <c r="AD41" s="823">
        <f t="shared" si="10"/>
        <v>22944.07</v>
      </c>
      <c r="AE41" s="823">
        <f t="shared" si="10"/>
        <v>23786.260000000002</v>
      </c>
      <c r="AF41" s="823">
        <f t="shared" si="10"/>
        <v>22942.89</v>
      </c>
      <c r="AG41" s="823">
        <f t="shared" si="10"/>
        <v>23961.410000000003</v>
      </c>
      <c r="AH41" s="823">
        <f t="shared" si="10"/>
        <v>23295.54</v>
      </c>
      <c r="AI41" s="823">
        <f t="shared" si="10"/>
        <v>23394.09</v>
      </c>
      <c r="AJ41" s="823">
        <f t="shared" si="10"/>
        <v>23255.61</v>
      </c>
      <c r="AK41" s="823">
        <f t="shared" si="10"/>
        <v>23133.3</v>
      </c>
      <c r="AL41" s="823">
        <f t="shared" si="10"/>
        <v>23132.37</v>
      </c>
      <c r="AM41" s="823">
        <f t="shared" si="10"/>
        <v>29632.62</v>
      </c>
      <c r="AN41" s="822">
        <f t="shared" si="10"/>
        <v>285688.84000000008</v>
      </c>
      <c r="AP41" s="805"/>
      <c r="AQ41" s="805"/>
      <c r="AR41" s="805"/>
      <c r="AU41" s="805"/>
    </row>
    <row r="42" spans="1:55">
      <c r="A42" s="805" t="str">
        <f>'RP- Profit &amp; Loss 2016'!A61</f>
        <v>6-5003</v>
      </c>
      <c r="B42" s="805" t="str">
        <f>'RP- Profit &amp; Loss 2016'!B61</f>
        <v>Investment Mgt Fee</v>
      </c>
      <c r="C42" s="830"/>
      <c r="D42" s="826">
        <f>'RP- Profit &amp; Loss 2016'!D61</f>
        <v>11792.07</v>
      </c>
      <c r="E42" s="828">
        <f t="shared" si="6"/>
        <v>15231.42375</v>
      </c>
      <c r="F42" s="828">
        <f>'RP- Profit &amp; Loss 2016'!E61</f>
        <v>14622.17</v>
      </c>
      <c r="G42" s="828">
        <f>'RP- Profit &amp; Loss 2016'!F61</f>
        <v>14622.17</v>
      </c>
      <c r="H42" s="828">
        <f>'RP- Profit &amp; Loss 2016'!G61</f>
        <v>14622.17</v>
      </c>
      <c r="I42" s="828">
        <f>'RP- Profit &amp; Loss 2016'!H61</f>
        <v>14622.17</v>
      </c>
      <c r="J42" s="828">
        <f>'RP- Profit &amp; Loss 2016'!I61</f>
        <v>14622.17</v>
      </c>
      <c r="K42" s="828">
        <f>'RP- Profit &amp; Loss 2016'!J61</f>
        <v>14622.16</v>
      </c>
      <c r="L42" s="828">
        <f>'RP- Profit &amp; Loss 2016'!K61</f>
        <v>14622.17</v>
      </c>
      <c r="M42" s="828">
        <f>'RP- Profit &amp; Loss 2016'!L61</f>
        <v>14622.18</v>
      </c>
      <c r="N42" s="827">
        <f>'RP- Profit &amp; Loss 2016'!M61</f>
        <v>128769.43</v>
      </c>
      <c r="O42" s="829">
        <f>IFERROR(VLOOKUP($A42,'RP- Profit &amp; Loss 2017'!$A:$O,O$1,FALSE),)</f>
        <v>14622.17</v>
      </c>
      <c r="P42" s="829">
        <f>IFERROR(VLOOKUP($A42,'RP- Profit &amp; Loss 2017'!$A:$O,P$1,FALSE),)</f>
        <v>14622.17</v>
      </c>
      <c r="Q42" s="829">
        <f>IFERROR(VLOOKUP($A42,'RP- Profit &amp; Loss 2017'!$A:$O,Q$1,FALSE),)</f>
        <v>14622.17</v>
      </c>
      <c r="R42" s="829">
        <f>IFERROR(VLOOKUP($A42,'RP- Profit &amp; Loss 2017'!$A:$O,R$1,FALSE),)</f>
        <v>14622.17</v>
      </c>
      <c r="S42" s="829">
        <f>IFERROR(VLOOKUP($A42,'RP- Profit &amp; Loss 2017'!$A:$O,S$1,FALSE),)</f>
        <v>14622.17</v>
      </c>
      <c r="T42" s="829">
        <f>IFERROR(VLOOKUP($A42,'RP- Profit &amp; Loss 2017'!$A:$O,T$1,FALSE),)</f>
        <v>14622.17</v>
      </c>
      <c r="U42" s="829">
        <f>IFERROR(VLOOKUP($A42,'RP- Profit &amp; Loss 2017'!$A:$O,U$1,FALSE),)</f>
        <v>14622.17</v>
      </c>
      <c r="V42" s="829">
        <f>IFERROR(VLOOKUP($A42,'RP- Profit &amp; Loss 2017'!$A:$O,V$1,FALSE),)</f>
        <v>14622.17</v>
      </c>
      <c r="W42" s="829">
        <f>IFERROR(VLOOKUP($A42,'RP- Profit &amp; Loss 2017'!$A:$O,W$1,FALSE),)</f>
        <v>14622.17</v>
      </c>
      <c r="X42" s="829">
        <f>IFERROR(VLOOKUP($A42,'RP- Profit &amp; Loss 2017'!$A:$O,X$1,FALSE),)</f>
        <v>14622.17</v>
      </c>
      <c r="Y42" s="829">
        <f>IFERROR(VLOOKUP($A42,'RP- Profit &amp; Loss 2017'!$A:$O,Y$1,FALSE),)</f>
        <v>14622.17</v>
      </c>
      <c r="Z42" s="829">
        <f>IFERROR(VLOOKUP($A42,'RP- Profit &amp; Loss 2017'!$A:$O,Z$1,FALSE),)</f>
        <v>14622.17</v>
      </c>
      <c r="AA42" s="827">
        <f>IFERROR(VLOOKUP($A42,'RP- Profit &amp; Loss 2017'!$A:$O,AA$1,FALSE),)</f>
        <v>175466.04</v>
      </c>
      <c r="AB42" s="829">
        <f>IFERROR(VLOOKUP($A42,'RP- Profit &amp; Loss 2018'!$A:$O,AB$1,FALSE),)</f>
        <v>14622.17</v>
      </c>
      <c r="AC42" s="829">
        <f>IFERROR(VLOOKUP($A42,'RP- Profit &amp; Loss 2018'!$A:$O,AC$1,FALSE),)</f>
        <v>14622.17</v>
      </c>
      <c r="AD42" s="829">
        <f>IFERROR(VLOOKUP($A42,'RP- Profit &amp; Loss 2018'!$A:$O,AD$1,FALSE),)</f>
        <v>14622.17</v>
      </c>
      <c r="AE42" s="829">
        <f>IFERROR(VLOOKUP($A42,'RP- Profit &amp; Loss 2018'!$A:$O,AE$1,FALSE),)</f>
        <v>14622.17</v>
      </c>
      <c r="AF42" s="829">
        <f>IFERROR(VLOOKUP($A42,'RP- Profit &amp; Loss 2018'!$A:$O,AF$1,FALSE),)</f>
        <v>14622.17</v>
      </c>
      <c r="AG42" s="829">
        <f>IFERROR(VLOOKUP($A42,'RP- Profit &amp; Loss 2018'!$A:$O,AG$1,FALSE),)</f>
        <v>14622.17</v>
      </c>
      <c r="AH42" s="829">
        <f>IFERROR(VLOOKUP($A42,'RP- Profit &amp; Loss 2018'!$A:$O,AH$1,FALSE),)</f>
        <v>14622.17</v>
      </c>
      <c r="AI42" s="829">
        <f>IFERROR(VLOOKUP($A42,'RP- Profit &amp; Loss 2018'!$A:$O,AI$1,FALSE),)</f>
        <v>14622.17</v>
      </c>
      <c r="AJ42" s="829">
        <f>IFERROR(VLOOKUP($A42,'RP- Profit &amp; Loss 2018'!$A:$O,AJ$1,FALSE),)</f>
        <v>14622.17</v>
      </c>
      <c r="AK42" s="829">
        <f>IFERROR(VLOOKUP($A42,'RP- Profit &amp; Loss 2018'!$A:$O,AK$1,FALSE),)</f>
        <v>14622.17</v>
      </c>
      <c r="AL42" s="829">
        <f>IFERROR(VLOOKUP($A42,'RP- Profit &amp; Loss 2018'!$A:$O,AL$1,FALSE),)</f>
        <v>14622.17</v>
      </c>
      <c r="AM42" s="829">
        <f>IFERROR(VLOOKUP($A42,'RP- Profit &amp; Loss 2018'!$A:$O,AM$1,FALSE),)</f>
        <v>14622.17</v>
      </c>
      <c r="AN42" s="827">
        <f>IFERROR(VLOOKUP($A42,'RP- Profit &amp; Loss 2018'!$A:$O,AN$1,FALSE),)</f>
        <v>175466.04</v>
      </c>
      <c r="AP42" s="805"/>
      <c r="AQ42" s="805"/>
      <c r="AR42" s="805"/>
      <c r="AU42" s="805"/>
    </row>
    <row r="43" spans="1:55">
      <c r="A43" s="805" t="str">
        <f>'RP- Profit &amp; Loss 2016'!A62</f>
        <v>6-5004</v>
      </c>
      <c r="B43" s="805" t="str">
        <f>'RP- Profit &amp; Loss 2016'!B62</f>
        <v>Accounting Fee</v>
      </c>
      <c r="C43" s="830"/>
      <c r="D43" s="826">
        <f>'RP- Profit &amp; Loss 2016'!D62</f>
        <v>5216.67</v>
      </c>
      <c r="E43" s="828">
        <f t="shared" si="6"/>
        <v>6738.1987500000005</v>
      </c>
      <c r="F43" s="828">
        <f>'RP- Profit &amp; Loss 2016'!E62</f>
        <v>2966.67</v>
      </c>
      <c r="G43" s="828">
        <f>'RP- Profit &amp; Loss 2016'!F62</f>
        <v>4416.67</v>
      </c>
      <c r="H43" s="828">
        <f>'RP- Profit &amp; Loss 2016'!G62</f>
        <v>3264.66</v>
      </c>
      <c r="I43" s="828">
        <f>'RP- Profit &amp; Loss 2016'!H62</f>
        <v>3144.67</v>
      </c>
      <c r="J43" s="828">
        <f>'RP- Profit &amp; Loss 2016'!I62</f>
        <v>3992.67</v>
      </c>
      <c r="K43" s="828">
        <f>'RP- Profit &amp; Loss 2016'!J62</f>
        <v>3162.33</v>
      </c>
      <c r="L43" s="828">
        <f>'RP- Profit &amp; Loss 2016'!K62</f>
        <v>3692.33</v>
      </c>
      <c r="M43" s="828">
        <f>'RP- Profit &amp; Loss 2016'!L62</f>
        <v>3427.33</v>
      </c>
      <c r="N43" s="827">
        <f>'RP- Profit &amp; Loss 2016'!M62</f>
        <v>33284</v>
      </c>
      <c r="O43" s="829">
        <f>IFERROR(VLOOKUP($A43,'RP- Profit &amp; Loss 2017'!$A:$O,O$1,FALSE),)</f>
        <v>3162.33</v>
      </c>
      <c r="P43" s="829">
        <f>IFERROR(VLOOKUP($A43,'RP- Profit &amp; Loss 2017'!$A:$O,P$1,FALSE),)</f>
        <v>3338.99</v>
      </c>
      <c r="Q43" s="829">
        <f>IFERROR(VLOOKUP($A43,'RP- Profit &amp; Loss 2017'!$A:$O,Q$1,FALSE),)</f>
        <v>3250.67</v>
      </c>
      <c r="R43" s="829">
        <f>IFERROR(VLOOKUP($A43,'RP- Profit &amp; Loss 2017'!$A:$O,R$1,FALSE),)</f>
        <v>2985.67</v>
      </c>
      <c r="S43" s="829">
        <f>IFERROR(VLOOKUP($A43,'RP- Profit &amp; Loss 2017'!$A:$O,S$1,FALSE),)</f>
        <v>3515.67</v>
      </c>
      <c r="T43" s="829">
        <f>IFERROR(VLOOKUP($A43,'RP- Profit &amp; Loss 2017'!$A:$O,T$1,FALSE),)</f>
        <v>3250.67</v>
      </c>
      <c r="U43" s="829">
        <f>IFERROR(VLOOKUP($A43,'RP- Profit &amp; Loss 2017'!$A:$O,U$1,FALSE),)</f>
        <v>3339</v>
      </c>
      <c r="V43" s="829">
        <f>IFERROR(VLOOKUP($A43,'RP- Profit &amp; Loss 2017'!$A:$O,V$1,FALSE),)</f>
        <v>3909.98</v>
      </c>
      <c r="W43" s="829">
        <f>IFERROR(VLOOKUP($A43,'RP- Profit &amp; Loss 2017'!$A:$O,W$1,FALSE),)</f>
        <v>2829.5</v>
      </c>
      <c r="X43" s="829">
        <f>IFERROR(VLOOKUP($A43,'RP- Profit &amp; Loss 2017'!$A:$O,X$1,FALSE),)</f>
        <v>3339</v>
      </c>
      <c r="Y43" s="829">
        <f>IFERROR(VLOOKUP($A43,'RP- Profit &amp; Loss 2017'!$A:$O,Y$1,FALSE),)</f>
        <v>3379.99</v>
      </c>
      <c r="Z43" s="829">
        <f>IFERROR(VLOOKUP($A43,'RP- Profit &amp; Loss 2017'!$A:$O,Z$1,FALSE),)</f>
        <v>3359.49</v>
      </c>
      <c r="AA43" s="827">
        <f>IFERROR(VLOOKUP($A43,'RP- Profit &amp; Loss 2017'!$A:$O,AA$1,FALSE),)</f>
        <v>39660.959999999999</v>
      </c>
      <c r="AB43" s="829">
        <f>IFERROR(VLOOKUP($A43,'RP- Profit &amp; Loss 2018'!$A:$O,AB$1,FALSE),)</f>
        <v>3359.49</v>
      </c>
      <c r="AC43" s="829">
        <f>IFERROR(VLOOKUP($A43,'RP- Profit &amp; Loss 2018'!$A:$O,AC$1,FALSE),)</f>
        <v>3656.29</v>
      </c>
      <c r="AD43" s="829">
        <f>IFERROR(VLOOKUP($A43,'RP- Profit &amp; Loss 2018'!$A:$O,AD$1,FALSE),)</f>
        <v>3380.69</v>
      </c>
      <c r="AE43" s="829">
        <f>IFERROR(VLOOKUP($A43,'RP- Profit &amp; Loss 2018'!$A:$O,AE$1,FALSE),)</f>
        <v>4281.6899999999996</v>
      </c>
      <c r="AF43" s="829">
        <f>IFERROR(VLOOKUP($A43,'RP- Profit &amp; Loss 2018'!$A:$O,AF$1,FALSE),)</f>
        <v>3380.7</v>
      </c>
      <c r="AG43" s="829">
        <f>IFERROR(VLOOKUP($A43,'RP- Profit &amp; Loss 2018'!$A:$O,AG$1,FALSE),)</f>
        <v>3380.69</v>
      </c>
      <c r="AH43" s="829">
        <f>IFERROR(VLOOKUP($A43,'RP- Profit &amp; Loss 2018'!$A:$O,AH$1,FALSE),)</f>
        <v>3581.12</v>
      </c>
      <c r="AI43" s="829">
        <f>IFERROR(VLOOKUP($A43,'RP- Profit &amp; Loss 2018'!$A:$O,AI$1,FALSE),)</f>
        <v>3482.02</v>
      </c>
      <c r="AJ43" s="829">
        <f>IFERROR(VLOOKUP($A43,'RP- Profit &amp; Loss 2018'!$A:$O,AJ$1,FALSE),)</f>
        <v>3482.01</v>
      </c>
      <c r="AK43" s="829">
        <f>IFERROR(VLOOKUP($A43,'RP- Profit &amp; Loss 2018'!$A:$O,AK$1,FALSE),)</f>
        <v>3482.01</v>
      </c>
      <c r="AL43" s="829">
        <f>IFERROR(VLOOKUP($A43,'RP- Profit &amp; Loss 2018'!$A:$O,AL$1,FALSE),)</f>
        <v>3482.01</v>
      </c>
      <c r="AM43" s="829">
        <f>IFERROR(VLOOKUP($A43,'RP- Profit &amp; Loss 2018'!$A:$O,AM$1,FALSE),)</f>
        <v>3482.01</v>
      </c>
      <c r="AN43" s="827">
        <f>IFERROR(VLOOKUP($A43,'RP- Profit &amp; Loss 2018'!$A:$O,AN$1,FALSE),)</f>
        <v>42430.73</v>
      </c>
      <c r="AP43" s="805"/>
      <c r="AQ43" s="805"/>
      <c r="AR43" s="805"/>
      <c r="AU43" s="805"/>
    </row>
    <row r="44" spans="1:55">
      <c r="A44" s="805" t="str">
        <f>'RP- Profit &amp; Loss 2016'!A63</f>
        <v>6-5006</v>
      </c>
      <c r="B44" s="805" t="str">
        <f>'RP- Profit &amp; Loss 2016'!B63</f>
        <v>Bank charges</v>
      </c>
      <c r="C44" s="830"/>
      <c r="D44" s="826">
        <f>'RP- Profit &amp; Loss 2016'!D63</f>
        <v>-0.19</v>
      </c>
      <c r="E44" s="828">
        <f t="shared" si="6"/>
        <v>-0.2454166666666667</v>
      </c>
      <c r="F44" s="828">
        <f>'RP- Profit &amp; Loss 2016'!E63</f>
        <v>0</v>
      </c>
      <c r="G44" s="828">
        <f>'RP- Profit &amp; Loss 2016'!F63</f>
        <v>0.3</v>
      </c>
      <c r="H44" s="828">
        <f>'RP- Profit &amp; Loss 2016'!G63</f>
        <v>652.54</v>
      </c>
      <c r="I44" s="828">
        <f>'RP- Profit &amp; Loss 2016'!H63</f>
        <v>31.87</v>
      </c>
      <c r="J44" s="828">
        <f>'RP- Profit &amp; Loss 2016'!I63</f>
        <v>2.6</v>
      </c>
      <c r="K44" s="828">
        <f>'RP- Profit &amp; Loss 2016'!J63</f>
        <v>1.6</v>
      </c>
      <c r="L44" s="828">
        <f>'RP- Profit &amp; Loss 2016'!K63</f>
        <v>3.44</v>
      </c>
      <c r="M44" s="828">
        <f>'RP- Profit &amp; Loss 2016'!L63</f>
        <v>2.27</v>
      </c>
      <c r="N44" s="827">
        <f>'RP- Profit &amp; Loss 2016'!M63</f>
        <v>694.43</v>
      </c>
      <c r="O44" s="829">
        <f>IFERROR(VLOOKUP($A44,'RP- Profit &amp; Loss 2017'!$A:$O,O$1,FALSE),)</f>
        <v>43.06</v>
      </c>
      <c r="P44" s="829">
        <f>IFERROR(VLOOKUP($A44,'RP- Profit &amp; Loss 2017'!$A:$O,P$1,FALSE),)</f>
        <v>17.170000000000002</v>
      </c>
      <c r="Q44" s="829">
        <f>IFERROR(VLOOKUP($A44,'RP- Profit &amp; Loss 2017'!$A:$O,Q$1,FALSE),)</f>
        <v>1.69</v>
      </c>
      <c r="R44" s="829">
        <f>IFERROR(VLOOKUP($A44,'RP- Profit &amp; Loss 2017'!$A:$O,R$1,FALSE),)</f>
        <v>2.16</v>
      </c>
      <c r="S44" s="829">
        <f>IFERROR(VLOOKUP($A44,'RP- Profit &amp; Loss 2017'!$A:$O,S$1,FALSE),)</f>
        <v>1.98</v>
      </c>
      <c r="T44" s="829">
        <f>IFERROR(VLOOKUP($A44,'RP- Profit &amp; Loss 2017'!$A:$O,T$1,FALSE),)</f>
        <v>2.0699999999999998</v>
      </c>
      <c r="U44" s="829">
        <f>IFERROR(VLOOKUP($A44,'RP- Profit &amp; Loss 2017'!$A:$O,U$1,FALSE),)</f>
        <v>41.66</v>
      </c>
      <c r="V44" s="829">
        <f>IFERROR(VLOOKUP($A44,'RP- Profit &amp; Loss 2017'!$A:$O,V$1,FALSE),)</f>
        <v>15.51</v>
      </c>
      <c r="W44" s="829">
        <f>IFERROR(VLOOKUP($A44,'RP- Profit &amp; Loss 2017'!$A:$O,W$1,FALSE),)</f>
        <v>1.79</v>
      </c>
      <c r="X44" s="829">
        <f>IFERROR(VLOOKUP($A44,'RP- Profit &amp; Loss 2017'!$A:$O,X$1,FALSE),)</f>
        <v>2.6</v>
      </c>
      <c r="Y44" s="829">
        <f>IFERROR(VLOOKUP($A44,'RP- Profit &amp; Loss 2017'!$A:$O,Y$1,FALSE),)</f>
        <v>2.69</v>
      </c>
      <c r="Z44" s="829">
        <f>IFERROR(VLOOKUP($A44,'RP- Profit &amp; Loss 2017'!$A:$O,Z$1,FALSE),)</f>
        <v>2.54</v>
      </c>
      <c r="AA44" s="827">
        <f>IFERROR(VLOOKUP($A44,'RP- Profit &amp; Loss 2017'!$A:$O,AA$1,FALSE),)</f>
        <v>134.91999999999999</v>
      </c>
      <c r="AB44" s="829">
        <f>IFERROR(VLOOKUP($A44,'RP- Profit &amp; Loss 2018'!$A:$O,AB$1,FALSE),)</f>
        <v>39.770000000000003</v>
      </c>
      <c r="AC44" s="829">
        <f>IFERROR(VLOOKUP($A44,'RP- Profit &amp; Loss 2018'!$A:$O,AC$1,FALSE),)</f>
        <v>16.989999999999998</v>
      </c>
      <c r="AD44" s="829">
        <f>IFERROR(VLOOKUP($A44,'RP- Profit &amp; Loss 2018'!$A:$O,AD$1,FALSE),)</f>
        <v>2.8</v>
      </c>
      <c r="AE44" s="829">
        <f>IFERROR(VLOOKUP($A44,'RP- Profit &amp; Loss 2018'!$A:$O,AE$1,FALSE),)</f>
        <v>2.04</v>
      </c>
      <c r="AF44" s="829">
        <f>IFERROR(VLOOKUP($A44,'RP- Profit &amp; Loss 2018'!$A:$O,AF$1,FALSE),)</f>
        <v>1.61</v>
      </c>
      <c r="AG44" s="829">
        <f>IFERROR(VLOOKUP($A44,'RP- Profit &amp; Loss 2018'!$A:$O,AG$1,FALSE),)</f>
        <v>2.54</v>
      </c>
      <c r="AH44" s="829">
        <f>IFERROR(VLOOKUP($A44,'RP- Profit &amp; Loss 2018'!$A:$O,AH$1,FALSE),)</f>
        <v>38.81</v>
      </c>
      <c r="AI44" s="829">
        <f>IFERROR(VLOOKUP($A44,'RP- Profit &amp; Loss 2018'!$A:$O,AI$1,FALSE),)</f>
        <v>16.98</v>
      </c>
      <c r="AJ44" s="829">
        <f>IFERROR(VLOOKUP($A44,'RP- Profit &amp; Loss 2018'!$A:$O,AJ$1,FALSE),)</f>
        <v>1.93</v>
      </c>
      <c r="AK44" s="829">
        <f>IFERROR(VLOOKUP($A44,'RP- Profit &amp; Loss 2018'!$A:$O,AK$1,FALSE),)</f>
        <v>2.35</v>
      </c>
      <c r="AL44" s="829">
        <f>IFERROR(VLOOKUP($A44,'RP- Profit &amp; Loss 2018'!$A:$O,AL$1,FALSE),)</f>
        <v>0.6</v>
      </c>
      <c r="AM44" s="829">
        <f>IFERROR(VLOOKUP($A44,'RP- Profit &amp; Loss 2018'!$A:$O,AM$1,FALSE),)</f>
        <v>1.65</v>
      </c>
      <c r="AN44" s="827">
        <f>IFERROR(VLOOKUP($A44,'RP- Profit &amp; Loss 2018'!$A:$O,AN$1,FALSE),)</f>
        <v>128.07</v>
      </c>
      <c r="AP44" s="805"/>
      <c r="AQ44" s="805"/>
      <c r="AR44" s="805"/>
      <c r="AU44" s="805"/>
    </row>
    <row r="45" spans="1:55">
      <c r="A45" s="805" t="str">
        <f>'RP- Profit &amp; Loss 2016'!A64</f>
        <v>6-5007</v>
      </c>
      <c r="B45" s="805" t="str">
        <f>'RP- Profit &amp; Loss 2016'!B64</f>
        <v>Audit fees - Current year</v>
      </c>
      <c r="C45" s="830"/>
      <c r="D45" s="826">
        <f>'RP- Profit &amp; Loss 2016'!D64</f>
        <v>1666.67</v>
      </c>
      <c r="E45" s="828">
        <f t="shared" si="6"/>
        <v>2152.7820833333335</v>
      </c>
      <c r="F45" s="828">
        <f>'RP- Profit &amp; Loss 2016'!E64</f>
        <v>1666.67</v>
      </c>
      <c r="G45" s="828">
        <f>'RP- Profit &amp; Loss 2016'!F64</f>
        <v>1666.67</v>
      </c>
      <c r="H45" s="828">
        <f>'RP- Profit &amp; Loss 2016'!G64</f>
        <v>1666.66</v>
      </c>
      <c r="I45" s="828">
        <f>'RP- Profit &amp; Loss 2016'!H64</f>
        <v>1666.67</v>
      </c>
      <c r="J45" s="828">
        <f>'RP- Profit &amp; Loss 2016'!I64</f>
        <v>1666.66</v>
      </c>
      <c r="K45" s="828">
        <f>'RP- Profit &amp; Loss 2016'!J64</f>
        <v>1666.67</v>
      </c>
      <c r="L45" s="828">
        <f>'RP- Profit &amp; Loss 2016'!K64</f>
        <v>1666.66</v>
      </c>
      <c r="M45" s="828">
        <f>'RP- Profit &amp; Loss 2016'!L64</f>
        <v>-333.33</v>
      </c>
      <c r="N45" s="827">
        <f>'RP- Profit &amp; Loss 2016'!M64</f>
        <v>13000</v>
      </c>
      <c r="O45" s="829">
        <f>IFERROR(VLOOKUP($A45,'RP- Profit &amp; Loss 2017'!$A:$O,O$1,FALSE),)</f>
        <v>1083.33</v>
      </c>
      <c r="P45" s="829">
        <f>IFERROR(VLOOKUP($A45,'RP- Profit &amp; Loss 2017'!$A:$O,P$1,FALSE),)</f>
        <v>1083.3399999999999</v>
      </c>
      <c r="Q45" s="829">
        <f>IFERROR(VLOOKUP($A45,'RP- Profit &amp; Loss 2017'!$A:$O,Q$1,FALSE),)</f>
        <v>1083.33</v>
      </c>
      <c r="R45" s="829">
        <f>IFERROR(VLOOKUP($A45,'RP- Profit &amp; Loss 2017'!$A:$O,R$1,FALSE),)</f>
        <v>1083.33</v>
      </c>
      <c r="S45" s="829">
        <f>IFERROR(VLOOKUP($A45,'RP- Profit &amp; Loss 2017'!$A:$O,S$1,FALSE),)</f>
        <v>1083.33</v>
      </c>
      <c r="T45" s="829">
        <f>IFERROR(VLOOKUP($A45,'RP- Profit &amp; Loss 2017'!$A:$O,T$1,FALSE),)</f>
        <v>1083.3399999999999</v>
      </c>
      <c r="U45" s="829">
        <f>IFERROR(VLOOKUP($A45,'RP- Profit &amp; Loss 2017'!$A:$O,U$1,FALSE),)</f>
        <v>1083.33</v>
      </c>
      <c r="V45" s="829">
        <f>IFERROR(VLOOKUP($A45,'RP- Profit &amp; Loss 2017'!$A:$O,V$1,FALSE),)</f>
        <v>1083.33</v>
      </c>
      <c r="W45" s="829">
        <f>IFERROR(VLOOKUP($A45,'RP- Profit &amp; Loss 2017'!$A:$O,W$1,FALSE),)</f>
        <v>1083.3399999999999</v>
      </c>
      <c r="X45" s="829">
        <f>IFERROR(VLOOKUP($A45,'RP- Profit &amp; Loss 2017'!$A:$O,X$1,FALSE),)</f>
        <v>1083.33</v>
      </c>
      <c r="Y45" s="829">
        <f>IFERROR(VLOOKUP($A45,'RP- Profit &amp; Loss 2017'!$A:$O,Y$1,FALSE),)</f>
        <v>1083.33</v>
      </c>
      <c r="Z45" s="829">
        <f>IFERROR(VLOOKUP($A45,'RP- Profit &amp; Loss 2017'!$A:$O,Z$1,FALSE),)</f>
        <v>1083.3399999999999</v>
      </c>
      <c r="AA45" s="827">
        <f>IFERROR(VLOOKUP($A45,'RP- Profit &amp; Loss 2017'!$A:$O,AA$1,FALSE),)</f>
        <v>13000</v>
      </c>
      <c r="AB45" s="829">
        <f>IFERROR(VLOOKUP($A45,'RP- Profit &amp; Loss 2018'!$A:$O,AB$1,FALSE),)</f>
        <v>1083.33</v>
      </c>
      <c r="AC45" s="829">
        <f>IFERROR(VLOOKUP($A45,'RP- Profit &amp; Loss 2018'!$A:$O,AC$1,FALSE),)</f>
        <v>1083.33</v>
      </c>
      <c r="AD45" s="829">
        <f>IFERROR(VLOOKUP($A45,'RP- Profit &amp; Loss 2018'!$A:$O,AD$1,FALSE),)</f>
        <v>1083.33</v>
      </c>
      <c r="AE45" s="829">
        <f>IFERROR(VLOOKUP($A45,'RP- Profit &amp; Loss 2018'!$A:$O,AE$1,FALSE),)</f>
        <v>1025.28</v>
      </c>
      <c r="AF45" s="829">
        <f>IFERROR(VLOOKUP($A45,'RP- Profit &amp; Loss 2018'!$A:$O,AF$1,FALSE),)</f>
        <v>1083.3399999999999</v>
      </c>
      <c r="AG45" s="829">
        <f>IFERROR(VLOOKUP($A45,'RP- Profit &amp; Loss 2018'!$A:$O,AG$1,FALSE),)</f>
        <v>1083.33</v>
      </c>
      <c r="AH45" s="829">
        <f>IFERROR(VLOOKUP($A45,'RP- Profit &amp; Loss 2018'!$A:$O,AH$1,FALSE),)</f>
        <v>1083.3399999999999</v>
      </c>
      <c r="AI45" s="829">
        <f>IFERROR(VLOOKUP($A45,'RP- Profit &amp; Loss 2018'!$A:$O,AI$1,FALSE),)</f>
        <v>1083.33</v>
      </c>
      <c r="AJ45" s="829">
        <f>IFERROR(VLOOKUP($A45,'RP- Profit &amp; Loss 2018'!$A:$O,AJ$1,FALSE),)</f>
        <v>1083.33</v>
      </c>
      <c r="AK45" s="829">
        <f>IFERROR(VLOOKUP($A45,'RP- Profit &amp; Loss 2018'!$A:$O,AK$1,FALSE),)</f>
        <v>1083.33</v>
      </c>
      <c r="AL45" s="829">
        <f>IFERROR(VLOOKUP($A45,'RP- Profit &amp; Loss 2018'!$A:$O,AL$1,FALSE),)</f>
        <v>1083.33</v>
      </c>
      <c r="AM45" s="829">
        <f>IFERROR(VLOOKUP($A45,'RP- Profit &amp; Loss 2018'!$A:$O,AM$1,FALSE),)</f>
        <v>1083.3499999999999</v>
      </c>
      <c r="AN45" s="827">
        <f>IFERROR(VLOOKUP($A45,'RP- Profit &amp; Loss 2018'!$A:$O,AN$1,FALSE),)</f>
        <v>12941.95</v>
      </c>
      <c r="AP45" s="805"/>
      <c r="AQ45" s="805"/>
      <c r="AR45" s="805"/>
      <c r="AU45" s="805"/>
    </row>
    <row r="46" spans="1:55">
      <c r="A46" s="805" t="s">
        <v>680</v>
      </c>
      <c r="B46" s="805" t="s">
        <v>681</v>
      </c>
      <c r="C46" s="830"/>
      <c r="D46" s="826">
        <v>0</v>
      </c>
      <c r="E46" s="828">
        <f t="shared" si="6"/>
        <v>0</v>
      </c>
      <c r="F46" s="828">
        <v>0</v>
      </c>
      <c r="G46" s="828">
        <v>0</v>
      </c>
      <c r="H46" s="828">
        <v>0</v>
      </c>
      <c r="I46" s="828">
        <v>0</v>
      </c>
      <c r="J46" s="828">
        <v>0</v>
      </c>
      <c r="K46" s="828">
        <v>0</v>
      </c>
      <c r="L46" s="828">
        <v>0</v>
      </c>
      <c r="M46" s="828">
        <v>0</v>
      </c>
      <c r="N46" s="827">
        <v>0</v>
      </c>
      <c r="O46" s="829">
        <f>IFERROR(VLOOKUP($A46,'RP- Profit &amp; Loss 2017'!$A:$O,O$1,FALSE),)</f>
        <v>0</v>
      </c>
      <c r="P46" s="829">
        <f>IFERROR(VLOOKUP($A46,'RP- Profit &amp; Loss 2017'!$A:$O,P$1,FALSE),)</f>
        <v>0</v>
      </c>
      <c r="Q46" s="829">
        <f>IFERROR(VLOOKUP($A46,'RP- Profit &amp; Loss 2017'!$A:$O,Q$1,FALSE),)</f>
        <v>0</v>
      </c>
      <c r="R46" s="829">
        <f>IFERROR(VLOOKUP($A46,'RP- Profit &amp; Loss 2017'!$A:$O,R$1,FALSE),)</f>
        <v>390</v>
      </c>
      <c r="S46" s="829">
        <f>IFERROR(VLOOKUP($A46,'RP- Profit &amp; Loss 2017'!$A:$O,S$1,FALSE),)</f>
        <v>0</v>
      </c>
      <c r="T46" s="829">
        <f>IFERROR(VLOOKUP($A46,'RP- Profit &amp; Loss 2017'!$A:$O,T$1,FALSE),)</f>
        <v>0</v>
      </c>
      <c r="U46" s="829">
        <f>IFERROR(VLOOKUP($A46,'RP- Profit &amp; Loss 2017'!$A:$O,U$1,FALSE),)</f>
        <v>0</v>
      </c>
      <c r="V46" s="829">
        <f>IFERROR(VLOOKUP($A46,'RP- Profit &amp; Loss 2017'!$A:$O,V$1,FALSE),)</f>
        <v>0</v>
      </c>
      <c r="W46" s="829">
        <f>IFERROR(VLOOKUP($A46,'RP- Profit &amp; Loss 2017'!$A:$O,W$1,FALSE),)</f>
        <v>0</v>
      </c>
      <c r="X46" s="829">
        <f>IFERROR(VLOOKUP($A46,'RP- Profit &amp; Loss 2017'!$A:$O,X$1,FALSE),)</f>
        <v>0</v>
      </c>
      <c r="Y46" s="829">
        <f>IFERROR(VLOOKUP($A46,'RP- Profit &amp; Loss 2017'!$A:$O,Y$1,FALSE),)</f>
        <v>0</v>
      </c>
      <c r="Z46" s="829">
        <f>IFERROR(VLOOKUP($A46,'RP- Profit &amp; Loss 2017'!$A:$O,Z$1,FALSE),)</f>
        <v>0</v>
      </c>
      <c r="AA46" s="827">
        <f>IFERROR(VLOOKUP($A46,'RP- Profit &amp; Loss 2017'!$A:$O,AA$1,FALSE),)</f>
        <v>390</v>
      </c>
      <c r="AB46" s="829">
        <f>IFERROR(VLOOKUP($A46,'RP- Profit &amp; Loss 2018'!$A:$O,AB$1,FALSE),)</f>
        <v>0</v>
      </c>
      <c r="AC46" s="829">
        <f>IFERROR(VLOOKUP($A46,'RP- Profit &amp; Loss 2018'!$A:$O,AC$1,FALSE),)</f>
        <v>0</v>
      </c>
      <c r="AD46" s="829">
        <f>IFERROR(VLOOKUP($A46,'RP- Profit &amp; Loss 2018'!$A:$O,AD$1,FALSE),)</f>
        <v>0</v>
      </c>
      <c r="AE46" s="829">
        <f>IFERROR(VLOOKUP($A46,'RP- Profit &amp; Loss 2018'!$A:$O,AE$1,FALSE),)</f>
        <v>0</v>
      </c>
      <c r="AF46" s="829">
        <f>IFERROR(VLOOKUP($A46,'RP- Profit &amp; Loss 2018'!$A:$O,AF$1,FALSE),)</f>
        <v>0</v>
      </c>
      <c r="AG46" s="829">
        <f>IFERROR(VLOOKUP($A46,'RP- Profit &amp; Loss 2018'!$A:$O,AG$1,FALSE),)</f>
        <v>0</v>
      </c>
      <c r="AH46" s="829">
        <f>IFERROR(VLOOKUP($A46,'RP- Profit &amp; Loss 2018'!$A:$O,AH$1,FALSE),)</f>
        <v>0</v>
      </c>
      <c r="AI46" s="829">
        <f>IFERROR(VLOOKUP($A46,'RP- Profit &amp; Loss 2018'!$A:$O,AI$1,FALSE),)</f>
        <v>0</v>
      </c>
      <c r="AJ46" s="829">
        <f>IFERROR(VLOOKUP($A46,'RP- Profit &amp; Loss 2018'!$A:$O,AJ$1,FALSE),)</f>
        <v>0</v>
      </c>
      <c r="AK46" s="829">
        <f>IFERROR(VLOOKUP($A46,'RP- Profit &amp; Loss 2018'!$A:$O,AK$1,FALSE),)</f>
        <v>0</v>
      </c>
      <c r="AL46" s="829">
        <f>IFERROR(VLOOKUP($A46,'RP- Profit &amp; Loss 2018'!$A:$O,AL$1,FALSE),)</f>
        <v>0</v>
      </c>
      <c r="AM46" s="829">
        <f>IFERROR(VLOOKUP($A46,'RP- Profit &amp; Loss 2018'!$A:$O,AM$1,FALSE),)</f>
        <v>0</v>
      </c>
      <c r="AN46" s="827">
        <f>IFERROR(VLOOKUP($A46,'RP- Profit &amp; Loss 2018'!$A:$O,AN$1,FALSE),)</f>
        <v>0</v>
      </c>
    </row>
    <row r="47" spans="1:55">
      <c r="A47" s="805" t="str">
        <f>'RP- Profit &amp; Loss 2016'!A65</f>
        <v>6-5009</v>
      </c>
      <c r="B47" s="805" t="str">
        <f>'RP- Profit &amp; Loss 2016'!B65</f>
        <v>Legal /Tax advice Fee</v>
      </c>
      <c r="C47" s="830"/>
      <c r="D47" s="826">
        <f>'RP- Profit &amp; Loss 2016'!D65</f>
        <v>0</v>
      </c>
      <c r="E47" s="828">
        <f t="shared" si="6"/>
        <v>0</v>
      </c>
      <c r="F47" s="828">
        <f>'RP- Profit &amp; Loss 2016'!E65</f>
        <v>0</v>
      </c>
      <c r="G47" s="828">
        <f>'RP- Profit &amp; Loss 2016'!F65</f>
        <v>0</v>
      </c>
      <c r="H47" s="828">
        <f>'RP- Profit &amp; Loss 2016'!G65</f>
        <v>8097.1</v>
      </c>
      <c r="I47" s="828">
        <f>'RP- Profit &amp; Loss 2016'!H65</f>
        <v>0</v>
      </c>
      <c r="J47" s="828">
        <f>'RP- Profit &amp; Loss 2016'!I65</f>
        <v>0</v>
      </c>
      <c r="K47" s="828">
        <f>'RP- Profit &amp; Loss 2016'!J65</f>
        <v>0</v>
      </c>
      <c r="L47" s="828">
        <f>'RP- Profit &amp; Loss 2016'!K65</f>
        <v>0</v>
      </c>
      <c r="M47" s="828">
        <f>'RP- Profit &amp; Loss 2016'!L65</f>
        <v>0</v>
      </c>
      <c r="N47" s="827">
        <f>'RP- Profit &amp; Loss 2016'!M65</f>
        <v>8097.1</v>
      </c>
      <c r="O47" s="829">
        <f>IFERROR(VLOOKUP($A47,'RP- Profit &amp; Loss 2017'!$A:$O,O$1,FALSE),)</f>
        <v>0</v>
      </c>
      <c r="P47" s="829">
        <f>IFERROR(VLOOKUP($A47,'RP- Profit &amp; Loss 2017'!$A:$O,P$1,FALSE),)</f>
        <v>0</v>
      </c>
      <c r="Q47" s="829">
        <f>IFERROR(VLOOKUP($A47,'RP- Profit &amp; Loss 2017'!$A:$O,Q$1,FALSE),)</f>
        <v>0</v>
      </c>
      <c r="R47" s="829">
        <f>IFERROR(VLOOKUP($A47,'RP- Profit &amp; Loss 2017'!$A:$O,R$1,FALSE),)</f>
        <v>0</v>
      </c>
      <c r="S47" s="829">
        <f>IFERROR(VLOOKUP($A47,'RP- Profit &amp; Loss 2017'!$A:$O,S$1,FALSE),)</f>
        <v>0</v>
      </c>
      <c r="T47" s="829">
        <f>IFERROR(VLOOKUP($A47,'RP- Profit &amp; Loss 2017'!$A:$O,T$1,FALSE),)</f>
        <v>0</v>
      </c>
      <c r="U47" s="829">
        <f>IFERROR(VLOOKUP($A47,'RP- Profit &amp; Loss 2017'!$A:$O,U$1,FALSE),)</f>
        <v>0</v>
      </c>
      <c r="V47" s="829">
        <f>IFERROR(VLOOKUP($A47,'RP- Profit &amp; Loss 2017'!$A:$O,V$1,FALSE),)</f>
        <v>6608.83</v>
      </c>
      <c r="W47" s="829">
        <f>IFERROR(VLOOKUP($A47,'RP- Profit &amp; Loss 2017'!$A:$O,W$1,FALSE),)</f>
        <v>155.5</v>
      </c>
      <c r="X47" s="829">
        <f>IFERROR(VLOOKUP($A47,'RP- Profit &amp; Loss 2017'!$A:$O,X$1,FALSE),)</f>
        <v>815.15</v>
      </c>
      <c r="Y47" s="829">
        <f>IFERROR(VLOOKUP($A47,'RP- Profit &amp; Loss 2017'!$A:$O,Y$1,FALSE),)</f>
        <v>0</v>
      </c>
      <c r="Z47" s="829">
        <f>IFERROR(VLOOKUP($A47,'RP- Profit &amp; Loss 2017'!$A:$O,Z$1,FALSE),)</f>
        <v>0</v>
      </c>
      <c r="AA47" s="827">
        <f>IFERROR(VLOOKUP($A47,'RP- Profit &amp; Loss 2017'!$A:$O,AA$1,FALSE),)</f>
        <v>7579.48</v>
      </c>
      <c r="AB47" s="829">
        <f>IFERROR(VLOOKUP($A47,'RP- Profit &amp; Loss 2018'!$A:$O,AB$1,FALSE),)</f>
        <v>0</v>
      </c>
      <c r="AC47" s="829">
        <f>IFERROR(VLOOKUP($A47,'RP- Profit &amp; Loss 2018'!$A:$O,AC$1,FALSE),)</f>
        <v>0</v>
      </c>
      <c r="AD47" s="829">
        <f>IFERROR(VLOOKUP($A47,'RP- Profit &amp; Loss 2018'!$A:$O,AD$1,FALSE),)</f>
        <v>0</v>
      </c>
      <c r="AE47" s="829">
        <f>IFERROR(VLOOKUP($A47,'RP- Profit &amp; Loss 2018'!$A:$O,AE$1,FALSE),)</f>
        <v>0</v>
      </c>
      <c r="AF47" s="829">
        <f>IFERROR(VLOOKUP($A47,'RP- Profit &amp; Loss 2018'!$A:$O,AF$1,FALSE),)</f>
        <v>0</v>
      </c>
      <c r="AG47" s="829">
        <f>IFERROR(VLOOKUP($A47,'RP- Profit &amp; Loss 2018'!$A:$O,AG$1,FALSE),)</f>
        <v>0</v>
      </c>
      <c r="AH47" s="829">
        <f>IFERROR(VLOOKUP($A47,'RP- Profit &amp; Loss 2018'!$A:$O,AH$1,FALSE),)</f>
        <v>0</v>
      </c>
      <c r="AI47" s="829">
        <f>IFERROR(VLOOKUP($A47,'RP- Profit &amp; Loss 2018'!$A:$O,AI$1,FALSE),)</f>
        <v>0</v>
      </c>
      <c r="AJ47" s="829">
        <f>IFERROR(VLOOKUP($A47,'RP- Profit &amp; Loss 2018'!$A:$O,AJ$1,FALSE),)</f>
        <v>122.73</v>
      </c>
      <c r="AK47" s="829">
        <f>IFERROR(VLOOKUP($A47,'RP- Profit &amp; Loss 2018'!$A:$O,AK$1,FALSE),)</f>
        <v>0</v>
      </c>
      <c r="AL47" s="829">
        <f>IFERROR(VLOOKUP($A47,'RP- Profit &amp; Loss 2018'!$A:$O,AL$1,FALSE),)</f>
        <v>0</v>
      </c>
      <c r="AM47" s="829">
        <f>IFERROR(VLOOKUP($A47,'RP- Profit &amp; Loss 2018'!$A:$O,AM$1,FALSE),)</f>
        <v>0</v>
      </c>
      <c r="AN47" s="827">
        <f>IFERROR(VLOOKUP($A47,'RP- Profit &amp; Loss 2018'!$A:$O,AN$1,FALSE),)</f>
        <v>122.73</v>
      </c>
    </row>
    <row r="48" spans="1:55">
      <c r="A48" s="805" t="str">
        <f>'RP- Profit &amp; Loss 2016'!A66</f>
        <v>6-5010</v>
      </c>
      <c r="B48" s="805" t="str">
        <f>'RP- Profit &amp; Loss 2016'!B66</f>
        <v>Taxation Fee</v>
      </c>
      <c r="C48" s="830"/>
      <c r="D48" s="826">
        <f>'RP- Profit &amp; Loss 2016'!D66</f>
        <v>433.33</v>
      </c>
      <c r="E48" s="828">
        <f t="shared" si="6"/>
        <v>559.71791666666661</v>
      </c>
      <c r="F48" s="828">
        <f>'RP- Profit &amp; Loss 2016'!E66</f>
        <v>433.33</v>
      </c>
      <c r="G48" s="828">
        <f>'RP- Profit &amp; Loss 2016'!F66</f>
        <v>433.33</v>
      </c>
      <c r="H48" s="828">
        <f>'RP- Profit &amp; Loss 2016'!G66</f>
        <v>537.33000000000004</v>
      </c>
      <c r="I48" s="828">
        <f>'RP- Profit &amp; Loss 2016'!H66</f>
        <v>459.33</v>
      </c>
      <c r="J48" s="828">
        <f>'RP- Profit &amp; Loss 2016'!I66</f>
        <v>459.33</v>
      </c>
      <c r="K48" s="828">
        <f>'RP- Profit &amp; Loss 2016'!J66</f>
        <v>459.34</v>
      </c>
      <c r="L48" s="828">
        <f>'RP- Profit &amp; Loss 2016'!K66</f>
        <v>459.34</v>
      </c>
      <c r="M48" s="828">
        <f>'RP- Profit &amp; Loss 2016'!L66</f>
        <v>459.34</v>
      </c>
      <c r="N48" s="827">
        <f>'RP- Profit &amp; Loss 2016'!M66</f>
        <v>4134</v>
      </c>
      <c r="O48" s="829">
        <f>IFERROR(VLOOKUP($A48,'RP- Profit &amp; Loss 2017'!$A:$O,O$1,FALSE),)</f>
        <v>459.33</v>
      </c>
      <c r="P48" s="829">
        <f>IFERROR(VLOOKUP($A48,'RP- Profit &amp; Loss 2017'!$A:$O,P$1,FALSE),)</f>
        <v>229.67</v>
      </c>
      <c r="Q48" s="829">
        <f>IFERROR(VLOOKUP($A48,'RP- Profit &amp; Loss 2017'!$A:$O,Q$1,FALSE),)</f>
        <v>344.5</v>
      </c>
      <c r="R48" s="829">
        <f>IFERROR(VLOOKUP($A48,'RP- Profit &amp; Loss 2017'!$A:$O,R$1,FALSE),)</f>
        <v>344.5</v>
      </c>
      <c r="S48" s="829">
        <f>IFERROR(VLOOKUP($A48,'RP- Profit &amp; Loss 2017'!$A:$O,S$1,FALSE),)</f>
        <v>344.5</v>
      </c>
      <c r="T48" s="829">
        <f>IFERROR(VLOOKUP($A48,'RP- Profit &amp; Loss 2017'!$A:$O,T$1,FALSE),)</f>
        <v>344.5</v>
      </c>
      <c r="U48" s="829">
        <f>IFERROR(VLOOKUP($A48,'RP- Profit &amp; Loss 2017'!$A:$O,U$1,FALSE),)</f>
        <v>344.5</v>
      </c>
      <c r="V48" s="829">
        <f>IFERROR(VLOOKUP($A48,'RP- Profit &amp; Loss 2017'!$A:$O,V$1,FALSE),)</f>
        <v>344.5</v>
      </c>
      <c r="W48" s="829">
        <f>IFERROR(VLOOKUP($A48,'RP- Profit &amp; Loss 2017'!$A:$O,W$1,FALSE),)</f>
        <v>344.5</v>
      </c>
      <c r="X48" s="829">
        <f>IFERROR(VLOOKUP($A48,'RP- Profit &amp; Loss 2017'!$A:$O,X$1,FALSE),)</f>
        <v>344.5</v>
      </c>
      <c r="Y48" s="829">
        <f>IFERROR(VLOOKUP($A48,'RP- Profit &amp; Loss 2017'!$A:$O,Y$1,FALSE),)</f>
        <v>1934.5</v>
      </c>
      <c r="Z48" s="829">
        <f>IFERROR(VLOOKUP($A48,'RP- Profit &amp; Loss 2017'!$A:$O,Z$1,FALSE),)</f>
        <v>1934.5</v>
      </c>
      <c r="AA48" s="827">
        <f>IFERROR(VLOOKUP($A48,'RP- Profit &amp; Loss 2017'!$A:$O,AA$1,FALSE),)</f>
        <v>7314</v>
      </c>
      <c r="AB48" s="829">
        <f>IFERROR(VLOOKUP($A48,'RP- Profit &amp; Loss 2018'!$A:$O,AB$1,FALSE),)</f>
        <v>477</v>
      </c>
      <c r="AC48" s="829">
        <f>IFERROR(VLOOKUP($A48,'RP- Profit &amp; Loss 2018'!$A:$O,AC$1,FALSE),)</f>
        <v>496.8</v>
      </c>
      <c r="AD48" s="829">
        <f>IFERROR(VLOOKUP($A48,'RP- Profit &amp; Loss 2018'!$A:$O,AD$1,FALSE),)</f>
        <v>478.41</v>
      </c>
      <c r="AE48" s="829">
        <f>IFERROR(VLOOKUP($A48,'RP- Profit &amp; Loss 2018'!$A:$O,AE$1,FALSE),)</f>
        <v>478.41</v>
      </c>
      <c r="AF48" s="829">
        <f>IFERROR(VLOOKUP($A48,'RP- Profit &amp; Loss 2018'!$A:$O,AF$1,FALSE),)</f>
        <v>478.41</v>
      </c>
      <c r="AG48" s="829">
        <f>IFERROR(VLOOKUP($A48,'RP- Profit &amp; Loss 2018'!$A:$O,AG$1,FALSE),)</f>
        <v>1496.01</v>
      </c>
      <c r="AH48" s="829">
        <f>IFERROR(VLOOKUP($A48,'RP- Profit &amp; Loss 2018'!$A:$O,AH$1,FALSE),)</f>
        <v>593.42999999999995</v>
      </c>
      <c r="AI48" s="829">
        <f>IFERROR(VLOOKUP($A48,'RP- Profit &amp; Loss 2018'!$A:$O,AI$1,FALSE),)</f>
        <v>505.44</v>
      </c>
      <c r="AJ48" s="829">
        <f>IFERROR(VLOOKUP($A48,'RP- Profit &amp; Loss 2018'!$A:$O,AJ$1,FALSE),)</f>
        <v>505.44</v>
      </c>
      <c r="AK48" s="829">
        <f>IFERROR(VLOOKUP($A48,'RP- Profit &amp; Loss 2018'!$A:$O,AK$1,FALSE),)</f>
        <v>505.44</v>
      </c>
      <c r="AL48" s="829">
        <f>IFERROR(VLOOKUP($A48,'RP- Profit &amp; Loss 2018'!$A:$O,AL$1,FALSE),)</f>
        <v>505.44</v>
      </c>
      <c r="AM48" s="829">
        <f>IFERROR(VLOOKUP($A48,'RP- Profit &amp; Loss 2018'!$A:$O,AM$1,FALSE),)</f>
        <v>7005.44</v>
      </c>
      <c r="AN48" s="827">
        <f>IFERROR(VLOOKUP($A48,'RP- Profit &amp; Loss 2018'!$A:$O,AN$1,FALSE),)</f>
        <v>13525.67</v>
      </c>
      <c r="AU48" s="805"/>
      <c r="AV48" s="805"/>
      <c r="AW48" s="805"/>
      <c r="AX48" s="805"/>
      <c r="AY48" s="805"/>
      <c r="AZ48" s="805"/>
      <c r="BA48" s="805"/>
      <c r="BB48" s="805"/>
      <c r="BC48" s="805"/>
    </row>
    <row r="49" spans="1:55">
      <c r="A49" s="805" t="s">
        <v>682</v>
      </c>
      <c r="B49" s="805" t="s">
        <v>683</v>
      </c>
      <c r="C49" s="830"/>
      <c r="D49" s="826">
        <v>0</v>
      </c>
      <c r="E49" s="828">
        <f t="shared" si="6"/>
        <v>0</v>
      </c>
      <c r="F49" s="828">
        <v>0</v>
      </c>
      <c r="G49" s="828">
        <v>0</v>
      </c>
      <c r="H49" s="828">
        <v>0</v>
      </c>
      <c r="I49" s="828">
        <v>0</v>
      </c>
      <c r="J49" s="828">
        <v>0</v>
      </c>
      <c r="K49" s="828">
        <v>0</v>
      </c>
      <c r="L49" s="828">
        <v>0</v>
      </c>
      <c r="M49" s="828">
        <v>0</v>
      </c>
      <c r="N49" s="827">
        <v>0</v>
      </c>
      <c r="O49" s="829">
        <f>IFERROR(VLOOKUP($A49,'RP- Profit &amp; Loss 2017'!$A:$O,O$1,FALSE),)</f>
        <v>0</v>
      </c>
      <c r="P49" s="829">
        <f>IFERROR(VLOOKUP($A49,'RP- Profit &amp; Loss 2017'!$A:$O,P$1,FALSE),)</f>
        <v>0</v>
      </c>
      <c r="Q49" s="829">
        <f>IFERROR(VLOOKUP($A49,'RP- Profit &amp; Loss 2017'!$A:$O,Q$1,FALSE),)</f>
        <v>0</v>
      </c>
      <c r="R49" s="829">
        <f>IFERROR(VLOOKUP($A49,'RP- Profit &amp; Loss 2017'!$A:$O,R$1,FALSE),)</f>
        <v>0</v>
      </c>
      <c r="S49" s="829">
        <f>IFERROR(VLOOKUP($A49,'RP- Profit &amp; Loss 2017'!$A:$O,S$1,FALSE),)</f>
        <v>0</v>
      </c>
      <c r="T49" s="829">
        <f>IFERROR(VLOOKUP($A49,'RP- Profit &amp; Loss 2017'!$A:$O,T$1,FALSE),)</f>
        <v>0</v>
      </c>
      <c r="U49" s="829">
        <f>IFERROR(VLOOKUP($A49,'RP- Profit &amp; Loss 2017'!$A:$O,U$1,FALSE),)</f>
        <v>35000</v>
      </c>
      <c r="V49" s="829">
        <f>IFERROR(VLOOKUP($A49,'RP- Profit &amp; Loss 2017'!$A:$O,V$1,FALSE),)</f>
        <v>0</v>
      </c>
      <c r="W49" s="829">
        <f>IFERROR(VLOOKUP($A49,'RP- Profit &amp; Loss 2017'!$A:$O,W$1,FALSE),)</f>
        <v>0</v>
      </c>
      <c r="X49" s="829">
        <f>IFERROR(VLOOKUP($A49,'RP- Profit &amp; Loss 2017'!$A:$O,X$1,FALSE),)</f>
        <v>0</v>
      </c>
      <c r="Y49" s="829">
        <f>IFERROR(VLOOKUP($A49,'RP- Profit &amp; Loss 2017'!$A:$O,Y$1,FALSE),)</f>
        <v>0</v>
      </c>
      <c r="Z49" s="829">
        <f>IFERROR(VLOOKUP($A49,'RP- Profit &amp; Loss 2017'!$A:$O,Z$1,FALSE),)</f>
        <v>0</v>
      </c>
      <c r="AA49" s="827">
        <f>IFERROR(VLOOKUP($A49,'RP- Profit &amp; Loss 2017'!$A:$O,AA$1,FALSE),)</f>
        <v>35000</v>
      </c>
      <c r="AB49" s="829">
        <f>IFERROR(VLOOKUP($A49,'RP- Profit &amp; Loss 2018'!$A:$O,AB$1,FALSE),)</f>
        <v>0</v>
      </c>
      <c r="AC49" s="829">
        <f>IFERROR(VLOOKUP($A49,'RP- Profit &amp; Loss 2018'!$A:$O,AC$1,FALSE),)</f>
        <v>0</v>
      </c>
      <c r="AD49" s="829">
        <f>IFERROR(VLOOKUP($A49,'RP- Profit &amp; Loss 2018'!$A:$O,AD$1,FALSE),)</f>
        <v>0</v>
      </c>
      <c r="AE49" s="829">
        <f>IFERROR(VLOOKUP($A49,'RP- Profit &amp; Loss 2018'!$A:$O,AE$1,FALSE),)</f>
        <v>0</v>
      </c>
      <c r="AF49" s="829">
        <f>IFERROR(VLOOKUP($A49,'RP- Profit &amp; Loss 2018'!$A:$O,AF$1,FALSE),)</f>
        <v>0</v>
      </c>
      <c r="AG49" s="829">
        <f>IFERROR(VLOOKUP($A49,'RP- Profit &amp; Loss 2018'!$A:$O,AG$1,FALSE),)</f>
        <v>0</v>
      </c>
      <c r="AH49" s="829">
        <f>IFERROR(VLOOKUP($A49,'RP- Profit &amp; Loss 2018'!$A:$O,AH$1,FALSE),)</f>
        <v>0</v>
      </c>
      <c r="AI49" s="829">
        <f>IFERROR(VLOOKUP($A49,'RP- Profit &amp; Loss 2018'!$A:$O,AI$1,FALSE),)</f>
        <v>0</v>
      </c>
      <c r="AJ49" s="829">
        <f>IFERROR(VLOOKUP($A49,'RP- Profit &amp; Loss 2018'!$A:$O,AJ$1,FALSE),)</f>
        <v>0</v>
      </c>
      <c r="AK49" s="829">
        <f>IFERROR(VLOOKUP($A49,'RP- Profit &amp; Loss 2018'!$A:$O,AK$1,FALSE),)</f>
        <v>0</v>
      </c>
      <c r="AL49" s="829">
        <f>IFERROR(VLOOKUP($A49,'RP- Profit &amp; Loss 2018'!$A:$O,AL$1,FALSE),)</f>
        <v>0</v>
      </c>
      <c r="AM49" s="829">
        <f>IFERROR(VLOOKUP($A49,'RP- Profit &amp; Loss 2018'!$A:$O,AM$1,FALSE),)</f>
        <v>0</v>
      </c>
      <c r="AN49" s="827">
        <f>IFERROR(VLOOKUP($A49,'RP- Profit &amp; Loss 2018'!$A:$O,AN$1,FALSE),)</f>
        <v>0</v>
      </c>
      <c r="AU49" s="805"/>
      <c r="AV49" s="805"/>
      <c r="AW49" s="805"/>
      <c r="AX49" s="805"/>
      <c r="AY49" s="805"/>
      <c r="AZ49" s="805"/>
      <c r="BA49" s="805"/>
      <c r="BB49" s="805"/>
      <c r="BC49" s="805"/>
    </row>
    <row r="50" spans="1:55">
      <c r="A50" s="805" t="str">
        <f>'RP- Profit &amp; Loss 2016'!A67</f>
        <v>6-5012</v>
      </c>
      <c r="B50" s="805" t="str">
        <f>'RP- Profit &amp; Loss 2016'!B67</f>
        <v>Trustee Fees</v>
      </c>
      <c r="C50" s="830"/>
      <c r="D50" s="826">
        <f>'RP- Profit &amp; Loss 2016'!D67</f>
        <v>7688.17</v>
      </c>
      <c r="E50" s="828">
        <f t="shared" si="6"/>
        <v>9930.5529166666674</v>
      </c>
      <c r="F50" s="828">
        <f>'RP- Profit &amp; Loss 2016'!E67</f>
        <v>3333.33</v>
      </c>
      <c r="G50" s="828">
        <f>'RP- Profit &amp; Loss 2016'!F67</f>
        <v>3333.33</v>
      </c>
      <c r="H50" s="828">
        <f>'RP- Profit &amp; Loss 2016'!G67</f>
        <v>3333.33</v>
      </c>
      <c r="I50" s="828">
        <f>'RP- Profit &amp; Loss 2016'!H67</f>
        <v>3333.33</v>
      </c>
      <c r="J50" s="828">
        <f>'RP- Profit &amp; Loss 2016'!I67</f>
        <v>3333.34</v>
      </c>
      <c r="K50" s="828">
        <f>'RP- Profit &amp; Loss 2016'!J67</f>
        <v>3333.34</v>
      </c>
      <c r="L50" s="828">
        <f>'RP- Profit &amp; Loss 2016'!K67</f>
        <v>3333.33</v>
      </c>
      <c r="M50" s="828">
        <f>'RP- Profit &amp; Loss 2016'!L67</f>
        <v>3225.8</v>
      </c>
      <c r="N50" s="827">
        <f>'RP- Profit &amp; Loss 2016'!M67</f>
        <v>34247.300000000003</v>
      </c>
      <c r="O50" s="829">
        <f>IFERROR(VLOOKUP($A50,'RP- Profit &amp; Loss 2017'!$A:$O,O$1,FALSE),)</f>
        <v>3333.33</v>
      </c>
      <c r="P50" s="829">
        <f>IFERROR(VLOOKUP($A50,'RP- Profit &amp; Loss 2017'!$A:$O,P$1,FALSE),)</f>
        <v>3333.33</v>
      </c>
      <c r="Q50" s="829">
        <f>IFERROR(VLOOKUP($A50,'RP- Profit &amp; Loss 2017'!$A:$O,Q$1,FALSE),)</f>
        <v>3333.34</v>
      </c>
      <c r="R50" s="829">
        <f>IFERROR(VLOOKUP($A50,'RP- Profit &amp; Loss 2017'!$A:$O,R$1,FALSE),)</f>
        <v>3333.33</v>
      </c>
      <c r="S50" s="829">
        <f>IFERROR(VLOOKUP($A50,'RP- Profit &amp; Loss 2017'!$A:$O,S$1,FALSE),)</f>
        <v>3333.34</v>
      </c>
      <c r="T50" s="829">
        <f>IFERROR(VLOOKUP($A50,'RP- Profit &amp; Loss 2017'!$A:$O,T$1,FALSE),)</f>
        <v>3333.33</v>
      </c>
      <c r="U50" s="829">
        <f>IFERROR(VLOOKUP($A50,'RP- Profit &amp; Loss 2017'!$A:$O,U$1,FALSE),)</f>
        <v>3506.67</v>
      </c>
      <c r="V50" s="829">
        <f>IFERROR(VLOOKUP($A50,'RP- Profit &amp; Loss 2017'!$A:$O,V$1,FALSE),)</f>
        <v>3376.66</v>
      </c>
      <c r="W50" s="829">
        <f>IFERROR(VLOOKUP($A50,'RP- Profit &amp; Loss 2017'!$A:$O,W$1,FALSE),)</f>
        <v>3376.67</v>
      </c>
      <c r="X50" s="829">
        <f>IFERROR(VLOOKUP($A50,'RP- Profit &amp; Loss 2017'!$A:$O,X$1,FALSE),)</f>
        <v>3376.67</v>
      </c>
      <c r="Y50" s="829">
        <f>IFERROR(VLOOKUP($A50,'RP- Profit &amp; Loss 2017'!$A:$O,Y$1,FALSE),)</f>
        <v>3376.66</v>
      </c>
      <c r="Z50" s="829">
        <f>IFERROR(VLOOKUP($A50,'RP- Profit &amp; Loss 2017'!$A:$O,Z$1,FALSE),)</f>
        <v>3376.67</v>
      </c>
      <c r="AA50" s="827">
        <f>IFERROR(VLOOKUP($A50,'RP- Profit &amp; Loss 2017'!$A:$O,AA$1,FALSE),)</f>
        <v>40390</v>
      </c>
      <c r="AB50" s="829">
        <f>IFERROR(VLOOKUP($A50,'RP- Profit &amp; Loss 2018'!$A:$O,AB$1,FALSE),)</f>
        <v>3376.67</v>
      </c>
      <c r="AC50" s="829">
        <f>IFERROR(VLOOKUP($A50,'RP- Profit &amp; Loss 2018'!$A:$O,AC$1,FALSE),)</f>
        <v>3376.67</v>
      </c>
      <c r="AD50" s="829">
        <f>IFERROR(VLOOKUP($A50,'RP- Profit &amp; Loss 2018'!$A:$O,AD$1,FALSE),)</f>
        <v>3376.67</v>
      </c>
      <c r="AE50" s="829">
        <f>IFERROR(VLOOKUP($A50,'RP- Profit &amp; Loss 2018'!$A:$O,AE$1,FALSE),)</f>
        <v>3376.67</v>
      </c>
      <c r="AF50" s="829">
        <f>IFERROR(VLOOKUP($A50,'RP- Profit &amp; Loss 2018'!$A:$O,AF$1,FALSE),)</f>
        <v>3376.66</v>
      </c>
      <c r="AG50" s="829">
        <f>IFERROR(VLOOKUP($A50,'RP- Profit &amp; Loss 2018'!$A:$O,AG$1,FALSE),)</f>
        <v>3376.67</v>
      </c>
      <c r="AH50" s="829">
        <f>IFERROR(VLOOKUP($A50,'RP- Profit &amp; Loss 2018'!$A:$O,AH$1,FALSE),)</f>
        <v>3376.67</v>
      </c>
      <c r="AI50" s="829">
        <f>IFERROR(VLOOKUP($A50,'RP- Profit &amp; Loss 2018'!$A:$O,AI$1,FALSE),)</f>
        <v>3684.15</v>
      </c>
      <c r="AJ50" s="829">
        <f>IFERROR(VLOOKUP($A50,'RP- Profit &amp; Loss 2018'!$A:$O,AJ$1,FALSE),)</f>
        <v>3438</v>
      </c>
      <c r="AK50" s="829">
        <f>IFERROR(VLOOKUP($A50,'RP- Profit &amp; Loss 2018'!$A:$O,AK$1,FALSE),)</f>
        <v>3438</v>
      </c>
      <c r="AL50" s="829">
        <f>IFERROR(VLOOKUP($A50,'RP- Profit &amp; Loss 2018'!$A:$O,AL$1,FALSE),)</f>
        <v>3438.82</v>
      </c>
      <c r="AM50" s="829">
        <f>IFERROR(VLOOKUP($A50,'RP- Profit &amp; Loss 2018'!$A:$O,AM$1,FALSE),)</f>
        <v>3438</v>
      </c>
      <c r="AN50" s="827">
        <f>IFERROR(VLOOKUP($A50,'RP- Profit &amp; Loss 2018'!$A:$O,AN$1,FALSE),)</f>
        <v>41073.65</v>
      </c>
      <c r="AU50" s="805"/>
      <c r="AV50" s="805"/>
      <c r="AW50" s="805"/>
      <c r="AX50" s="805"/>
      <c r="AY50" s="805"/>
      <c r="AZ50" s="805"/>
      <c r="BA50" s="805"/>
      <c r="BB50" s="805"/>
      <c r="BC50" s="805"/>
    </row>
    <row r="51" spans="1:55">
      <c r="A51" s="805" t="str">
        <f>'RP- Profit &amp; Loss 2016'!A68</f>
        <v>6-5013</v>
      </c>
      <c r="B51" s="805" t="str">
        <f>'RP- Profit &amp; Loss 2016'!B68</f>
        <v>Valuation Fees</v>
      </c>
      <c r="C51" s="830"/>
      <c r="D51" s="826">
        <f>'RP- Profit &amp; Loss 2016'!D68</f>
        <v>2777.79</v>
      </c>
      <c r="E51" s="828">
        <f t="shared" si="6"/>
        <v>3587.9787499999998</v>
      </c>
      <c r="F51" s="828">
        <f>'RP- Profit &amp; Loss 2016'!E68</f>
        <v>-2777.79</v>
      </c>
      <c r="G51" s="828">
        <f>'RP- Profit &amp; Loss 2016'!F68</f>
        <v>0</v>
      </c>
      <c r="H51" s="828">
        <f>'RP- Profit &amp; Loss 2016'!G68</f>
        <v>0</v>
      </c>
      <c r="I51" s="828">
        <f>'RP- Profit &amp; Loss 2016'!H68</f>
        <v>0</v>
      </c>
      <c r="J51" s="828">
        <f>'RP- Profit &amp; Loss 2016'!I68</f>
        <v>0</v>
      </c>
      <c r="K51" s="828">
        <f>'RP- Profit &amp; Loss 2016'!J68</f>
        <v>0</v>
      </c>
      <c r="L51" s="828">
        <f>'RP- Profit &amp; Loss 2016'!K68</f>
        <v>0</v>
      </c>
      <c r="M51" s="828">
        <f>'RP- Profit &amp; Loss 2016'!L68</f>
        <v>0</v>
      </c>
      <c r="N51" s="827">
        <f>'RP- Profit &amp; Loss 2016'!M68</f>
        <v>0</v>
      </c>
      <c r="O51" s="829">
        <f>IFERROR(VLOOKUP($A51,'RP- Profit &amp; Loss 2017'!$A:$O,O$1,FALSE),)</f>
        <v>0</v>
      </c>
      <c r="P51" s="829">
        <f>IFERROR(VLOOKUP($A51,'RP- Profit &amp; Loss 2017'!$A:$O,P$1,FALSE),)</f>
        <v>0</v>
      </c>
      <c r="Q51" s="829">
        <f>IFERROR(VLOOKUP($A51,'RP- Profit &amp; Loss 2017'!$A:$O,Q$1,FALSE),)</f>
        <v>0</v>
      </c>
      <c r="R51" s="829">
        <f>IFERROR(VLOOKUP($A51,'RP- Profit &amp; Loss 2017'!$A:$O,R$1,FALSE),)</f>
        <v>0</v>
      </c>
      <c r="S51" s="829">
        <f>IFERROR(VLOOKUP($A51,'RP- Profit &amp; Loss 2017'!$A:$O,S$1,FALSE),)</f>
        <v>0</v>
      </c>
      <c r="T51" s="829">
        <f>IFERROR(VLOOKUP($A51,'RP- Profit &amp; Loss 2017'!$A:$O,T$1,FALSE),)</f>
        <v>0</v>
      </c>
      <c r="U51" s="829">
        <f>IFERROR(VLOOKUP($A51,'RP- Profit &amp; Loss 2017'!$A:$O,U$1,FALSE),)</f>
        <v>0</v>
      </c>
      <c r="V51" s="829">
        <f>IFERROR(VLOOKUP($A51,'RP- Profit &amp; Loss 2017'!$A:$O,V$1,FALSE),)</f>
        <v>10000</v>
      </c>
      <c r="W51" s="829">
        <f>IFERROR(VLOOKUP($A51,'RP- Profit &amp; Loss 2017'!$A:$O,W$1,FALSE),)</f>
        <v>0</v>
      </c>
      <c r="X51" s="829">
        <f>IFERROR(VLOOKUP($A51,'RP- Profit &amp; Loss 2017'!$A:$O,X$1,FALSE),)</f>
        <v>0</v>
      </c>
      <c r="Y51" s="829">
        <f>IFERROR(VLOOKUP($A51,'RP- Profit &amp; Loss 2017'!$A:$O,Y$1,FALSE),)</f>
        <v>0</v>
      </c>
      <c r="Z51" s="829">
        <f>IFERROR(VLOOKUP($A51,'RP- Profit &amp; Loss 2017'!$A:$O,Z$1,FALSE),)</f>
        <v>0</v>
      </c>
      <c r="AA51" s="827">
        <f>IFERROR(VLOOKUP($A51,'RP- Profit &amp; Loss 2017'!$A:$O,AA$1,FALSE),)</f>
        <v>10000</v>
      </c>
      <c r="AB51" s="829">
        <f>IFERROR(VLOOKUP($A51,'RP- Profit &amp; Loss 2018'!$A:$O,AB$1,FALSE),)</f>
        <v>0</v>
      </c>
      <c r="AC51" s="829">
        <f>IFERROR(VLOOKUP($A51,'RP- Profit &amp; Loss 2018'!$A:$O,AC$1,FALSE),)</f>
        <v>0</v>
      </c>
      <c r="AD51" s="829">
        <f>IFERROR(VLOOKUP($A51,'RP- Profit &amp; Loss 2018'!$A:$O,AD$1,FALSE),)</f>
        <v>0</v>
      </c>
      <c r="AE51" s="829">
        <f>IFERROR(VLOOKUP($A51,'RP- Profit &amp; Loss 2018'!$A:$O,AE$1,FALSE),)</f>
        <v>0</v>
      </c>
      <c r="AF51" s="829">
        <f>IFERROR(VLOOKUP($A51,'RP- Profit &amp; Loss 2018'!$A:$O,AF$1,FALSE),)</f>
        <v>0</v>
      </c>
      <c r="AG51" s="829">
        <f>IFERROR(VLOOKUP($A51,'RP- Profit &amp; Loss 2018'!$A:$O,AG$1,FALSE),)</f>
        <v>0</v>
      </c>
      <c r="AH51" s="829">
        <f>IFERROR(VLOOKUP($A51,'RP- Profit &amp; Loss 2018'!$A:$O,AH$1,FALSE),)</f>
        <v>0</v>
      </c>
      <c r="AI51" s="829">
        <f>IFERROR(VLOOKUP($A51,'RP- Profit &amp; Loss 2018'!$A:$O,AI$1,FALSE),)</f>
        <v>0</v>
      </c>
      <c r="AJ51" s="829">
        <f>IFERROR(VLOOKUP($A51,'RP- Profit &amp; Loss 2018'!$A:$O,AJ$1,FALSE),)</f>
        <v>0</v>
      </c>
      <c r="AK51" s="829">
        <f>IFERROR(VLOOKUP($A51,'RP- Profit &amp; Loss 2018'!$A:$O,AK$1,FALSE),)</f>
        <v>0</v>
      </c>
      <c r="AL51" s="829">
        <f>IFERROR(VLOOKUP($A51,'RP- Profit &amp; Loss 2018'!$A:$O,AL$1,FALSE),)</f>
        <v>0</v>
      </c>
      <c r="AM51" s="829">
        <f>IFERROR(VLOOKUP($A51,'RP- Profit &amp; Loss 2018'!$A:$O,AM$1,FALSE),)</f>
        <v>0</v>
      </c>
      <c r="AN51" s="827">
        <f>IFERROR(VLOOKUP($A51,'RP- Profit &amp; Loss 2018'!$A:$O,AN$1,FALSE),)</f>
        <v>0</v>
      </c>
      <c r="AU51" s="805"/>
      <c r="AV51" s="805"/>
      <c r="AW51" s="805"/>
      <c r="AX51" s="805"/>
      <c r="AY51" s="805"/>
      <c r="AZ51" s="805"/>
      <c r="BA51" s="805"/>
      <c r="BB51" s="805"/>
      <c r="BC51" s="805"/>
    </row>
    <row r="52" spans="1:55">
      <c r="B52" s="818" t="s">
        <v>684</v>
      </c>
      <c r="C52" s="830"/>
      <c r="D52" s="820">
        <f>D40-D41</f>
        <v>253488.97000000003</v>
      </c>
      <c r="E52" s="821">
        <f t="shared" si="6"/>
        <v>327423.25291666674</v>
      </c>
      <c r="F52" s="821">
        <f t="shared" ref="F52:N52" si="11">F40-F41</f>
        <v>335850.49</v>
      </c>
      <c r="G52" s="821">
        <f t="shared" si="11"/>
        <v>347211.57000000007</v>
      </c>
      <c r="H52" s="821">
        <f t="shared" si="11"/>
        <v>352769.58999999997</v>
      </c>
      <c r="I52" s="821">
        <f t="shared" si="11"/>
        <v>313224.42000000004</v>
      </c>
      <c r="J52" s="821">
        <f t="shared" si="11"/>
        <v>354137.1</v>
      </c>
      <c r="K52" s="821">
        <f t="shared" si="11"/>
        <v>341939.28</v>
      </c>
      <c r="L52" s="821">
        <f t="shared" si="11"/>
        <v>340801.92</v>
      </c>
      <c r="M52" s="821">
        <f t="shared" si="11"/>
        <v>346863.26</v>
      </c>
      <c r="N52" s="822">
        <f t="shared" si="11"/>
        <v>2986286.6000000006</v>
      </c>
      <c r="O52" s="823">
        <f t="shared" ref="O52:AN52" si="12">O40-O41</f>
        <v>343620.06</v>
      </c>
      <c r="P52" s="823">
        <f t="shared" si="12"/>
        <v>345125.05000000005</v>
      </c>
      <c r="Q52" s="823">
        <f t="shared" si="12"/>
        <v>344417.23</v>
      </c>
      <c r="R52" s="823">
        <f t="shared" si="12"/>
        <v>359999.56000000006</v>
      </c>
      <c r="S52" s="823">
        <f t="shared" si="12"/>
        <v>358980.96</v>
      </c>
      <c r="T52" s="823">
        <f t="shared" si="12"/>
        <v>359293.88999999996</v>
      </c>
      <c r="U52" s="823">
        <f t="shared" si="12"/>
        <v>323964.95999999996</v>
      </c>
      <c r="V52" s="823">
        <f t="shared" si="12"/>
        <v>346856.82</v>
      </c>
      <c r="W52" s="823">
        <f t="shared" si="12"/>
        <v>362303.07999999996</v>
      </c>
      <c r="X52" s="823">
        <f t="shared" si="12"/>
        <v>356495.71</v>
      </c>
      <c r="Y52" s="823">
        <f t="shared" si="12"/>
        <v>352749.99999999994</v>
      </c>
      <c r="Z52" s="823">
        <f t="shared" si="12"/>
        <v>360109.38999999996</v>
      </c>
      <c r="AA52" s="822">
        <f t="shared" si="12"/>
        <v>4213916.709999999</v>
      </c>
      <c r="AB52" s="823">
        <f t="shared" si="12"/>
        <v>358293.44999999995</v>
      </c>
      <c r="AC52" s="823">
        <f t="shared" si="12"/>
        <v>359340.91999999993</v>
      </c>
      <c r="AD52" s="823">
        <f t="shared" si="12"/>
        <v>361699.27999999997</v>
      </c>
      <c r="AE52" s="823">
        <f t="shared" si="12"/>
        <v>372549.85000000003</v>
      </c>
      <c r="AF52" s="823">
        <f t="shared" si="12"/>
        <v>371027.28</v>
      </c>
      <c r="AG52" s="823">
        <f t="shared" si="12"/>
        <v>370128.44999999995</v>
      </c>
      <c r="AH52" s="823">
        <f t="shared" si="12"/>
        <v>380333.08000000007</v>
      </c>
      <c r="AI52" s="823">
        <f t="shared" si="12"/>
        <v>349277.67000000004</v>
      </c>
      <c r="AJ52" s="823">
        <f t="shared" si="12"/>
        <v>372477.75000000006</v>
      </c>
      <c r="AK52" s="823">
        <f t="shared" si="12"/>
        <v>371398.94000000006</v>
      </c>
      <c r="AL52" s="823">
        <f t="shared" si="12"/>
        <v>373579.72000000009</v>
      </c>
      <c r="AM52" s="823">
        <f t="shared" si="12"/>
        <v>365840.49</v>
      </c>
      <c r="AN52" s="822">
        <f t="shared" si="12"/>
        <v>4405946.8800000008</v>
      </c>
      <c r="AU52" s="805"/>
      <c r="AV52" s="805"/>
      <c r="AW52" s="805"/>
      <c r="AX52" s="805"/>
      <c r="AY52" s="805"/>
      <c r="AZ52" s="805"/>
      <c r="BA52" s="805"/>
      <c r="BB52" s="805"/>
      <c r="BC52" s="805"/>
    </row>
    <row r="53" spans="1:55">
      <c r="B53" s="818" t="s">
        <v>685</v>
      </c>
      <c r="C53" s="830"/>
      <c r="D53" s="820">
        <f>SUM(D54:D55)</f>
        <v>81739.73</v>
      </c>
      <c r="E53" s="821">
        <f t="shared" si="6"/>
        <v>105580.48458333332</v>
      </c>
      <c r="F53" s="821">
        <f t="shared" ref="F53:N53" si="13">SUM(F54:F55)</f>
        <v>97854.569999999992</v>
      </c>
      <c r="G53" s="821">
        <f t="shared" si="13"/>
        <v>101289.75</v>
      </c>
      <c r="H53" s="821">
        <f t="shared" si="13"/>
        <v>101357.26000000001</v>
      </c>
      <c r="I53" s="821">
        <f t="shared" si="13"/>
        <v>94818.09</v>
      </c>
      <c r="J53" s="821">
        <f t="shared" si="13"/>
        <v>101328.41</v>
      </c>
      <c r="K53" s="821">
        <f t="shared" si="13"/>
        <v>97993.15</v>
      </c>
      <c r="L53" s="821">
        <f t="shared" si="13"/>
        <v>101318.78</v>
      </c>
      <c r="M53" s="821">
        <f t="shared" si="13"/>
        <v>98318.459999999992</v>
      </c>
      <c r="N53" s="822">
        <f t="shared" si="13"/>
        <v>876018.20000000007</v>
      </c>
      <c r="O53" s="823">
        <f t="shared" ref="O53:AN53" si="14">SUM(O54:O55)</f>
        <v>101280.33</v>
      </c>
      <c r="P53" s="823">
        <f t="shared" si="14"/>
        <v>101323.6</v>
      </c>
      <c r="Q53" s="823">
        <f t="shared" si="14"/>
        <v>98246.34</v>
      </c>
      <c r="R53" s="823">
        <f t="shared" si="14"/>
        <v>101412.56999999999</v>
      </c>
      <c r="S53" s="823">
        <f t="shared" si="14"/>
        <v>98227.3</v>
      </c>
      <c r="T53" s="823">
        <f t="shared" si="14"/>
        <v>101386.12</v>
      </c>
      <c r="U53" s="823">
        <f t="shared" si="14"/>
        <v>101246.67</v>
      </c>
      <c r="V53" s="823">
        <f t="shared" si="14"/>
        <v>91596.58</v>
      </c>
      <c r="W53" s="823">
        <f t="shared" si="14"/>
        <v>101328.42</v>
      </c>
      <c r="X53" s="823">
        <f t="shared" si="14"/>
        <v>98145.36</v>
      </c>
      <c r="Y53" s="823">
        <f t="shared" si="14"/>
        <v>101160.12</v>
      </c>
      <c r="Z53" s="823">
        <f t="shared" si="14"/>
        <v>98029.97</v>
      </c>
      <c r="AA53" s="822">
        <f t="shared" si="14"/>
        <v>1193383.3799999999</v>
      </c>
      <c r="AB53" s="823">
        <f t="shared" si="14"/>
        <v>101405.35</v>
      </c>
      <c r="AC53" s="823">
        <f t="shared" si="14"/>
        <v>101487.08</v>
      </c>
      <c r="AD53" s="823">
        <f t="shared" si="14"/>
        <v>98034.790000000008</v>
      </c>
      <c r="AE53" s="823">
        <f t="shared" si="14"/>
        <v>101289.94</v>
      </c>
      <c r="AF53" s="823">
        <f t="shared" si="14"/>
        <v>98082.86</v>
      </c>
      <c r="AG53" s="823">
        <f t="shared" si="14"/>
        <v>101314</v>
      </c>
      <c r="AH53" s="823">
        <f t="shared" si="14"/>
        <v>101352.45999999999</v>
      </c>
      <c r="AI53" s="823">
        <f t="shared" si="14"/>
        <v>91702.36</v>
      </c>
      <c r="AJ53" s="823">
        <f t="shared" si="14"/>
        <v>101025.49</v>
      </c>
      <c r="AK53" s="823">
        <f t="shared" si="14"/>
        <v>98308.85</v>
      </c>
      <c r="AL53" s="823">
        <f t="shared" si="14"/>
        <v>101063.49</v>
      </c>
      <c r="AM53" s="823">
        <f t="shared" si="14"/>
        <v>98228.45</v>
      </c>
      <c r="AN53" s="822">
        <f t="shared" si="14"/>
        <v>1193295.1200000001</v>
      </c>
      <c r="AU53" s="805"/>
      <c r="AV53" s="805"/>
      <c r="AW53" s="805"/>
      <c r="AX53" s="805"/>
      <c r="AY53" s="805"/>
      <c r="AZ53" s="805"/>
      <c r="BA53" s="805"/>
      <c r="BB53" s="805"/>
      <c r="BC53" s="805"/>
    </row>
    <row r="54" spans="1:55">
      <c r="A54" s="835" t="s">
        <v>686</v>
      </c>
      <c r="B54" s="836" t="s">
        <v>687</v>
      </c>
      <c r="C54" s="830"/>
      <c r="D54" s="826">
        <f>'RP- Profit &amp; Loss 2016'!D70</f>
        <v>80297.259999999995</v>
      </c>
      <c r="E54" s="828">
        <f t="shared" si="6"/>
        <v>103717.29416666666</v>
      </c>
      <c r="F54" s="828">
        <f>'RP- Profit &amp; Loss 2016'!E70</f>
        <v>96476.92</v>
      </c>
      <c r="G54" s="828">
        <f>'RP- Profit &amp; Loss 2016'!F70</f>
        <v>100318.68</v>
      </c>
      <c r="H54" s="828">
        <f>'RP- Profit &amp; Loss 2016'!G70</f>
        <v>100222.52</v>
      </c>
      <c r="I54" s="828">
        <f>'RP- Profit &amp; Loss 2016'!H70</f>
        <v>93702.58</v>
      </c>
      <c r="J54" s="828">
        <f>'RP- Profit &amp; Loss 2016'!I70</f>
        <v>100857.21</v>
      </c>
      <c r="K54" s="828">
        <f>'RP- Profit &amp; Loss 2016'!J70</f>
        <v>97319.23</v>
      </c>
      <c r="L54" s="828">
        <f>'RP- Profit &amp; Loss 2016'!K70</f>
        <v>95583.92</v>
      </c>
      <c r="M54" s="828">
        <f>'RP- Profit &amp; Loss 2016'!L70</f>
        <v>90875.34</v>
      </c>
      <c r="N54" s="827">
        <f>'RP- Profit &amp; Loss 2016'!M70</f>
        <v>855653.66</v>
      </c>
      <c r="O54" s="829">
        <f>IFERROR(VLOOKUP($A54,'RP- Profit &amp; Loss 2017'!$A:$O,O$1,FALSE),)</f>
        <v>94250.72</v>
      </c>
      <c r="P54" s="829">
        <f>IFERROR(VLOOKUP($A54,'RP- Profit &amp; Loss 2017'!$A:$O,P$1,FALSE),)</f>
        <v>89620.39</v>
      </c>
      <c r="Q54" s="829">
        <f>IFERROR(VLOOKUP($A54,'RP- Profit &amp; Loss 2017'!$A:$O,Q$1,FALSE),)</f>
        <v>84398.67</v>
      </c>
      <c r="R54" s="829">
        <f>IFERROR(VLOOKUP($A54,'RP- Profit &amp; Loss 2017'!$A:$O,R$1,FALSE),)</f>
        <v>87004.73</v>
      </c>
      <c r="S54" s="829">
        <f>IFERROR(VLOOKUP($A54,'RP- Profit &amp; Loss 2017'!$A:$O,S$1,FALSE),)</f>
        <v>84139.03</v>
      </c>
      <c r="T54" s="829">
        <f>IFERROR(VLOOKUP($A54,'RP- Profit &amp; Loss 2017'!$A:$O,T$1,FALSE),)</f>
        <v>86898.95</v>
      </c>
      <c r="U54" s="829">
        <f>IFERROR(VLOOKUP($A54,'RP- Profit &amp; Loss 2017'!$A:$O,U$1,FALSE),)</f>
        <v>86898.94</v>
      </c>
      <c r="V54" s="829">
        <f>IFERROR(VLOOKUP($A54,'RP- Profit &amp; Loss 2017'!$A:$O,V$1,FALSE),)</f>
        <v>78566.31</v>
      </c>
      <c r="W54" s="829">
        <f>IFERROR(VLOOKUP($A54,'RP- Profit &amp; Loss 2017'!$A:$O,W$1,FALSE),)</f>
        <v>87230.720000000001</v>
      </c>
      <c r="X54" s="829">
        <f>IFERROR(VLOOKUP($A54,'RP- Profit &amp; Loss 2017'!$A:$O,X$1,FALSE),)</f>
        <v>84355.39</v>
      </c>
      <c r="Y54" s="829">
        <f>IFERROR(VLOOKUP($A54,'RP- Profit &amp; Loss 2017'!$A:$O,Y$1,FALSE),)</f>
        <v>86966.26</v>
      </c>
      <c r="Z54" s="829">
        <f>IFERROR(VLOOKUP($A54,'RP- Profit &amp; Loss 2017'!$A:$O,Z$1,FALSE),)</f>
        <v>84095.75</v>
      </c>
      <c r="AA54" s="827">
        <f>IFERROR(VLOOKUP($A54,'RP- Profit &amp; Loss 2017'!$A:$O,AA$1,FALSE),)</f>
        <v>1034425.86</v>
      </c>
      <c r="AB54" s="829">
        <f>IFERROR(VLOOKUP($A54,'RP- Profit &amp; Loss 2018'!$A:$O,AB$1,FALSE),)</f>
        <v>86826.82</v>
      </c>
      <c r="AC54" s="829">
        <f>IFERROR(VLOOKUP($A54,'RP- Profit &amp; Loss 2018'!$A:$O,AC$1,FALSE),)</f>
        <v>86533.52</v>
      </c>
      <c r="AD54" s="829">
        <f>IFERROR(VLOOKUP($A54,'RP- Profit &amp; Loss 2018'!$A:$O,AD$1,FALSE),)</f>
        <v>83581.27</v>
      </c>
      <c r="AE54" s="829">
        <f>IFERROR(VLOOKUP($A54,'RP- Profit &amp; Loss 2018'!$A:$O,AE$1,FALSE),)</f>
        <v>86384.46</v>
      </c>
      <c r="AF54" s="829">
        <f>IFERROR(VLOOKUP($A54,'RP- Profit &amp; Loss 2018'!$A:$O,AF$1,FALSE),)</f>
        <v>83889</v>
      </c>
      <c r="AG54" s="829">
        <f>IFERROR(VLOOKUP($A54,'RP- Profit &amp; Loss 2018'!$A:$O,AG$1,FALSE),)</f>
        <v>88269.29</v>
      </c>
      <c r="AH54" s="829">
        <f>IFERROR(VLOOKUP($A54,'RP- Profit &amp; Loss 2018'!$A:$O,AH$1,FALSE),)</f>
        <v>89605.98</v>
      </c>
      <c r="AI54" s="829">
        <f>IFERROR(VLOOKUP($A54,'RP- Profit &amp; Loss 2018'!$A:$O,AI$1,FALSE),)</f>
        <v>80489.59</v>
      </c>
      <c r="AJ54" s="829">
        <f>IFERROR(VLOOKUP($A54,'RP- Profit &amp; Loss 2018'!$A:$O,AJ$1,FALSE),)</f>
        <v>90038.71</v>
      </c>
      <c r="AK54" s="829">
        <f>IFERROR(VLOOKUP($A54,'RP- Profit &amp; Loss 2018'!$A:$O,AK$1,FALSE),)</f>
        <v>90182.96</v>
      </c>
      <c r="AL54" s="829">
        <f>IFERROR(VLOOKUP($A54,'RP- Profit &amp; Loss 2018'!$A:$O,AL$1,FALSE),)</f>
        <v>94423.33</v>
      </c>
      <c r="AM54" s="829">
        <f>IFERROR(VLOOKUP($A54,'RP- Profit &amp; Loss 2018'!$A:$O,AM$1,FALSE),)</f>
        <v>92115.86</v>
      </c>
      <c r="AN54" s="827">
        <f>IFERROR(VLOOKUP($A54,'RP- Profit &amp; Loss 2018'!$A:$O,AN$1,FALSE),)</f>
        <v>1052340.79</v>
      </c>
      <c r="AU54" s="805"/>
      <c r="AV54" s="805"/>
      <c r="AW54" s="805"/>
      <c r="AX54" s="805"/>
      <c r="AY54" s="805"/>
      <c r="AZ54" s="805"/>
      <c r="BA54" s="805"/>
      <c r="BB54" s="805"/>
      <c r="BC54" s="805"/>
    </row>
    <row r="55" spans="1:55" ht="12.75" thickBot="1">
      <c r="A55" s="835" t="s">
        <v>688</v>
      </c>
      <c r="B55" s="836" t="s">
        <v>689</v>
      </c>
      <c r="C55" s="838"/>
      <c r="D55" s="826">
        <f>'RP- Profit &amp; Loss 2016'!D71</f>
        <v>1442.47</v>
      </c>
      <c r="E55" s="828">
        <f t="shared" si="6"/>
        <v>1863.1904166666666</v>
      </c>
      <c r="F55" s="828">
        <f>'RP- Profit &amp; Loss 2016'!E71</f>
        <v>1377.65</v>
      </c>
      <c r="G55" s="828">
        <f>'RP- Profit &amp; Loss 2016'!F71</f>
        <v>971.07</v>
      </c>
      <c r="H55" s="828">
        <f>'RP- Profit &amp; Loss 2016'!G71</f>
        <v>1134.74</v>
      </c>
      <c r="I55" s="828">
        <f>'RP- Profit &amp; Loss 2016'!H71</f>
        <v>1115.51</v>
      </c>
      <c r="J55" s="828">
        <f>'RP- Profit &amp; Loss 2016'!I71</f>
        <v>471.2</v>
      </c>
      <c r="K55" s="828">
        <f>'RP- Profit &amp; Loss 2016'!J71</f>
        <v>673.92</v>
      </c>
      <c r="L55" s="828">
        <f>'RP- Profit &amp; Loss 2016'!K71</f>
        <v>5734.86</v>
      </c>
      <c r="M55" s="828">
        <f>'RP- Profit &amp; Loss 2016'!L71</f>
        <v>7443.12</v>
      </c>
      <c r="N55" s="827">
        <f>'RP- Profit &amp; Loss 2016'!M71</f>
        <v>20364.54</v>
      </c>
      <c r="O55" s="829">
        <f>IFERROR(VLOOKUP($A55,'RP- Profit &amp; Loss 2017'!$A:$O,O$1,FALSE),)</f>
        <v>7029.61</v>
      </c>
      <c r="P55" s="829">
        <f>IFERROR(VLOOKUP($A55,'RP- Profit &amp; Loss 2017'!$A:$O,P$1,FALSE),)</f>
        <v>11703.21</v>
      </c>
      <c r="Q55" s="829">
        <f>IFERROR(VLOOKUP($A55,'RP- Profit &amp; Loss 2017'!$A:$O,Q$1,FALSE),)</f>
        <v>13847.67</v>
      </c>
      <c r="R55" s="829">
        <f>IFERROR(VLOOKUP($A55,'RP- Profit &amp; Loss 2017'!$A:$O,R$1,FALSE),)</f>
        <v>14407.84</v>
      </c>
      <c r="S55" s="829">
        <f>IFERROR(VLOOKUP($A55,'RP- Profit &amp; Loss 2017'!$A:$O,S$1,FALSE),)</f>
        <v>14088.27</v>
      </c>
      <c r="T55" s="829">
        <f>IFERROR(VLOOKUP($A55,'RP- Profit &amp; Loss 2017'!$A:$O,T$1,FALSE),)</f>
        <v>14487.17</v>
      </c>
      <c r="U55" s="829">
        <f>IFERROR(VLOOKUP($A55,'RP- Profit &amp; Loss 2017'!$A:$O,U$1,FALSE),)</f>
        <v>14347.73</v>
      </c>
      <c r="V55" s="829">
        <f>IFERROR(VLOOKUP($A55,'RP- Profit &amp; Loss 2017'!$A:$O,V$1,FALSE),)</f>
        <v>13030.27</v>
      </c>
      <c r="W55" s="829">
        <f>IFERROR(VLOOKUP($A55,'RP- Profit &amp; Loss 2017'!$A:$O,W$1,FALSE),)</f>
        <v>14097.7</v>
      </c>
      <c r="X55" s="829">
        <f>IFERROR(VLOOKUP($A55,'RP- Profit &amp; Loss 2017'!$A:$O,X$1,FALSE),)</f>
        <v>13789.97</v>
      </c>
      <c r="Y55" s="829">
        <f>IFERROR(VLOOKUP($A55,'RP- Profit &amp; Loss 2017'!$A:$O,Y$1,FALSE),)</f>
        <v>14193.86</v>
      </c>
      <c r="Z55" s="829">
        <f>IFERROR(VLOOKUP($A55,'RP- Profit &amp; Loss 2017'!$A:$O,Z$1,FALSE),)</f>
        <v>13934.22</v>
      </c>
      <c r="AA55" s="827">
        <f>IFERROR(VLOOKUP($A55,'RP- Profit &amp; Loss 2017'!$A:$O,AA$1,FALSE),)</f>
        <v>158957.51999999999</v>
      </c>
      <c r="AB55" s="829">
        <f>IFERROR(VLOOKUP($A55,'RP- Profit &amp; Loss 2018'!$A:$O,AB$1,FALSE),)</f>
        <v>14578.53</v>
      </c>
      <c r="AC55" s="829">
        <f>IFERROR(VLOOKUP($A55,'RP- Profit &amp; Loss 2018'!$A:$O,AC$1,FALSE),)</f>
        <v>14953.56</v>
      </c>
      <c r="AD55" s="829">
        <f>IFERROR(VLOOKUP($A55,'RP- Profit &amp; Loss 2018'!$A:$O,AD$1,FALSE),)</f>
        <v>14453.52</v>
      </c>
      <c r="AE55" s="829">
        <f>IFERROR(VLOOKUP($A55,'RP- Profit &amp; Loss 2018'!$A:$O,AE$1,FALSE),)</f>
        <v>14905.48</v>
      </c>
      <c r="AF55" s="829">
        <f>IFERROR(VLOOKUP($A55,'RP- Profit &amp; Loss 2018'!$A:$O,AF$1,FALSE),)</f>
        <v>14193.86</v>
      </c>
      <c r="AG55" s="829">
        <f>IFERROR(VLOOKUP($A55,'RP- Profit &amp; Loss 2018'!$A:$O,AG$1,FALSE),)</f>
        <v>13044.71</v>
      </c>
      <c r="AH55" s="829">
        <f>IFERROR(VLOOKUP($A55,'RP- Profit &amp; Loss 2018'!$A:$O,AH$1,FALSE),)</f>
        <v>11746.48</v>
      </c>
      <c r="AI55" s="829">
        <f>IFERROR(VLOOKUP($A55,'RP- Profit &amp; Loss 2018'!$A:$O,AI$1,FALSE),)</f>
        <v>11212.77</v>
      </c>
      <c r="AJ55" s="829">
        <f>IFERROR(VLOOKUP($A55,'RP- Profit &amp; Loss 2018'!$A:$O,AJ$1,FALSE),)</f>
        <v>10986.78</v>
      </c>
      <c r="AK55" s="829">
        <f>IFERROR(VLOOKUP($A55,'RP- Profit &amp; Loss 2018'!$A:$O,AK$1,FALSE),)</f>
        <v>8125.89</v>
      </c>
      <c r="AL55" s="829">
        <f>IFERROR(VLOOKUP($A55,'RP- Profit &amp; Loss 2018'!$A:$O,AL$1,FALSE),)</f>
        <v>6640.16</v>
      </c>
      <c r="AM55" s="829">
        <f>IFERROR(VLOOKUP($A55,'RP- Profit &amp; Loss 2018'!$A:$O,AM$1,FALSE),)</f>
        <v>6112.59</v>
      </c>
      <c r="AN55" s="827">
        <f>IFERROR(VLOOKUP($A55,'RP- Profit &amp; Loss 2018'!$A:$O,AN$1,FALSE),)</f>
        <v>140954.32999999999</v>
      </c>
      <c r="AU55" s="805"/>
      <c r="AV55" s="805"/>
      <c r="AW55" s="805"/>
      <c r="AX55" s="805"/>
      <c r="AY55" s="805"/>
      <c r="AZ55" s="805"/>
      <c r="BA55" s="805"/>
      <c r="BB55" s="805"/>
      <c r="BC55" s="805"/>
    </row>
    <row r="56" spans="1:55">
      <c r="A56" s="839"/>
      <c r="B56" s="840" t="s">
        <v>690</v>
      </c>
      <c r="D56" s="841"/>
      <c r="E56" s="842"/>
      <c r="F56" s="842"/>
      <c r="G56" s="842"/>
      <c r="H56" s="842"/>
      <c r="I56" s="842"/>
      <c r="J56" s="842"/>
      <c r="K56" s="842"/>
      <c r="L56" s="842"/>
      <c r="M56" s="842"/>
      <c r="N56" s="843">
        <f>N52/N53</f>
        <v>3.4089321431906328</v>
      </c>
      <c r="O56" s="844"/>
      <c r="P56" s="844"/>
      <c r="Q56" s="844"/>
      <c r="R56" s="844"/>
      <c r="S56" s="844"/>
      <c r="T56" s="844"/>
      <c r="U56" s="844"/>
      <c r="V56" s="844"/>
      <c r="W56" s="844"/>
      <c r="X56" s="844"/>
      <c r="Y56" s="844"/>
      <c r="Z56" s="844"/>
      <c r="AA56" s="843">
        <f>AA52/AA53</f>
        <v>3.5310670322893212</v>
      </c>
      <c r="AB56" s="844"/>
      <c r="AC56" s="844"/>
      <c r="AD56" s="844"/>
      <c r="AE56" s="844"/>
      <c r="AF56" s="844"/>
      <c r="AG56" s="844"/>
      <c r="AH56" s="844"/>
      <c r="AI56" s="844"/>
      <c r="AJ56" s="844"/>
      <c r="AK56" s="844"/>
      <c r="AL56" s="844"/>
      <c r="AM56" s="844"/>
      <c r="AN56" s="843">
        <f>AN52/AN53</f>
        <v>3.6922524915714066</v>
      </c>
      <c r="AU56" s="805"/>
      <c r="AV56" s="805"/>
      <c r="AW56" s="805"/>
      <c r="AX56" s="805"/>
      <c r="AY56" s="805"/>
      <c r="AZ56" s="805"/>
      <c r="BA56" s="805"/>
      <c r="BB56" s="805"/>
      <c r="BC56" s="805"/>
    </row>
    <row r="57" spans="1:55">
      <c r="A57" s="839"/>
      <c r="B57" s="840" t="s">
        <v>691</v>
      </c>
      <c r="D57" s="845"/>
      <c r="E57" s="846"/>
      <c r="F57" s="846"/>
      <c r="G57" s="846"/>
      <c r="H57" s="846"/>
      <c r="I57" s="846"/>
      <c r="J57" s="846"/>
      <c r="K57" s="846"/>
      <c r="L57" s="846"/>
      <c r="M57" s="846"/>
      <c r="N57" s="847">
        <f>N52/$AP$131/$N$2*365</f>
        <v>0.11587305024025177</v>
      </c>
      <c r="O57" s="848"/>
      <c r="P57" s="848"/>
      <c r="Q57" s="848"/>
      <c r="R57" s="848"/>
      <c r="S57" s="848"/>
      <c r="T57" s="848"/>
      <c r="U57" s="848"/>
      <c r="V57" s="848"/>
      <c r="W57" s="848"/>
      <c r="X57" s="848"/>
      <c r="Y57" s="848"/>
      <c r="Z57" s="848"/>
      <c r="AA57" s="847">
        <f>AA52/$AP$131/AA2*365</f>
        <v>0.12005460712250711</v>
      </c>
      <c r="AB57" s="848"/>
      <c r="AC57" s="848"/>
      <c r="AD57" s="848"/>
      <c r="AE57" s="848"/>
      <c r="AF57" s="848"/>
      <c r="AG57" s="848"/>
      <c r="AH57" s="848"/>
      <c r="AI57" s="848"/>
      <c r="AJ57" s="848"/>
      <c r="AK57" s="848"/>
      <c r="AL57" s="848"/>
      <c r="AM57" s="848"/>
      <c r="AN57" s="847">
        <f>AN52/$AP$131/AN2*365</f>
        <v>0.12552555213675215</v>
      </c>
      <c r="AU57" s="805"/>
      <c r="AV57" s="805"/>
      <c r="AW57" s="805"/>
      <c r="AX57" s="805"/>
      <c r="AY57" s="805"/>
      <c r="AZ57" s="805"/>
      <c r="BA57" s="805"/>
      <c r="BB57" s="805"/>
      <c r="BC57" s="805"/>
    </row>
    <row r="58" spans="1:55">
      <c r="D58" s="814"/>
      <c r="N58" s="804"/>
      <c r="O58" s="806"/>
      <c r="P58" s="806"/>
      <c r="Q58" s="806"/>
      <c r="R58" s="806"/>
      <c r="S58" s="806"/>
      <c r="T58" s="806"/>
      <c r="U58" s="806"/>
      <c r="V58" s="806"/>
      <c r="W58" s="806"/>
      <c r="X58" s="806"/>
      <c r="Y58" s="806"/>
      <c r="Z58" s="806"/>
      <c r="AA58" s="804"/>
      <c r="AN58" s="804"/>
      <c r="AU58" s="805"/>
      <c r="AV58" s="805"/>
      <c r="AW58" s="805"/>
      <c r="AX58" s="805"/>
      <c r="AY58" s="805"/>
      <c r="AZ58" s="805"/>
      <c r="BA58" s="805"/>
      <c r="BB58" s="805"/>
      <c r="BC58" s="805"/>
    </row>
    <row r="59" spans="1:55">
      <c r="A59" s="805"/>
      <c r="B59" s="805"/>
      <c r="D59" s="826">
        <f>SUM('RP- Profit &amp; Loss 2016'!D57:D59,'RP- Profit &amp; Loss 2016'!D36)</f>
        <v>52563.199999999997</v>
      </c>
      <c r="E59" s="828">
        <f t="shared" ref="E59" si="15">D59/24*31</f>
        <v>67894.133333333331</v>
      </c>
      <c r="F59" s="828">
        <f>SUM('RP- Profit &amp; Loss 2016'!E57:E59,'RP- Profit &amp; Loss 2016'!E36)</f>
        <v>82745.94</v>
      </c>
      <c r="G59" s="828">
        <f>SUM('RP- Profit &amp; Loss 2016'!F57:F59,'RP- Profit &amp; Loss 2016'!F36)</f>
        <v>78018.570000000007</v>
      </c>
      <c r="H59" s="828">
        <f>SUM('RP- Profit &amp; Loss 2016'!G57:G59,'RP- Profit &amp; Loss 2016'!G36)</f>
        <v>57128.850000000006</v>
      </c>
      <c r="I59" s="828">
        <f>SUM('RP- Profit &amp; Loss 2016'!H57:H59,'RP- Profit &amp; Loss 2016'!H36)</f>
        <v>88545.44</v>
      </c>
      <c r="J59" s="828">
        <f>SUM('RP- Profit &amp; Loss 2016'!I57:I59,'RP- Profit &amp; Loss 2016'!I36)</f>
        <v>55858.35</v>
      </c>
      <c r="K59" s="828">
        <f>SUM('RP- Profit &amp; Loss 2016'!J57:J59,'RP- Profit &amp; Loss 2016'!J36)</f>
        <v>68887.42</v>
      </c>
      <c r="L59" s="828">
        <f>SUM('RP- Profit &amp; Loss 2016'!K57:K59,'RP- Profit &amp; Loss 2016'!K36)</f>
        <v>69493.06</v>
      </c>
      <c r="M59" s="828">
        <f>SUM('RP- Profit &amp; Loss 2016'!L57:L59,'RP- Profit &amp; Loss 2016'!L36)</f>
        <v>69751.98</v>
      </c>
      <c r="N59" s="827">
        <f>SUM('RP- Profit &amp; Loss 2016'!M57:M59,'RP- Profit &amp; Loss 2016'!M36)</f>
        <v>622992.81000000006</v>
      </c>
      <c r="O59" s="829">
        <f>'RP- Profit &amp; Loss 2017'!C91</f>
        <v>69418.350000000006</v>
      </c>
      <c r="P59" s="829">
        <f>'RP- Profit &amp; Loss 2017'!D91</f>
        <v>67992.84</v>
      </c>
      <c r="Q59" s="829">
        <f>'RP- Profit &amp; Loss 2017'!E91</f>
        <v>68440.33</v>
      </c>
      <c r="R59" s="829">
        <f>'RP- Profit &amp; Loss 2017'!F91</f>
        <v>67112.180000000008</v>
      </c>
      <c r="S59" s="829">
        <f>'RP- Profit &amp; Loss 2017'!G91</f>
        <v>68225.3</v>
      </c>
      <c r="T59" s="829">
        <f>'RP- Profit &amp; Loss 2017'!H91</f>
        <v>68468.3</v>
      </c>
      <c r="U59" s="829">
        <f>'RP- Profit &amp; Loss 2017'!I91</f>
        <v>68533.37</v>
      </c>
      <c r="V59" s="829">
        <f>'RP- Profit &amp; Loss 2017'!J91</f>
        <v>62694.789999999994</v>
      </c>
      <c r="W59" s="829">
        <f>'RP- Profit &amp; Loss 2017'!K91</f>
        <v>65719.11</v>
      </c>
      <c r="X59" s="829">
        <f>'RP- Profit &amp; Loss 2017'!L91</f>
        <v>70356.53</v>
      </c>
      <c r="Y59" s="829">
        <f>'RP- Profit &amp; Loss 2017'!M91</f>
        <v>68948.320000000007</v>
      </c>
      <c r="Z59" s="829">
        <f>'RP- Profit &amp; Loss 2017'!N91</f>
        <v>72165.56</v>
      </c>
      <c r="AA59" s="827">
        <f>'RP- Profit &amp; Loss 2017'!O91</f>
        <v>818074.98</v>
      </c>
      <c r="AB59" s="829">
        <f>'RP- Profit &amp; Loss 2018'!C98</f>
        <v>70220.33</v>
      </c>
      <c r="AC59" s="829">
        <f>'RP- Profit &amp; Loss 2018'!D98</f>
        <v>69333.58</v>
      </c>
      <c r="AD59" s="829">
        <f>'RP- Profit &amp; Loss 2018'!E98</f>
        <v>66874.319999999992</v>
      </c>
      <c r="AE59" s="829">
        <f>'RP- Profit &amp; Loss 2018'!F98</f>
        <v>70474.640000000014</v>
      </c>
      <c r="AF59" s="829">
        <f>'RP- Profit &amp; Loss 2018'!G98</f>
        <v>72455.13</v>
      </c>
      <c r="AG59" s="829">
        <f>'RP- Profit &amp; Loss 2018'!H98</f>
        <v>64437.850000000006</v>
      </c>
      <c r="AH59" s="829">
        <f>'RP- Profit &amp; Loss 2018'!I98</f>
        <v>67642.439999999988</v>
      </c>
      <c r="AI59" s="829">
        <f>'RP- Profit &amp; Loss 2018'!J98</f>
        <v>86043.3</v>
      </c>
      <c r="AJ59" s="829">
        <f>'RP- Profit &amp; Loss 2018'!K98</f>
        <v>69676.700000000012</v>
      </c>
      <c r="AK59" s="829">
        <f>'RP- Profit &amp; Loss 2018'!L98</f>
        <v>71098.080000000002</v>
      </c>
      <c r="AL59" s="829">
        <f>'RP- Profit &amp; Loss 2018'!M98</f>
        <v>68689.829999999987</v>
      </c>
      <c r="AM59" s="829">
        <f>'RP- Profit &amp; Loss 2018'!N98</f>
        <v>71859.800000000017</v>
      </c>
      <c r="AN59" s="827">
        <f>'RP- Profit &amp; Loss 2018'!O98</f>
        <v>848806</v>
      </c>
      <c r="AU59" s="805"/>
      <c r="AV59" s="805"/>
      <c r="AW59" s="805"/>
      <c r="AX59" s="805"/>
      <c r="AY59" s="805"/>
      <c r="AZ59" s="805"/>
      <c r="BA59" s="805"/>
      <c r="BB59" s="805"/>
      <c r="BC59" s="805"/>
    </row>
    <row r="60" spans="1:55">
      <c r="A60" s="805"/>
      <c r="B60" s="805"/>
      <c r="D60" s="826" t="b">
        <f>D17=D59</f>
        <v>1</v>
      </c>
      <c r="E60" s="828"/>
      <c r="F60" s="828" t="b">
        <f t="shared" ref="F60:N60" si="16">F17=F59</f>
        <v>1</v>
      </c>
      <c r="G60" s="828" t="b">
        <f t="shared" si="16"/>
        <v>1</v>
      </c>
      <c r="H60" s="828" t="b">
        <f t="shared" si="16"/>
        <v>1</v>
      </c>
      <c r="I60" s="828" t="b">
        <f t="shared" si="16"/>
        <v>1</v>
      </c>
      <c r="J60" s="828" t="b">
        <f t="shared" si="16"/>
        <v>1</v>
      </c>
      <c r="K60" s="828" t="b">
        <f t="shared" si="16"/>
        <v>1</v>
      </c>
      <c r="L60" s="828" t="b">
        <f t="shared" si="16"/>
        <v>1</v>
      </c>
      <c r="M60" s="828" t="b">
        <f t="shared" si="16"/>
        <v>1</v>
      </c>
      <c r="N60" s="827" t="b">
        <f t="shared" si="16"/>
        <v>1</v>
      </c>
      <c r="O60" s="829">
        <f>O17-O59</f>
        <v>0.28999999999359716</v>
      </c>
      <c r="P60" s="829">
        <f>P17-P59</f>
        <v>-0.28999999999359716</v>
      </c>
      <c r="Q60" s="829" t="b">
        <f t="shared" ref="Q60:AN60" si="17">Q17=Q59</f>
        <v>1</v>
      </c>
      <c r="R60" s="829" t="b">
        <f t="shared" si="17"/>
        <v>1</v>
      </c>
      <c r="S60" s="829" t="b">
        <f t="shared" si="17"/>
        <v>1</v>
      </c>
      <c r="T60" s="829" t="b">
        <f t="shared" si="17"/>
        <v>1</v>
      </c>
      <c r="U60" s="829" t="b">
        <f t="shared" si="17"/>
        <v>1</v>
      </c>
      <c r="V60" s="829" t="b">
        <f t="shared" si="17"/>
        <v>1</v>
      </c>
      <c r="W60" s="829" t="b">
        <f t="shared" si="17"/>
        <v>1</v>
      </c>
      <c r="X60" s="829" t="b">
        <f t="shared" si="17"/>
        <v>1</v>
      </c>
      <c r="Y60" s="829" t="b">
        <f t="shared" si="17"/>
        <v>1</v>
      </c>
      <c r="Z60" s="829" t="b">
        <f t="shared" si="17"/>
        <v>1</v>
      </c>
      <c r="AA60" s="827" t="b">
        <f t="shared" si="17"/>
        <v>1</v>
      </c>
      <c r="AB60" s="829" t="b">
        <f t="shared" si="17"/>
        <v>1</v>
      </c>
      <c r="AC60" s="829" t="b">
        <f t="shared" si="17"/>
        <v>1</v>
      </c>
      <c r="AD60" s="829" t="b">
        <f t="shared" si="17"/>
        <v>1</v>
      </c>
      <c r="AE60" s="829" t="b">
        <f t="shared" si="17"/>
        <v>1</v>
      </c>
      <c r="AF60" s="829" t="b">
        <f t="shared" si="17"/>
        <v>1</v>
      </c>
      <c r="AG60" s="829" t="b">
        <f t="shared" si="17"/>
        <v>1</v>
      </c>
      <c r="AH60" s="829" t="b">
        <f t="shared" si="17"/>
        <v>1</v>
      </c>
      <c r="AI60" s="829" t="b">
        <f t="shared" si="17"/>
        <v>1</v>
      </c>
      <c r="AJ60" s="829" t="b">
        <f t="shared" si="17"/>
        <v>1</v>
      </c>
      <c r="AK60" s="829" t="b">
        <f t="shared" si="17"/>
        <v>1</v>
      </c>
      <c r="AL60" s="829" t="b">
        <f t="shared" si="17"/>
        <v>1</v>
      </c>
      <c r="AM60" s="829" t="b">
        <f t="shared" si="17"/>
        <v>1</v>
      </c>
      <c r="AN60" s="827" t="b">
        <f t="shared" si="17"/>
        <v>1</v>
      </c>
      <c r="AU60" s="805"/>
      <c r="AV60" s="805"/>
      <c r="AW60" s="805"/>
      <c r="AX60" s="805"/>
      <c r="AY60" s="805"/>
      <c r="AZ60" s="805"/>
      <c r="BA60" s="805"/>
      <c r="BB60" s="805"/>
      <c r="BC60" s="805"/>
    </row>
    <row r="61" spans="1:55">
      <c r="A61" s="805"/>
      <c r="B61" s="805"/>
      <c r="C61" s="805"/>
      <c r="D61" s="826">
        <f>'RP- Profit &amp; Loss 2016'!D32</f>
        <v>335626.68</v>
      </c>
      <c r="E61" s="828">
        <f t="shared" ref="E61" si="18">D61/24*31</f>
        <v>433517.79499999998</v>
      </c>
      <c r="F61" s="828">
        <f>'RP- Profit &amp; Loss 2016'!E32</f>
        <v>438840.81</v>
      </c>
      <c r="G61" s="828">
        <f>'RP- Profit &amp; Loss 2016'!F32</f>
        <v>449702.61</v>
      </c>
      <c r="H61" s="828">
        <f>'RP- Profit &amp; Loss 2016'!G32</f>
        <v>442072.23</v>
      </c>
      <c r="I61" s="828">
        <f>'RP- Profit &amp; Loss 2016'!H32</f>
        <v>425027.9</v>
      </c>
      <c r="J61" s="828">
        <f>'RP- Profit &amp; Loss 2016'!I32</f>
        <v>434072.22</v>
      </c>
      <c r="K61" s="828">
        <f>'RP- Profit &amp; Loss 2016'!J32</f>
        <v>434072.14</v>
      </c>
      <c r="L61" s="828">
        <f>'RP- Profit &amp; Loss 2016'!K32</f>
        <v>434072.25</v>
      </c>
      <c r="M61" s="828">
        <f>'RP- Profit &amp; Loss 2016'!L32</f>
        <v>1207024.6599999999</v>
      </c>
      <c r="N61" s="827">
        <f>'RP- Profit &amp; Loss 2016'!M32</f>
        <v>4600511.5</v>
      </c>
      <c r="O61" s="829">
        <f>'RP- Profit &amp; Loss 2017'!C28</f>
        <v>512007.54</v>
      </c>
      <c r="P61" s="829">
        <f>'RP- Profit &amp; Loss 2017'!D28</f>
        <v>512007.56</v>
      </c>
      <c r="Q61" s="829">
        <f>'RP- Profit &amp; Loss 2017'!E28</f>
        <v>511758.79</v>
      </c>
      <c r="R61" s="829">
        <f>'RP- Profit &amp; Loss 2017'!F28</f>
        <v>526138.43000000005</v>
      </c>
      <c r="S61" s="829">
        <f>'RP- Profit &amp; Loss 2017'!G28</f>
        <v>526372.78</v>
      </c>
      <c r="T61" s="829">
        <f>'RP- Profit &amp; Loss 2017'!H28</f>
        <v>526663.80000000005</v>
      </c>
      <c r="U61" s="829">
        <f>'RP- Profit &amp; Loss 2017'!I28</f>
        <v>526701.18999999994</v>
      </c>
      <c r="V61" s="829">
        <f>'RP- Profit &amp; Loss 2017'!J28</f>
        <v>525778.12</v>
      </c>
      <c r="W61" s="829">
        <f>'RP- Profit &amp; Loss 2017'!K28</f>
        <v>526701.18999999994</v>
      </c>
      <c r="X61" s="829">
        <f>'RP- Profit &amp; Loss 2017'!L28</f>
        <v>526701.18999999994</v>
      </c>
      <c r="Y61" s="829">
        <f>'RP- Profit &amp; Loss 2017'!M28</f>
        <v>522363.19</v>
      </c>
      <c r="Z61" s="829">
        <f>'RP- Profit &amp; Loss 2017'!N28</f>
        <v>532919.18999999994</v>
      </c>
      <c r="AA61" s="827">
        <f>'RP- Profit &amp; Loss 2017'!O28</f>
        <v>6276112.9699999997</v>
      </c>
      <c r="AB61" s="829">
        <f>'RP- Profit &amp; Loss 2018'!C35</f>
        <v>523959.61</v>
      </c>
      <c r="AC61" s="829">
        <f>'RP- Profit &amp; Loss 2018'!D35</f>
        <v>524414.15</v>
      </c>
      <c r="AD61" s="829">
        <f>'RP- Profit &amp; Loss 2018'!E35</f>
        <v>524005.07</v>
      </c>
      <c r="AE61" s="829">
        <f>'RP- Profit &amp; Loss 2018'!F35</f>
        <v>524971.04</v>
      </c>
      <c r="AF61" s="829">
        <f>'RP- Profit &amp; Loss 2018'!G35</f>
        <v>524343.04000000004</v>
      </c>
      <c r="AG61" s="829">
        <f>'RP- Profit &amp; Loss 2018'!H35</f>
        <v>516168.24</v>
      </c>
      <c r="AH61" s="829">
        <f>'RP- Profit &amp; Loss 2018'!I35</f>
        <v>528911.59</v>
      </c>
      <c r="AI61" s="829">
        <f>'RP- Profit &amp; Loss 2018'!J35</f>
        <v>516355.59</v>
      </c>
      <c r="AJ61" s="829">
        <f>'RP- Profit &amp; Loss 2018'!K35</f>
        <v>523050.59</v>
      </c>
      <c r="AK61" s="829">
        <f>'RP- Profit &amp; Loss 2018'!L35</f>
        <v>523270.85</v>
      </c>
      <c r="AL61" s="829">
        <f>'RP- Profit &amp; Loss 2018'!M35</f>
        <v>523042.45</v>
      </c>
      <c r="AM61" s="829">
        <f>'RP- Profit &amp; Loss 2018'!N35</f>
        <v>524973.43999999994</v>
      </c>
      <c r="AN61" s="827">
        <f>'RP- Profit &amp; Loss 2018'!O35</f>
        <v>6277465.6600000001</v>
      </c>
    </row>
    <row r="62" spans="1:55">
      <c r="A62" s="805"/>
      <c r="B62" s="805"/>
      <c r="C62" s="805"/>
      <c r="D62" s="814" t="b">
        <f>D7=D61</f>
        <v>1</v>
      </c>
      <c r="F62" s="803" t="b">
        <f t="shared" ref="F62:AN62" si="19">F7=F61</f>
        <v>1</v>
      </c>
      <c r="G62" s="803" t="b">
        <f t="shared" si="19"/>
        <v>1</v>
      </c>
      <c r="H62" s="803" t="b">
        <f t="shared" si="19"/>
        <v>1</v>
      </c>
      <c r="I62" s="803" t="b">
        <f t="shared" si="19"/>
        <v>1</v>
      </c>
      <c r="J62" s="803" t="b">
        <f t="shared" si="19"/>
        <v>1</v>
      </c>
      <c r="K62" s="803" t="b">
        <f t="shared" si="19"/>
        <v>1</v>
      </c>
      <c r="L62" s="803" t="b">
        <f t="shared" si="19"/>
        <v>1</v>
      </c>
      <c r="M62" s="803" t="b">
        <f t="shared" si="19"/>
        <v>0</v>
      </c>
      <c r="N62" s="804" t="b">
        <f t="shared" si="19"/>
        <v>0</v>
      </c>
      <c r="O62" s="806" t="b">
        <f t="shared" si="19"/>
        <v>0</v>
      </c>
      <c r="P62" s="806" t="b">
        <f t="shared" si="19"/>
        <v>0</v>
      </c>
      <c r="Q62" s="806" t="b">
        <f t="shared" si="19"/>
        <v>0</v>
      </c>
      <c r="R62" s="806" t="b">
        <f t="shared" si="19"/>
        <v>0</v>
      </c>
      <c r="S62" s="806" t="b">
        <f t="shared" si="19"/>
        <v>0</v>
      </c>
      <c r="T62" s="806" t="b">
        <f t="shared" si="19"/>
        <v>0</v>
      </c>
      <c r="U62" s="806" t="b">
        <f t="shared" si="19"/>
        <v>0</v>
      </c>
      <c r="V62" s="806" t="b">
        <f t="shared" si="19"/>
        <v>0</v>
      </c>
      <c r="W62" s="806" t="b">
        <f t="shared" si="19"/>
        <v>0</v>
      </c>
      <c r="X62" s="806" t="b">
        <f t="shared" si="19"/>
        <v>0</v>
      </c>
      <c r="Y62" s="806" t="b">
        <f t="shared" si="19"/>
        <v>0</v>
      </c>
      <c r="Z62" s="806" t="b">
        <f t="shared" si="19"/>
        <v>0</v>
      </c>
      <c r="AA62" s="804" t="b">
        <f t="shared" si="19"/>
        <v>0</v>
      </c>
      <c r="AB62" s="806" t="b">
        <f t="shared" si="19"/>
        <v>0</v>
      </c>
      <c r="AC62" s="806" t="b">
        <f t="shared" si="19"/>
        <v>0</v>
      </c>
      <c r="AD62" s="806" t="b">
        <f t="shared" si="19"/>
        <v>0</v>
      </c>
      <c r="AE62" s="806" t="b">
        <f t="shared" si="19"/>
        <v>0</v>
      </c>
      <c r="AF62" s="806" t="b">
        <f t="shared" si="19"/>
        <v>0</v>
      </c>
      <c r="AG62" s="806" t="b">
        <f t="shared" si="19"/>
        <v>0</v>
      </c>
      <c r="AH62" s="806" t="b">
        <f t="shared" si="19"/>
        <v>0</v>
      </c>
      <c r="AI62" s="806" t="b">
        <f t="shared" si="19"/>
        <v>0</v>
      </c>
      <c r="AJ62" s="806" t="b">
        <f t="shared" si="19"/>
        <v>0</v>
      </c>
      <c r="AK62" s="806" t="b">
        <f t="shared" si="19"/>
        <v>0</v>
      </c>
      <c r="AL62" s="806" t="b">
        <f t="shared" si="19"/>
        <v>0</v>
      </c>
      <c r="AM62" s="806" t="b">
        <f t="shared" si="19"/>
        <v>0</v>
      </c>
      <c r="AN62" s="804" t="b">
        <f t="shared" si="19"/>
        <v>0</v>
      </c>
    </row>
    <row r="63" spans="1:55">
      <c r="A63" s="805"/>
      <c r="B63" s="805"/>
      <c r="C63" s="805"/>
      <c r="D63" s="805"/>
      <c r="E63" s="805"/>
      <c r="F63" s="805"/>
      <c r="G63" s="805"/>
      <c r="H63" s="805"/>
      <c r="I63" s="805"/>
      <c r="J63" s="805"/>
      <c r="K63" s="805"/>
      <c r="L63" s="805"/>
      <c r="M63" s="805"/>
      <c r="N63" s="828"/>
      <c r="O63" s="828"/>
      <c r="P63" s="828"/>
      <c r="Q63" s="828"/>
      <c r="R63" s="828"/>
      <c r="S63" s="828"/>
      <c r="T63" s="828"/>
      <c r="U63" s="828"/>
      <c r="V63" s="828"/>
      <c r="W63" s="828"/>
      <c r="X63" s="828"/>
      <c r="Y63" s="828"/>
      <c r="Z63" s="806"/>
      <c r="AN63" s="804"/>
    </row>
    <row r="64" spans="1:55">
      <c r="Z64" s="806"/>
    </row>
    <row r="65" spans="1:49">
      <c r="Z65" s="806"/>
    </row>
    <row r="66" spans="1:49">
      <c r="Z66" s="806"/>
    </row>
    <row r="67" spans="1:49">
      <c r="E67" s="828" t="b">
        <f>E59=E90</f>
        <v>1</v>
      </c>
      <c r="F67" s="828" t="b">
        <f>F59=F90</f>
        <v>1</v>
      </c>
      <c r="G67" s="828" t="b">
        <f t="shared" ref="G67:M67" si="20">G59=G90</f>
        <v>1</v>
      </c>
      <c r="H67" s="828" t="b">
        <f t="shared" si="20"/>
        <v>1</v>
      </c>
      <c r="I67" s="828" t="b">
        <f t="shared" si="20"/>
        <v>1</v>
      </c>
      <c r="J67" s="828" t="b">
        <f t="shared" si="20"/>
        <v>1</v>
      </c>
      <c r="K67" s="828" t="b">
        <f t="shared" si="20"/>
        <v>1</v>
      </c>
      <c r="L67" s="828" t="b">
        <f t="shared" si="20"/>
        <v>1</v>
      </c>
      <c r="M67" s="828" t="b">
        <f t="shared" si="20"/>
        <v>1</v>
      </c>
      <c r="O67" s="849">
        <f t="shared" ref="O67:Z67" si="21">IF(O59=O90,TRUE,(O59)-(O90))</f>
        <v>-0.28999999999359716</v>
      </c>
      <c r="P67" s="849">
        <f t="shared" si="21"/>
        <v>0.29000000000814907</v>
      </c>
      <c r="Q67" s="849" t="b">
        <f t="shared" si="21"/>
        <v>1</v>
      </c>
      <c r="R67" s="849" t="b">
        <f t="shared" si="21"/>
        <v>1</v>
      </c>
      <c r="S67" s="849" t="b">
        <f t="shared" si="21"/>
        <v>1</v>
      </c>
      <c r="T67" s="849" t="b">
        <f t="shared" si="21"/>
        <v>1</v>
      </c>
      <c r="U67" s="849" t="b">
        <f t="shared" si="21"/>
        <v>1</v>
      </c>
      <c r="V67" s="849" t="b">
        <f t="shared" si="21"/>
        <v>1</v>
      </c>
      <c r="W67" s="849" t="b">
        <f t="shared" si="21"/>
        <v>1</v>
      </c>
      <c r="X67" s="849" t="b">
        <f t="shared" si="21"/>
        <v>1</v>
      </c>
      <c r="Y67" s="849" t="b">
        <f t="shared" si="21"/>
        <v>1</v>
      </c>
      <c r="Z67" s="849" t="b">
        <f t="shared" si="21"/>
        <v>1</v>
      </c>
      <c r="AB67" s="849" t="b">
        <f>IF(AB59=AB90,TRUE,(AB59)-(AB90))</f>
        <v>1</v>
      </c>
      <c r="AC67" s="849" t="b">
        <f t="shared" ref="AC67:AM67" si="22">IF(AC59=AC90,TRUE,(AC59)-(AC90))</f>
        <v>1</v>
      </c>
      <c r="AD67" s="849" t="b">
        <f t="shared" si="22"/>
        <v>1</v>
      </c>
      <c r="AE67" s="849" t="b">
        <f t="shared" si="22"/>
        <v>1</v>
      </c>
      <c r="AF67" s="849" t="b">
        <f t="shared" si="22"/>
        <v>1</v>
      </c>
      <c r="AG67" s="849" t="b">
        <f t="shared" si="22"/>
        <v>1</v>
      </c>
      <c r="AH67" s="849" t="b">
        <f t="shared" si="22"/>
        <v>1</v>
      </c>
      <c r="AI67" s="849" t="b">
        <f t="shared" si="22"/>
        <v>1</v>
      </c>
      <c r="AJ67" s="849" t="b">
        <f t="shared" si="22"/>
        <v>1</v>
      </c>
      <c r="AK67" s="849" t="b">
        <f t="shared" si="22"/>
        <v>1</v>
      </c>
      <c r="AL67" s="849" t="b">
        <f t="shared" si="22"/>
        <v>1</v>
      </c>
      <c r="AM67" s="849" t="b">
        <f t="shared" si="22"/>
        <v>1</v>
      </c>
    </row>
    <row r="68" spans="1:49">
      <c r="E68" s="803" t="b">
        <f>E61=E77</f>
        <v>0</v>
      </c>
      <c r="F68" s="803" t="b">
        <f>F61=F77</f>
        <v>1</v>
      </c>
      <c r="G68" s="803" t="b">
        <f t="shared" ref="G68:M68" si="23">G61=G77</f>
        <v>1</v>
      </c>
      <c r="H68" s="803" t="b">
        <f t="shared" si="23"/>
        <v>1</v>
      </c>
      <c r="I68" s="803" t="b">
        <f t="shared" si="23"/>
        <v>1</v>
      </c>
      <c r="J68" s="803" t="b">
        <f t="shared" si="23"/>
        <v>1</v>
      </c>
      <c r="K68" s="803" t="b">
        <f t="shared" si="23"/>
        <v>1</v>
      </c>
      <c r="L68" s="803" t="b">
        <f t="shared" si="23"/>
        <v>1</v>
      </c>
      <c r="M68" s="803" t="b">
        <f t="shared" si="23"/>
        <v>0</v>
      </c>
      <c r="O68" s="824">
        <f t="shared" ref="O68:Z68" si="24">IF(O61=O77,TRUE,(O61)-(O77))</f>
        <v>76265.289999999979</v>
      </c>
      <c r="P68" s="824">
        <f t="shared" si="24"/>
        <v>76265.289999999979</v>
      </c>
      <c r="Q68" s="824">
        <f t="shared" si="24"/>
        <v>76265.52999999997</v>
      </c>
      <c r="R68" s="824">
        <f t="shared" si="24"/>
        <v>76265.530000000028</v>
      </c>
      <c r="S68" s="824">
        <f t="shared" si="24"/>
        <v>76265.530000000028</v>
      </c>
      <c r="T68" s="824">
        <f t="shared" si="24"/>
        <v>76265.530000000086</v>
      </c>
      <c r="U68" s="824">
        <f t="shared" si="24"/>
        <v>76265.529999999912</v>
      </c>
      <c r="V68" s="824">
        <f t="shared" si="24"/>
        <v>76265.52999999997</v>
      </c>
      <c r="W68" s="824">
        <f t="shared" si="24"/>
        <v>76265.529999999912</v>
      </c>
      <c r="X68" s="824">
        <f t="shared" si="24"/>
        <v>76265.529999999912</v>
      </c>
      <c r="Y68" s="824">
        <f t="shared" si="24"/>
        <v>76265.52999999997</v>
      </c>
      <c r="Z68" s="824">
        <f t="shared" si="24"/>
        <v>76265.529999999912</v>
      </c>
      <c r="AB68" s="824">
        <f>IF(AB61=AB77,TRUE,(AB61)-(AB77))</f>
        <v>72487.399999999965</v>
      </c>
      <c r="AC68" s="824">
        <f t="shared" ref="AC68:AM68" si="25">IF(AC61=AC77,TRUE,(AC61)-(AC77))</f>
        <v>72487.399999999965</v>
      </c>
      <c r="AD68" s="824">
        <f t="shared" si="25"/>
        <v>72487.399999999965</v>
      </c>
      <c r="AE68" s="824">
        <f t="shared" si="25"/>
        <v>58160.289999999979</v>
      </c>
      <c r="AF68" s="824">
        <f t="shared" si="25"/>
        <v>57917.739999999991</v>
      </c>
      <c r="AG68" s="824">
        <f t="shared" si="25"/>
        <v>57640.52999999997</v>
      </c>
      <c r="AH68" s="824">
        <f t="shared" si="25"/>
        <v>57640.529999999912</v>
      </c>
      <c r="AI68" s="824">
        <f t="shared" si="25"/>
        <v>57640.52999999997</v>
      </c>
      <c r="AJ68" s="824">
        <f t="shared" si="25"/>
        <v>57640.52999999997</v>
      </c>
      <c r="AK68" s="824">
        <f t="shared" si="25"/>
        <v>57640.529999999912</v>
      </c>
      <c r="AL68" s="824">
        <f t="shared" si="25"/>
        <v>57640.52999999997</v>
      </c>
      <c r="AM68" s="824">
        <f t="shared" si="25"/>
        <v>57640.529999999853</v>
      </c>
    </row>
    <row r="70" spans="1:49">
      <c r="A70" s="805"/>
      <c r="B70" s="850" t="s">
        <v>692</v>
      </c>
      <c r="C70" s="805"/>
      <c r="D70" s="805"/>
      <c r="E70" s="907">
        <f>F70</f>
        <v>11105.07</v>
      </c>
      <c r="F70" s="828">
        <f t="shared" ref="F70:AN70" si="26">F14</f>
        <v>11105.07</v>
      </c>
      <c r="G70" s="828">
        <f t="shared" si="26"/>
        <v>11105.07</v>
      </c>
      <c r="H70" s="828">
        <f t="shared" si="26"/>
        <v>11105.07</v>
      </c>
      <c r="I70" s="828">
        <f t="shared" si="26"/>
        <v>11105.07</v>
      </c>
      <c r="J70" s="828">
        <f t="shared" si="26"/>
        <v>11105.04</v>
      </c>
      <c r="K70" s="828">
        <f t="shared" si="26"/>
        <v>11105.07</v>
      </c>
      <c r="L70" s="828">
        <f t="shared" si="26"/>
        <v>11105.07</v>
      </c>
      <c r="M70" s="828">
        <f t="shared" si="26"/>
        <v>11105.07</v>
      </c>
      <c r="N70" s="828"/>
      <c r="O70" s="828">
        <f t="shared" si="26"/>
        <v>11105.07</v>
      </c>
      <c r="P70" s="828">
        <f t="shared" si="26"/>
        <v>11105.07</v>
      </c>
      <c r="Q70" s="828">
        <f t="shared" si="26"/>
        <v>11105.07</v>
      </c>
      <c r="R70" s="828">
        <f t="shared" si="26"/>
        <v>11476.09</v>
      </c>
      <c r="S70" s="828">
        <f t="shared" si="26"/>
        <v>11476.09</v>
      </c>
      <c r="T70" s="828">
        <f t="shared" si="26"/>
        <v>11476.09</v>
      </c>
      <c r="U70" s="828">
        <f t="shared" si="26"/>
        <v>11476.09</v>
      </c>
      <c r="V70" s="828">
        <f t="shared" si="26"/>
        <v>11476.09</v>
      </c>
      <c r="W70" s="828">
        <f t="shared" si="26"/>
        <v>11476.09</v>
      </c>
      <c r="X70" s="828">
        <f t="shared" si="26"/>
        <v>11476.09</v>
      </c>
      <c r="Y70" s="828">
        <f t="shared" si="26"/>
        <v>11476.09</v>
      </c>
      <c r="Z70" s="828">
        <f t="shared" si="26"/>
        <v>11476.09</v>
      </c>
      <c r="AA70" s="828"/>
      <c r="AB70" s="828">
        <f t="shared" si="26"/>
        <v>11476.09</v>
      </c>
      <c r="AC70" s="828">
        <f t="shared" si="26"/>
        <v>11476.09</v>
      </c>
      <c r="AD70" s="828">
        <f t="shared" si="26"/>
        <v>11476.09</v>
      </c>
      <c r="AE70" s="828">
        <f t="shared" si="26"/>
        <v>11859.52</v>
      </c>
      <c r="AF70" s="828">
        <f t="shared" si="26"/>
        <v>11859.52</v>
      </c>
      <c r="AG70" s="828">
        <f t="shared" si="26"/>
        <v>11859.52</v>
      </c>
      <c r="AH70" s="828">
        <f t="shared" si="26"/>
        <v>11859.52</v>
      </c>
      <c r="AI70" s="828">
        <f t="shared" si="26"/>
        <v>11859.52</v>
      </c>
      <c r="AJ70" s="828">
        <f t="shared" si="26"/>
        <v>11859.52</v>
      </c>
      <c r="AK70" s="828">
        <f t="shared" si="26"/>
        <v>11859.52</v>
      </c>
      <c r="AL70" s="828">
        <f t="shared" si="26"/>
        <v>11859.52</v>
      </c>
      <c r="AM70" s="828">
        <f t="shared" si="26"/>
        <v>11859.52</v>
      </c>
      <c r="AN70" s="828">
        <f t="shared" si="26"/>
        <v>141163.95000000001</v>
      </c>
      <c r="AO70" s="828"/>
      <c r="AP70" s="828"/>
      <c r="AQ70" s="828"/>
      <c r="AR70" s="828"/>
      <c r="AS70" s="828"/>
      <c r="AT70" s="828"/>
      <c r="AU70" s="828"/>
      <c r="AV70" s="828"/>
      <c r="AW70" s="828"/>
    </row>
    <row r="71" spans="1:49">
      <c r="A71" s="805"/>
      <c r="B71" s="850" t="s">
        <v>693</v>
      </c>
      <c r="C71" s="805"/>
      <c r="D71" s="805"/>
      <c r="E71" s="828">
        <f>SUM(E8:E9)</f>
        <v>395503.42500000005</v>
      </c>
      <c r="F71" s="828">
        <f t="shared" ref="F71:AN71" si="27">SUM(F8:F9)</f>
        <v>395503.42</v>
      </c>
      <c r="G71" s="828">
        <f t="shared" si="27"/>
        <v>395503.42</v>
      </c>
      <c r="H71" s="828">
        <f t="shared" si="27"/>
        <v>395503.42</v>
      </c>
      <c r="I71" s="828">
        <f t="shared" si="27"/>
        <v>395503.42</v>
      </c>
      <c r="J71" s="828">
        <f t="shared" si="27"/>
        <v>395503.42</v>
      </c>
      <c r="K71" s="828">
        <f t="shared" si="27"/>
        <v>395503.31</v>
      </c>
      <c r="L71" s="828">
        <f t="shared" si="27"/>
        <v>395503.42</v>
      </c>
      <c r="M71" s="828">
        <f t="shared" si="27"/>
        <v>395503.42</v>
      </c>
      <c r="N71" s="828"/>
      <c r="O71" s="828">
        <f t="shared" si="27"/>
        <v>395503.42</v>
      </c>
      <c r="P71" s="828">
        <f t="shared" si="27"/>
        <v>395503.42</v>
      </c>
      <c r="Q71" s="828">
        <f t="shared" si="27"/>
        <v>395503.42</v>
      </c>
      <c r="R71" s="828">
        <f t="shared" si="27"/>
        <v>409346.04</v>
      </c>
      <c r="S71" s="828">
        <f t="shared" si="27"/>
        <v>409346.04</v>
      </c>
      <c r="T71" s="828">
        <f t="shared" si="27"/>
        <v>409346.04</v>
      </c>
      <c r="U71" s="828">
        <f t="shared" si="27"/>
        <v>409346.04</v>
      </c>
      <c r="V71" s="828">
        <f t="shared" si="27"/>
        <v>409346.04</v>
      </c>
      <c r="W71" s="828">
        <f t="shared" si="27"/>
        <v>409346.04</v>
      </c>
      <c r="X71" s="828">
        <f t="shared" si="27"/>
        <v>409346.04</v>
      </c>
      <c r="Y71" s="828">
        <f t="shared" si="27"/>
        <v>409346.04</v>
      </c>
      <c r="Z71" s="828">
        <f t="shared" si="27"/>
        <v>409346.04</v>
      </c>
      <c r="AA71" s="828"/>
      <c r="AB71" s="828">
        <f t="shared" si="27"/>
        <v>409346.04</v>
      </c>
      <c r="AC71" s="828">
        <f t="shared" si="27"/>
        <v>409346.04</v>
      </c>
      <c r="AD71" s="828">
        <f t="shared" si="27"/>
        <v>409346.04</v>
      </c>
      <c r="AE71" s="828">
        <f t="shared" si="27"/>
        <v>423673.15</v>
      </c>
      <c r="AF71" s="828">
        <f t="shared" si="27"/>
        <v>423673.01</v>
      </c>
      <c r="AG71" s="828">
        <f t="shared" si="27"/>
        <v>423673.15</v>
      </c>
      <c r="AH71" s="828">
        <f t="shared" si="27"/>
        <v>423673.15</v>
      </c>
      <c r="AI71" s="828">
        <f t="shared" si="27"/>
        <v>423673.15</v>
      </c>
      <c r="AJ71" s="828">
        <f t="shared" si="27"/>
        <v>423673.15</v>
      </c>
      <c r="AK71" s="828">
        <f t="shared" si="27"/>
        <v>423673.15</v>
      </c>
      <c r="AL71" s="828">
        <f t="shared" si="27"/>
        <v>423673.01</v>
      </c>
      <c r="AM71" s="828">
        <f t="shared" si="27"/>
        <v>423673.15</v>
      </c>
      <c r="AN71" s="828">
        <f t="shared" si="27"/>
        <v>5041096.1900000004</v>
      </c>
      <c r="AO71" s="828"/>
      <c r="AP71" s="828"/>
      <c r="AQ71" s="828"/>
      <c r="AR71" s="828"/>
      <c r="AS71" s="828"/>
      <c r="AT71" s="828"/>
      <c r="AU71" s="828"/>
      <c r="AV71" s="828"/>
      <c r="AW71" s="828"/>
    </row>
    <row r="72" spans="1:49">
      <c r="A72" s="805"/>
      <c r="B72" s="850" t="s">
        <v>694</v>
      </c>
      <c r="C72" s="805"/>
      <c r="D72" s="805"/>
      <c r="E72" s="828">
        <f>E11</f>
        <v>18467.32</v>
      </c>
      <c r="F72" s="828">
        <f t="shared" ref="F72:AN72" si="28">F11</f>
        <v>18467.330000000002</v>
      </c>
      <c r="G72" s="828">
        <f t="shared" si="28"/>
        <v>19205.759999999998</v>
      </c>
      <c r="H72" s="828">
        <f t="shared" si="28"/>
        <v>19021.77</v>
      </c>
      <c r="I72" s="828">
        <f t="shared" si="28"/>
        <v>19021.77</v>
      </c>
      <c r="J72" s="828">
        <f t="shared" si="28"/>
        <v>19021.77</v>
      </c>
      <c r="K72" s="828">
        <f t="shared" si="28"/>
        <v>19021.77</v>
      </c>
      <c r="L72" s="828">
        <f t="shared" si="28"/>
        <v>19021.77</v>
      </c>
      <c r="M72" s="828">
        <f t="shared" si="28"/>
        <v>19021.77</v>
      </c>
      <c r="N72" s="828"/>
      <c r="O72" s="828">
        <f t="shared" si="28"/>
        <v>19021.77</v>
      </c>
      <c r="P72" s="828">
        <f t="shared" si="28"/>
        <v>19021.77</v>
      </c>
      <c r="Q72" s="828">
        <f t="shared" si="28"/>
        <v>19021.77</v>
      </c>
      <c r="R72" s="828">
        <f t="shared" si="28"/>
        <v>19021.77</v>
      </c>
      <c r="S72" s="828">
        <f t="shared" si="28"/>
        <v>19256.12</v>
      </c>
      <c r="T72" s="828">
        <f t="shared" si="28"/>
        <v>19547.41</v>
      </c>
      <c r="U72" s="828">
        <f t="shared" si="28"/>
        <v>19584.53</v>
      </c>
      <c r="V72" s="828">
        <f t="shared" si="28"/>
        <v>19584.53</v>
      </c>
      <c r="W72" s="828">
        <f t="shared" si="28"/>
        <v>19584.53</v>
      </c>
      <c r="X72" s="828">
        <f t="shared" si="28"/>
        <v>19584.53</v>
      </c>
      <c r="Y72" s="828">
        <f t="shared" si="28"/>
        <v>19584.53</v>
      </c>
      <c r="Z72" s="828">
        <f t="shared" si="28"/>
        <v>19584.53</v>
      </c>
      <c r="AA72" s="828"/>
      <c r="AB72" s="828">
        <f t="shared" si="28"/>
        <v>19584.53</v>
      </c>
      <c r="AC72" s="828">
        <f t="shared" si="28"/>
        <v>19584.53</v>
      </c>
      <c r="AD72" s="828">
        <f t="shared" si="28"/>
        <v>19584.53</v>
      </c>
      <c r="AE72" s="828">
        <f t="shared" si="28"/>
        <v>19584.53</v>
      </c>
      <c r="AF72" s="828">
        <f t="shared" si="28"/>
        <v>19827.080000000002</v>
      </c>
      <c r="AG72" s="828">
        <f t="shared" si="28"/>
        <v>20137.79</v>
      </c>
      <c r="AH72" s="828">
        <f t="shared" si="28"/>
        <v>20190.84</v>
      </c>
      <c r="AI72" s="828">
        <f t="shared" si="28"/>
        <v>20190.84</v>
      </c>
      <c r="AJ72" s="828">
        <f t="shared" si="28"/>
        <v>20190.84</v>
      </c>
      <c r="AK72" s="828">
        <f t="shared" si="28"/>
        <v>20190.84</v>
      </c>
      <c r="AL72" s="828">
        <f t="shared" si="28"/>
        <v>20190.84</v>
      </c>
      <c r="AM72" s="828">
        <f t="shared" si="28"/>
        <v>20190.84</v>
      </c>
      <c r="AN72" s="828">
        <f t="shared" si="28"/>
        <v>239448.03</v>
      </c>
      <c r="AO72" s="828"/>
      <c r="AP72" s="828"/>
      <c r="AQ72" s="828"/>
      <c r="AR72" s="828"/>
      <c r="AS72" s="828"/>
      <c r="AT72" s="828"/>
      <c r="AU72" s="828"/>
      <c r="AV72" s="828"/>
      <c r="AW72" s="828"/>
    </row>
    <row r="73" spans="1:49">
      <c r="A73" s="805"/>
      <c r="B73" s="850" t="s">
        <v>695</v>
      </c>
      <c r="C73" s="805"/>
      <c r="D73" s="805"/>
      <c r="E73" s="907">
        <f>F73</f>
        <v>4350</v>
      </c>
      <c r="F73" s="828">
        <f t="shared" ref="F73:AN73" si="29">F13</f>
        <v>4350</v>
      </c>
      <c r="G73" s="828">
        <f t="shared" si="29"/>
        <v>4350</v>
      </c>
      <c r="H73" s="828">
        <f t="shared" si="29"/>
        <v>4350</v>
      </c>
      <c r="I73" s="828">
        <f t="shared" si="29"/>
        <v>4350</v>
      </c>
      <c r="J73" s="828">
        <f t="shared" si="29"/>
        <v>4350</v>
      </c>
      <c r="K73" s="828">
        <f t="shared" si="29"/>
        <v>4350</v>
      </c>
      <c r="L73" s="828">
        <f t="shared" si="29"/>
        <v>4350</v>
      </c>
      <c r="M73" s="828">
        <f t="shared" si="29"/>
        <v>4350</v>
      </c>
      <c r="N73" s="828"/>
      <c r="O73" s="828">
        <f t="shared" si="29"/>
        <v>4350</v>
      </c>
      <c r="P73" s="828">
        <f t="shared" si="29"/>
        <v>4350</v>
      </c>
      <c r="Q73" s="828">
        <f t="shared" si="29"/>
        <v>4350</v>
      </c>
      <c r="R73" s="828">
        <f t="shared" si="29"/>
        <v>4350</v>
      </c>
      <c r="S73" s="828">
        <f t="shared" si="29"/>
        <v>4350</v>
      </c>
      <c r="T73" s="828">
        <f t="shared" si="29"/>
        <v>4350</v>
      </c>
      <c r="U73" s="828">
        <f t="shared" si="29"/>
        <v>4350</v>
      </c>
      <c r="V73" s="828">
        <f t="shared" si="29"/>
        <v>4350</v>
      </c>
      <c r="W73" s="828">
        <f t="shared" si="29"/>
        <v>4350</v>
      </c>
      <c r="X73" s="828">
        <f t="shared" si="29"/>
        <v>4350</v>
      </c>
      <c r="Y73" s="828">
        <f t="shared" si="29"/>
        <v>4350</v>
      </c>
      <c r="Z73" s="828">
        <f t="shared" si="29"/>
        <v>4350</v>
      </c>
      <c r="AA73" s="828"/>
      <c r="AB73" s="828">
        <f t="shared" si="29"/>
        <v>4350</v>
      </c>
      <c r="AC73" s="828">
        <f t="shared" si="29"/>
        <v>4350</v>
      </c>
      <c r="AD73" s="828">
        <f t="shared" si="29"/>
        <v>4350</v>
      </c>
      <c r="AE73" s="828">
        <f t="shared" si="29"/>
        <v>4350</v>
      </c>
      <c r="AF73" s="828">
        <f t="shared" si="29"/>
        <v>4350</v>
      </c>
      <c r="AG73" s="828">
        <f t="shared" si="29"/>
        <v>4350</v>
      </c>
      <c r="AH73" s="828">
        <f t="shared" si="29"/>
        <v>4350</v>
      </c>
      <c r="AI73" s="828">
        <f t="shared" si="29"/>
        <v>4350</v>
      </c>
      <c r="AJ73" s="828">
        <f t="shared" si="29"/>
        <v>4350</v>
      </c>
      <c r="AK73" s="828">
        <f t="shared" si="29"/>
        <v>4350</v>
      </c>
      <c r="AL73" s="828">
        <f t="shared" si="29"/>
        <v>4350</v>
      </c>
      <c r="AM73" s="828">
        <f t="shared" si="29"/>
        <v>4350</v>
      </c>
      <c r="AN73" s="828">
        <f t="shared" si="29"/>
        <v>52200</v>
      </c>
      <c r="AO73" s="828"/>
      <c r="AP73" s="828"/>
      <c r="AQ73" s="828"/>
      <c r="AR73" s="828"/>
      <c r="AS73" s="828"/>
      <c r="AT73" s="828"/>
      <c r="AU73" s="828"/>
      <c r="AV73" s="828"/>
      <c r="AW73" s="828"/>
    </row>
    <row r="74" spans="1:49">
      <c r="A74" s="805"/>
      <c r="B74" s="851" t="s">
        <v>696</v>
      </c>
      <c r="C74" s="805"/>
      <c r="D74" s="805"/>
      <c r="E74" s="828"/>
      <c r="F74" s="828"/>
      <c r="G74" s="828"/>
      <c r="H74" s="828"/>
      <c r="I74" s="828"/>
      <c r="J74" s="828"/>
      <c r="K74" s="828"/>
      <c r="L74" s="828"/>
      <c r="M74" s="828"/>
      <c r="N74" s="828"/>
      <c r="O74" s="828"/>
      <c r="P74" s="828"/>
      <c r="Q74" s="828"/>
      <c r="R74" s="828"/>
      <c r="S74" s="828"/>
      <c r="T74" s="828"/>
      <c r="U74" s="828"/>
      <c r="V74" s="828"/>
      <c r="W74" s="828"/>
      <c r="X74" s="828"/>
      <c r="Y74" s="828"/>
      <c r="Z74" s="828"/>
      <c r="AA74" s="828"/>
      <c r="AB74" s="828"/>
      <c r="AC74" s="828"/>
      <c r="AD74" s="828"/>
      <c r="AE74" s="828"/>
      <c r="AF74" s="828"/>
      <c r="AG74" s="828"/>
      <c r="AH74" s="828"/>
      <c r="AI74" s="828"/>
      <c r="AJ74" s="828"/>
      <c r="AK74" s="828"/>
      <c r="AL74" s="828"/>
      <c r="AM74" s="828"/>
      <c r="AN74" s="828"/>
      <c r="AO74" s="828"/>
      <c r="AP74" s="828"/>
      <c r="AQ74" s="828"/>
      <c r="AR74" s="828"/>
      <c r="AS74" s="828"/>
      <c r="AT74" s="828"/>
      <c r="AU74" s="828"/>
      <c r="AV74" s="828"/>
      <c r="AW74" s="828"/>
    </row>
    <row r="75" spans="1:49">
      <c r="A75" s="805"/>
      <c r="B75" s="852" t="s">
        <v>122</v>
      </c>
      <c r="C75" s="805"/>
      <c r="D75" s="805"/>
      <c r="E75" s="828">
        <f>SUM(E70:E74)</f>
        <v>429425.81500000006</v>
      </c>
      <c r="F75" s="828">
        <f t="shared" ref="F75:AN75" si="30">SUM(F70:F74)</f>
        <v>429425.82</v>
      </c>
      <c r="G75" s="828">
        <f t="shared" si="30"/>
        <v>430164.25</v>
      </c>
      <c r="H75" s="828">
        <f t="shared" si="30"/>
        <v>429980.26</v>
      </c>
      <c r="I75" s="828">
        <f t="shared" si="30"/>
        <v>429980.26</v>
      </c>
      <c r="J75" s="828">
        <f t="shared" si="30"/>
        <v>429980.23</v>
      </c>
      <c r="K75" s="828">
        <f t="shared" si="30"/>
        <v>429980.15</v>
      </c>
      <c r="L75" s="828">
        <f t="shared" si="30"/>
        <v>429980.26</v>
      </c>
      <c r="M75" s="828">
        <f t="shared" si="30"/>
        <v>429980.26</v>
      </c>
      <c r="N75" s="828"/>
      <c r="O75" s="828">
        <f t="shared" si="30"/>
        <v>429980.26</v>
      </c>
      <c r="P75" s="828">
        <f t="shared" si="30"/>
        <v>429980.26</v>
      </c>
      <c r="Q75" s="828">
        <f t="shared" si="30"/>
        <v>429980.26</v>
      </c>
      <c r="R75" s="828">
        <f t="shared" si="30"/>
        <v>444193.9</v>
      </c>
      <c r="S75" s="828">
        <f t="shared" si="30"/>
        <v>444428.25</v>
      </c>
      <c r="T75" s="828">
        <f t="shared" si="30"/>
        <v>444719.54</v>
      </c>
      <c r="U75" s="828">
        <f t="shared" si="30"/>
        <v>444756.66000000003</v>
      </c>
      <c r="V75" s="828">
        <f t="shared" si="30"/>
        <v>444756.66000000003</v>
      </c>
      <c r="W75" s="828">
        <f t="shared" si="30"/>
        <v>444756.66000000003</v>
      </c>
      <c r="X75" s="828">
        <f t="shared" si="30"/>
        <v>444756.66000000003</v>
      </c>
      <c r="Y75" s="828">
        <f t="shared" si="30"/>
        <v>444756.66000000003</v>
      </c>
      <c r="Z75" s="828">
        <f t="shared" si="30"/>
        <v>444756.66000000003</v>
      </c>
      <c r="AA75" s="828"/>
      <c r="AB75" s="828">
        <f t="shared" si="30"/>
        <v>444756.66000000003</v>
      </c>
      <c r="AC75" s="828">
        <f t="shared" si="30"/>
        <v>444756.66000000003</v>
      </c>
      <c r="AD75" s="828">
        <f t="shared" si="30"/>
        <v>444756.66000000003</v>
      </c>
      <c r="AE75" s="828">
        <f t="shared" si="30"/>
        <v>459467.20000000007</v>
      </c>
      <c r="AF75" s="828">
        <f t="shared" si="30"/>
        <v>459709.61000000004</v>
      </c>
      <c r="AG75" s="828">
        <f t="shared" si="30"/>
        <v>460020.46</v>
      </c>
      <c r="AH75" s="828">
        <f t="shared" si="30"/>
        <v>460073.51000000007</v>
      </c>
      <c r="AI75" s="828">
        <f t="shared" si="30"/>
        <v>460073.51000000007</v>
      </c>
      <c r="AJ75" s="828">
        <f t="shared" si="30"/>
        <v>460073.51000000007</v>
      </c>
      <c r="AK75" s="828">
        <f t="shared" si="30"/>
        <v>460073.51000000007</v>
      </c>
      <c r="AL75" s="828">
        <f t="shared" si="30"/>
        <v>460073.37000000005</v>
      </c>
      <c r="AM75" s="828">
        <f t="shared" si="30"/>
        <v>460073.51000000007</v>
      </c>
      <c r="AN75" s="828">
        <f t="shared" si="30"/>
        <v>5473908.1700000009</v>
      </c>
      <c r="AO75" s="828"/>
      <c r="AP75" s="828"/>
      <c r="AQ75" s="828"/>
      <c r="AR75" s="828"/>
      <c r="AS75" s="828"/>
      <c r="AT75" s="828"/>
      <c r="AU75" s="828"/>
      <c r="AV75" s="828"/>
      <c r="AW75" s="828"/>
    </row>
    <row r="76" spans="1:49">
      <c r="A76" s="805"/>
      <c r="B76" s="853" t="s">
        <v>129</v>
      </c>
      <c r="C76" s="805"/>
      <c r="D76" s="805"/>
      <c r="E76" s="828">
        <f>E15+E16</f>
        <v>4091.9870833333334</v>
      </c>
      <c r="F76" s="828">
        <f t="shared" ref="F76:AN76" si="31">F15+F16</f>
        <v>9414.99</v>
      </c>
      <c r="G76" s="828">
        <f t="shared" si="31"/>
        <v>19538.36</v>
      </c>
      <c r="H76" s="828">
        <f t="shared" si="31"/>
        <v>12091.97</v>
      </c>
      <c r="I76" s="828">
        <f t="shared" si="31"/>
        <v>-4952.3600000000006</v>
      </c>
      <c r="J76" s="828">
        <f t="shared" si="31"/>
        <v>4091.99</v>
      </c>
      <c r="K76" s="828">
        <f t="shared" si="31"/>
        <v>4091.99</v>
      </c>
      <c r="L76" s="828">
        <f t="shared" si="31"/>
        <v>4091.99</v>
      </c>
      <c r="M76" s="828">
        <f t="shared" si="31"/>
        <v>8038.57</v>
      </c>
      <c r="N76" s="828"/>
      <c r="O76" s="828">
        <f t="shared" si="31"/>
        <v>5761.99</v>
      </c>
      <c r="P76" s="828">
        <f t="shared" si="31"/>
        <v>5762.01</v>
      </c>
      <c r="Q76" s="828">
        <f t="shared" si="31"/>
        <v>5513</v>
      </c>
      <c r="R76" s="828">
        <f t="shared" si="31"/>
        <v>5679</v>
      </c>
      <c r="S76" s="828">
        <f t="shared" si="31"/>
        <v>5679</v>
      </c>
      <c r="T76" s="828">
        <f t="shared" si="31"/>
        <v>5678.73</v>
      </c>
      <c r="U76" s="828">
        <f t="shared" si="31"/>
        <v>5679</v>
      </c>
      <c r="V76" s="828">
        <f t="shared" si="31"/>
        <v>4755.93</v>
      </c>
      <c r="W76" s="828">
        <f t="shared" si="31"/>
        <v>5679</v>
      </c>
      <c r="X76" s="828">
        <f t="shared" si="31"/>
        <v>5679</v>
      </c>
      <c r="Y76" s="828">
        <f t="shared" si="31"/>
        <v>1341</v>
      </c>
      <c r="Z76" s="828">
        <f t="shared" si="31"/>
        <v>11897</v>
      </c>
      <c r="AA76" s="828"/>
      <c r="AB76" s="828">
        <f t="shared" si="31"/>
        <v>6715.55</v>
      </c>
      <c r="AC76" s="828">
        <f t="shared" si="31"/>
        <v>7170.09</v>
      </c>
      <c r="AD76" s="828">
        <f t="shared" si="31"/>
        <v>6761.01</v>
      </c>
      <c r="AE76" s="828">
        <f t="shared" si="31"/>
        <v>7343.55</v>
      </c>
      <c r="AF76" s="828">
        <f t="shared" si="31"/>
        <v>6715.6900000000005</v>
      </c>
      <c r="AG76" s="828">
        <f t="shared" si="31"/>
        <v>-1492.75</v>
      </c>
      <c r="AH76" s="828">
        <f t="shared" si="31"/>
        <v>11197.55</v>
      </c>
      <c r="AI76" s="828">
        <f t="shared" si="31"/>
        <v>-1358.45</v>
      </c>
      <c r="AJ76" s="828">
        <f t="shared" si="31"/>
        <v>5336.55</v>
      </c>
      <c r="AK76" s="828">
        <f t="shared" si="31"/>
        <v>5556.81</v>
      </c>
      <c r="AL76" s="828">
        <f t="shared" si="31"/>
        <v>5328.55</v>
      </c>
      <c r="AM76" s="828">
        <f t="shared" si="31"/>
        <v>7259.4</v>
      </c>
      <c r="AN76" s="828">
        <f t="shared" si="31"/>
        <v>66533.55</v>
      </c>
      <c r="AO76" s="828"/>
      <c r="AP76" s="828"/>
      <c r="AQ76" s="828"/>
      <c r="AR76" s="828"/>
      <c r="AS76" s="828"/>
      <c r="AT76" s="828"/>
      <c r="AU76" s="828"/>
      <c r="AV76" s="828"/>
      <c r="AW76" s="828"/>
    </row>
    <row r="77" spans="1:49">
      <c r="A77" s="805"/>
      <c r="B77" s="852" t="s">
        <v>250</v>
      </c>
      <c r="C77" s="805"/>
      <c r="D77" s="805"/>
      <c r="E77" s="821">
        <f>SUM(E75:E76)</f>
        <v>433517.80208333337</v>
      </c>
      <c r="F77" s="821">
        <f t="shared" ref="F77:Z77" si="32">SUM(F75:F76)</f>
        <v>438840.81</v>
      </c>
      <c r="G77" s="821">
        <f t="shared" si="32"/>
        <v>449702.61</v>
      </c>
      <c r="H77" s="821">
        <f t="shared" si="32"/>
        <v>442072.23</v>
      </c>
      <c r="I77" s="821">
        <f t="shared" si="32"/>
        <v>425027.9</v>
      </c>
      <c r="J77" s="821">
        <f t="shared" si="32"/>
        <v>434072.22</v>
      </c>
      <c r="K77" s="821">
        <f t="shared" si="32"/>
        <v>434072.14</v>
      </c>
      <c r="L77" s="821">
        <f t="shared" si="32"/>
        <v>434072.25</v>
      </c>
      <c r="M77" s="821">
        <f t="shared" si="32"/>
        <v>438018.83</v>
      </c>
      <c r="N77" s="821"/>
      <c r="O77" s="821">
        <f t="shared" si="32"/>
        <v>435742.25</v>
      </c>
      <c r="P77" s="821">
        <f t="shared" si="32"/>
        <v>435742.27</v>
      </c>
      <c r="Q77" s="821">
        <f t="shared" si="32"/>
        <v>435493.26</v>
      </c>
      <c r="R77" s="821">
        <f t="shared" si="32"/>
        <v>449872.9</v>
      </c>
      <c r="S77" s="821">
        <f t="shared" si="32"/>
        <v>450107.25</v>
      </c>
      <c r="T77" s="821">
        <f t="shared" si="32"/>
        <v>450398.26999999996</v>
      </c>
      <c r="U77" s="821">
        <f t="shared" si="32"/>
        <v>450435.66000000003</v>
      </c>
      <c r="V77" s="821">
        <f t="shared" si="32"/>
        <v>449512.59</v>
      </c>
      <c r="W77" s="821">
        <f t="shared" si="32"/>
        <v>450435.66000000003</v>
      </c>
      <c r="X77" s="821">
        <f t="shared" si="32"/>
        <v>450435.66000000003</v>
      </c>
      <c r="Y77" s="821">
        <f t="shared" si="32"/>
        <v>446097.66000000003</v>
      </c>
      <c r="Z77" s="821">
        <f t="shared" si="32"/>
        <v>456653.66000000003</v>
      </c>
      <c r="AA77" s="828"/>
      <c r="AB77" s="828">
        <f t="shared" ref="AB77:AN77" si="33">SUM(AB75:AB76)</f>
        <v>451472.21</v>
      </c>
      <c r="AC77" s="828">
        <f t="shared" si="33"/>
        <v>451926.75000000006</v>
      </c>
      <c r="AD77" s="828">
        <f t="shared" si="33"/>
        <v>451517.67000000004</v>
      </c>
      <c r="AE77" s="828">
        <f t="shared" si="33"/>
        <v>466810.75000000006</v>
      </c>
      <c r="AF77" s="828">
        <f t="shared" si="33"/>
        <v>466425.30000000005</v>
      </c>
      <c r="AG77" s="828">
        <f t="shared" si="33"/>
        <v>458527.71</v>
      </c>
      <c r="AH77" s="828">
        <f t="shared" si="33"/>
        <v>471271.06000000006</v>
      </c>
      <c r="AI77" s="828">
        <f t="shared" si="33"/>
        <v>458715.06000000006</v>
      </c>
      <c r="AJ77" s="828">
        <f t="shared" si="33"/>
        <v>465410.06000000006</v>
      </c>
      <c r="AK77" s="828">
        <f t="shared" si="33"/>
        <v>465630.32000000007</v>
      </c>
      <c r="AL77" s="828">
        <f t="shared" si="33"/>
        <v>465401.92000000004</v>
      </c>
      <c r="AM77" s="828">
        <f t="shared" si="33"/>
        <v>467332.91000000009</v>
      </c>
      <c r="AN77" s="828">
        <f t="shared" si="33"/>
        <v>5540441.7200000007</v>
      </c>
      <c r="AO77" s="828"/>
      <c r="AP77" s="828"/>
      <c r="AQ77" s="828"/>
      <c r="AR77" s="828"/>
      <c r="AS77" s="828"/>
      <c r="AT77" s="828"/>
      <c r="AU77" s="828"/>
      <c r="AV77" s="828"/>
      <c r="AW77" s="828"/>
    </row>
    <row r="78" spans="1:49">
      <c r="A78" s="805"/>
      <c r="B78" s="854"/>
      <c r="C78" s="805"/>
      <c r="D78" s="805"/>
      <c r="E78" s="828"/>
      <c r="F78" s="828"/>
      <c r="G78" s="828"/>
      <c r="H78" s="828"/>
      <c r="I78" s="828"/>
      <c r="J78" s="828"/>
      <c r="K78" s="828"/>
      <c r="L78" s="828"/>
      <c r="M78" s="828"/>
      <c r="N78" s="828"/>
      <c r="O78" s="828"/>
      <c r="P78" s="828"/>
      <c r="Q78" s="828"/>
      <c r="R78" s="828"/>
      <c r="S78" s="828"/>
      <c r="T78" s="828"/>
      <c r="U78" s="828"/>
      <c r="V78" s="828"/>
      <c r="W78" s="828"/>
      <c r="X78" s="828"/>
      <c r="Y78" s="828"/>
      <c r="Z78" s="828"/>
      <c r="AA78" s="828"/>
      <c r="AB78" s="829"/>
      <c r="AC78" s="829"/>
      <c r="AD78" s="829"/>
      <c r="AE78" s="829"/>
      <c r="AF78" s="829"/>
      <c r="AG78" s="829"/>
      <c r="AH78" s="829"/>
      <c r="AI78" s="829"/>
      <c r="AJ78" s="829"/>
      <c r="AK78" s="829"/>
      <c r="AL78" s="829"/>
      <c r="AM78" s="829"/>
      <c r="AN78" s="828"/>
      <c r="AO78" s="828"/>
      <c r="AP78" s="828"/>
      <c r="AQ78" s="828"/>
      <c r="AR78" s="828"/>
      <c r="AS78" s="828"/>
      <c r="AT78" s="828"/>
      <c r="AU78" s="828"/>
      <c r="AV78" s="828"/>
      <c r="AW78" s="828"/>
    </row>
    <row r="79" spans="1:49">
      <c r="A79" s="805"/>
      <c r="B79" s="855" t="s">
        <v>133</v>
      </c>
      <c r="C79" s="805"/>
      <c r="D79" s="805"/>
      <c r="E79" s="828">
        <f t="shared" ref="E79:AM79" si="34">SUM(E80:E83)</f>
        <v>11240.083333333334</v>
      </c>
      <c r="F79" s="828">
        <f t="shared" si="34"/>
        <v>10887.24</v>
      </c>
      <c r="G79" s="828">
        <f t="shared" si="34"/>
        <v>10943.39</v>
      </c>
      <c r="H79" s="828">
        <f t="shared" si="34"/>
        <v>11545.08</v>
      </c>
      <c r="I79" s="828">
        <f t="shared" si="34"/>
        <v>11419.5</v>
      </c>
      <c r="J79" s="828">
        <f t="shared" si="34"/>
        <v>8268.0099999999984</v>
      </c>
      <c r="K79" s="828">
        <f t="shared" si="34"/>
        <v>10913.9</v>
      </c>
      <c r="L79" s="828">
        <f t="shared" si="34"/>
        <v>11711.59</v>
      </c>
      <c r="M79" s="828">
        <f t="shared" si="34"/>
        <v>10959.15</v>
      </c>
      <c r="N79" s="828"/>
      <c r="O79" s="828">
        <f t="shared" si="34"/>
        <v>12047.12</v>
      </c>
      <c r="P79" s="828">
        <f t="shared" si="34"/>
        <v>11898.14</v>
      </c>
      <c r="Q79" s="828">
        <f t="shared" si="34"/>
        <v>11705.31</v>
      </c>
      <c r="R79" s="828">
        <f t="shared" si="34"/>
        <v>12015.650000000001</v>
      </c>
      <c r="S79" s="828">
        <f t="shared" si="34"/>
        <v>9788.9399999999987</v>
      </c>
      <c r="T79" s="828">
        <f t="shared" si="34"/>
        <v>11621.66</v>
      </c>
      <c r="U79" s="828">
        <f t="shared" si="34"/>
        <v>11689.94</v>
      </c>
      <c r="V79" s="828">
        <f t="shared" si="34"/>
        <v>10808.369999999999</v>
      </c>
      <c r="W79" s="828">
        <f t="shared" si="34"/>
        <v>11203.87</v>
      </c>
      <c r="X79" s="828">
        <f t="shared" si="34"/>
        <v>13030.14</v>
      </c>
      <c r="Y79" s="828">
        <f t="shared" si="34"/>
        <v>12299.19</v>
      </c>
      <c r="Z79" s="828">
        <f t="shared" si="34"/>
        <v>11089.02</v>
      </c>
      <c r="AA79" s="828"/>
      <c r="AB79" s="828">
        <f t="shared" si="34"/>
        <v>12993.51</v>
      </c>
      <c r="AC79" s="828">
        <f t="shared" si="34"/>
        <v>11652.2</v>
      </c>
      <c r="AD79" s="828">
        <f t="shared" si="34"/>
        <v>11111.29</v>
      </c>
      <c r="AE79" s="828">
        <f t="shared" si="34"/>
        <v>12413.279999999999</v>
      </c>
      <c r="AF79" s="828">
        <f t="shared" si="34"/>
        <v>12038.87</v>
      </c>
      <c r="AG79" s="828">
        <f t="shared" si="34"/>
        <v>5805.3799999999983</v>
      </c>
      <c r="AH79" s="828">
        <f t="shared" si="34"/>
        <v>11531.61</v>
      </c>
      <c r="AI79" s="828">
        <f t="shared" si="34"/>
        <v>10487.62</v>
      </c>
      <c r="AJ79" s="828">
        <f t="shared" si="34"/>
        <v>11438.7</v>
      </c>
      <c r="AK79" s="828">
        <f t="shared" si="34"/>
        <v>11424.190000000002</v>
      </c>
      <c r="AL79" s="828">
        <f t="shared" si="34"/>
        <v>11430.99</v>
      </c>
      <c r="AM79" s="828">
        <f t="shared" si="34"/>
        <v>11062.289999999999</v>
      </c>
      <c r="AN79" s="828"/>
      <c r="AO79" s="828"/>
      <c r="AP79" s="828"/>
      <c r="AQ79" s="828"/>
      <c r="AR79" s="828"/>
      <c r="AS79" s="828"/>
      <c r="AT79" s="828"/>
      <c r="AU79" s="828"/>
      <c r="AV79" s="828"/>
      <c r="AW79" s="828"/>
    </row>
    <row r="80" spans="1:49">
      <c r="A80" s="805"/>
      <c r="B80" s="855" t="s">
        <v>697</v>
      </c>
      <c r="C80" s="805"/>
      <c r="D80" s="805"/>
      <c r="E80" s="828">
        <f t="shared" ref="E80:M81" si="35">E24</f>
        <v>4954.7300000000005</v>
      </c>
      <c r="F80" s="828">
        <f t="shared" si="35"/>
        <v>4794.8999999999996</v>
      </c>
      <c r="G80" s="828">
        <f t="shared" si="35"/>
        <v>4794.8999999999996</v>
      </c>
      <c r="H80" s="828">
        <f t="shared" si="35"/>
        <v>4794.8999999999996</v>
      </c>
      <c r="I80" s="828">
        <f t="shared" si="35"/>
        <v>4794.8999999999996</v>
      </c>
      <c r="J80" s="828">
        <f t="shared" si="35"/>
        <v>4794.8999999999996</v>
      </c>
      <c r="K80" s="828">
        <f t="shared" si="35"/>
        <v>5150.95</v>
      </c>
      <c r="L80" s="828">
        <f t="shared" si="35"/>
        <v>4793.26</v>
      </c>
      <c r="M80" s="828">
        <f t="shared" si="35"/>
        <v>4920</v>
      </c>
      <c r="N80" s="828"/>
      <c r="O80" s="828">
        <f t="shared" ref="O80:Z81" si="36">O24</f>
        <v>5119</v>
      </c>
      <c r="P80" s="828">
        <f t="shared" si="36"/>
        <v>4956.66</v>
      </c>
      <c r="Q80" s="828">
        <f t="shared" si="36"/>
        <v>4875.32</v>
      </c>
      <c r="R80" s="828">
        <f t="shared" si="36"/>
        <v>5036.16</v>
      </c>
      <c r="S80" s="828">
        <f t="shared" si="36"/>
        <v>4873.7</v>
      </c>
      <c r="T80" s="828">
        <f t="shared" si="36"/>
        <v>5036.1400000000003</v>
      </c>
      <c r="U80" s="828">
        <f t="shared" si="36"/>
        <v>5148.07</v>
      </c>
      <c r="V80" s="828">
        <f t="shared" si="36"/>
        <v>4649.87</v>
      </c>
      <c r="W80" s="828">
        <f t="shared" si="36"/>
        <v>5148.0600000000004</v>
      </c>
      <c r="X80" s="828">
        <f t="shared" si="36"/>
        <v>4927.26</v>
      </c>
      <c r="Y80" s="828">
        <f t="shared" si="36"/>
        <v>5091.5</v>
      </c>
      <c r="Z80" s="828">
        <f t="shared" si="36"/>
        <v>4927.24</v>
      </c>
      <c r="AA80" s="828"/>
      <c r="AB80" s="828">
        <f t="shared" ref="AB80:AM81" si="37">AB24</f>
        <v>5663</v>
      </c>
      <c r="AC80" s="828">
        <f t="shared" si="37"/>
        <v>4768.8</v>
      </c>
      <c r="AD80" s="828">
        <f t="shared" si="37"/>
        <v>5047.6400000000003</v>
      </c>
      <c r="AE80" s="828">
        <f t="shared" si="37"/>
        <v>5215.8999999999996</v>
      </c>
      <c r="AF80" s="828">
        <f t="shared" si="37"/>
        <v>5047.6400000000003</v>
      </c>
      <c r="AG80" s="828">
        <f t="shared" si="37"/>
        <v>5215.8999999999996</v>
      </c>
      <c r="AH80" s="828">
        <f t="shared" si="37"/>
        <v>5215.8999999999996</v>
      </c>
      <c r="AI80" s="828">
        <f t="shared" si="37"/>
        <v>4711.1400000000003</v>
      </c>
      <c r="AJ80" s="828">
        <f t="shared" si="37"/>
        <v>5215.8999999999996</v>
      </c>
      <c r="AK80" s="828">
        <f t="shared" si="37"/>
        <v>5047.6400000000003</v>
      </c>
      <c r="AL80" s="828">
        <f t="shared" si="37"/>
        <v>5215.8999999999996</v>
      </c>
      <c r="AM80" s="828">
        <f t="shared" si="37"/>
        <v>5047.6899999999996</v>
      </c>
      <c r="AN80" s="828"/>
      <c r="AO80" s="828"/>
      <c r="AP80" s="828"/>
      <c r="AQ80" s="828"/>
      <c r="AR80" s="828"/>
      <c r="AS80" s="828"/>
      <c r="AT80" s="828"/>
      <c r="AU80" s="828"/>
      <c r="AV80" s="828"/>
      <c r="AW80" s="828"/>
    </row>
    <row r="81" spans="1:49">
      <c r="A81" s="805"/>
      <c r="B81" s="855" t="s">
        <v>698</v>
      </c>
      <c r="C81" s="805"/>
      <c r="D81" s="805"/>
      <c r="E81" s="828">
        <f t="shared" si="35"/>
        <v>278.25083333333328</v>
      </c>
      <c r="F81" s="828">
        <f t="shared" si="35"/>
        <v>269.27</v>
      </c>
      <c r="G81" s="828">
        <f t="shared" si="35"/>
        <v>269.27</v>
      </c>
      <c r="H81" s="828">
        <f t="shared" si="35"/>
        <v>269.27</v>
      </c>
      <c r="I81" s="828">
        <f t="shared" si="35"/>
        <v>269.27</v>
      </c>
      <c r="J81" s="828">
        <f t="shared" si="35"/>
        <v>1291.24</v>
      </c>
      <c r="K81" s="828">
        <f t="shared" si="35"/>
        <v>428.84</v>
      </c>
      <c r="L81" s="828">
        <f t="shared" si="35"/>
        <v>299.60000000000002</v>
      </c>
      <c r="M81" s="828">
        <f t="shared" si="35"/>
        <v>138.81</v>
      </c>
      <c r="N81" s="828"/>
      <c r="O81" s="828">
        <f t="shared" si="36"/>
        <v>336.56</v>
      </c>
      <c r="P81" s="828">
        <f t="shared" si="36"/>
        <v>349.92</v>
      </c>
      <c r="Q81" s="828">
        <f t="shared" si="36"/>
        <v>350.13</v>
      </c>
      <c r="R81" s="828">
        <f t="shared" si="36"/>
        <v>350</v>
      </c>
      <c r="S81" s="828">
        <f t="shared" si="36"/>
        <v>349.62</v>
      </c>
      <c r="T81" s="828">
        <f t="shared" si="36"/>
        <v>350</v>
      </c>
      <c r="U81" s="828">
        <f t="shared" si="36"/>
        <v>334.67</v>
      </c>
      <c r="V81" s="828">
        <f t="shared" si="36"/>
        <v>333.33</v>
      </c>
      <c r="W81" s="828">
        <f t="shared" si="36"/>
        <v>-61.53</v>
      </c>
      <c r="X81" s="828">
        <f t="shared" si="36"/>
        <v>493.21</v>
      </c>
      <c r="Y81" s="828">
        <f t="shared" si="36"/>
        <v>276.52</v>
      </c>
      <c r="Z81" s="828">
        <f t="shared" si="36"/>
        <v>276.52</v>
      </c>
      <c r="AA81" s="828"/>
      <c r="AB81" s="828">
        <f t="shared" si="37"/>
        <v>399.52</v>
      </c>
      <c r="AC81" s="828">
        <f t="shared" si="37"/>
        <v>399.54</v>
      </c>
      <c r="AD81" s="828">
        <f t="shared" si="37"/>
        <v>399.99</v>
      </c>
      <c r="AE81" s="828">
        <f t="shared" si="37"/>
        <v>400</v>
      </c>
      <c r="AF81" s="828">
        <f t="shared" si="37"/>
        <v>400</v>
      </c>
      <c r="AG81" s="828">
        <f t="shared" si="37"/>
        <v>-231.72</v>
      </c>
      <c r="AH81" s="828">
        <f t="shared" si="37"/>
        <v>276.52</v>
      </c>
      <c r="AI81" s="828">
        <f t="shared" si="37"/>
        <v>384.38</v>
      </c>
      <c r="AJ81" s="828">
        <f t="shared" si="37"/>
        <v>276.52</v>
      </c>
      <c r="AK81" s="828">
        <f t="shared" si="37"/>
        <v>384.66</v>
      </c>
      <c r="AL81" s="828">
        <f t="shared" si="37"/>
        <v>281.24</v>
      </c>
      <c r="AM81" s="828">
        <f t="shared" si="37"/>
        <v>272.17</v>
      </c>
      <c r="AN81" s="828"/>
      <c r="AO81" s="828"/>
      <c r="AP81" s="828"/>
      <c r="AQ81" s="828"/>
      <c r="AR81" s="828"/>
      <c r="AS81" s="828"/>
      <c r="AT81" s="828"/>
      <c r="AU81" s="828"/>
      <c r="AV81" s="828"/>
      <c r="AW81" s="828"/>
    </row>
    <row r="82" spans="1:49">
      <c r="A82" s="805"/>
      <c r="B82" s="855" t="s">
        <v>699</v>
      </c>
      <c r="C82" s="805"/>
      <c r="D82" s="805"/>
      <c r="E82" s="828">
        <f t="shared" ref="E82:M82" si="38">SUM(E27:E28)</f>
        <v>4206.1445833333337</v>
      </c>
      <c r="F82" s="828">
        <f t="shared" si="38"/>
        <v>4138.3100000000004</v>
      </c>
      <c r="G82" s="828">
        <f t="shared" si="38"/>
        <v>4138.3100000000004</v>
      </c>
      <c r="H82" s="828">
        <f t="shared" si="38"/>
        <v>4740</v>
      </c>
      <c r="I82" s="828">
        <f t="shared" si="38"/>
        <v>4740</v>
      </c>
      <c r="J82" s="828">
        <f t="shared" si="38"/>
        <v>4335.9799999999996</v>
      </c>
      <c r="K82" s="828">
        <f t="shared" si="38"/>
        <v>4554.72</v>
      </c>
      <c r="L82" s="828">
        <f t="shared" si="38"/>
        <v>4630</v>
      </c>
      <c r="M82" s="828">
        <f t="shared" si="38"/>
        <v>4480.6499999999996</v>
      </c>
      <c r="N82" s="828"/>
      <c r="O82" s="828">
        <f t="shared" ref="O82:Z82" si="39">SUM(O27:O28)</f>
        <v>4630</v>
      </c>
      <c r="P82" s="828">
        <f t="shared" si="39"/>
        <v>4630</v>
      </c>
      <c r="Q82" s="828">
        <f t="shared" si="39"/>
        <v>4517.37</v>
      </c>
      <c r="R82" s="828">
        <f t="shared" si="39"/>
        <v>4667.95</v>
      </c>
      <c r="S82" s="828">
        <f t="shared" si="39"/>
        <v>4517.37</v>
      </c>
      <c r="T82" s="828">
        <f t="shared" si="39"/>
        <v>4667.96</v>
      </c>
      <c r="U82" s="828">
        <f t="shared" si="39"/>
        <v>4695</v>
      </c>
      <c r="V82" s="828">
        <f t="shared" si="39"/>
        <v>4241.29</v>
      </c>
      <c r="W82" s="828">
        <f t="shared" si="39"/>
        <v>4695.34</v>
      </c>
      <c r="X82" s="828">
        <f t="shared" si="39"/>
        <v>4543.87</v>
      </c>
      <c r="Y82" s="828">
        <f t="shared" si="39"/>
        <v>4695.34</v>
      </c>
      <c r="Z82" s="828">
        <f t="shared" si="39"/>
        <v>4543.87</v>
      </c>
      <c r="AA82" s="828"/>
      <c r="AB82" s="828">
        <f t="shared" ref="AB82:AM82" si="40">SUM(AB27:AB28)</f>
        <v>4695.34</v>
      </c>
      <c r="AC82" s="828">
        <f t="shared" si="40"/>
        <v>4695.34</v>
      </c>
      <c r="AD82" s="828">
        <f t="shared" si="40"/>
        <v>4543.87</v>
      </c>
      <c r="AE82" s="828">
        <f t="shared" si="40"/>
        <v>4695.34</v>
      </c>
      <c r="AF82" s="828">
        <f t="shared" si="40"/>
        <v>4543.87</v>
      </c>
      <c r="AG82" s="828">
        <f t="shared" si="40"/>
        <v>4695.33</v>
      </c>
      <c r="AH82" s="828">
        <f t="shared" si="40"/>
        <v>4861</v>
      </c>
      <c r="AI82" s="828">
        <f t="shared" si="40"/>
        <v>4214.7</v>
      </c>
      <c r="AJ82" s="828">
        <f t="shared" si="40"/>
        <v>4768.59</v>
      </c>
      <c r="AK82" s="828">
        <f t="shared" si="40"/>
        <v>4614.76</v>
      </c>
      <c r="AL82" s="828">
        <f t="shared" si="40"/>
        <v>4768.59</v>
      </c>
      <c r="AM82" s="828">
        <f t="shared" si="40"/>
        <v>4614.76</v>
      </c>
      <c r="AN82" s="828"/>
      <c r="AO82" s="828"/>
      <c r="AP82" s="828"/>
      <c r="AQ82" s="828"/>
      <c r="AR82" s="828"/>
      <c r="AS82" s="828"/>
      <c r="AT82" s="828"/>
      <c r="AU82" s="828"/>
      <c r="AV82" s="828"/>
      <c r="AW82" s="828"/>
    </row>
    <row r="83" spans="1:49">
      <c r="A83" s="805"/>
      <c r="B83" s="855" t="s">
        <v>700</v>
      </c>
      <c r="C83" s="805"/>
      <c r="D83" s="805"/>
      <c r="E83" s="828">
        <f t="shared" ref="E83:M83" si="41">E26</f>
        <v>1800.9579166666667</v>
      </c>
      <c r="F83" s="828">
        <f t="shared" si="41"/>
        <v>1684.76</v>
      </c>
      <c r="G83" s="828">
        <f t="shared" si="41"/>
        <v>1740.91</v>
      </c>
      <c r="H83" s="828">
        <f t="shared" si="41"/>
        <v>1740.91</v>
      </c>
      <c r="I83" s="828">
        <f t="shared" si="41"/>
        <v>1615.33</v>
      </c>
      <c r="J83" s="828">
        <f t="shared" si="41"/>
        <v>-2154.11</v>
      </c>
      <c r="K83" s="828">
        <f t="shared" si="41"/>
        <v>779.39</v>
      </c>
      <c r="L83" s="828">
        <f t="shared" si="41"/>
        <v>1988.73</v>
      </c>
      <c r="M83" s="828">
        <f t="shared" si="41"/>
        <v>1419.69</v>
      </c>
      <c r="N83" s="828"/>
      <c r="O83" s="828">
        <f t="shared" ref="O83:Z83" si="42">O26</f>
        <v>1961.56</v>
      </c>
      <c r="P83" s="828">
        <f t="shared" si="42"/>
        <v>1961.56</v>
      </c>
      <c r="Q83" s="828">
        <f t="shared" si="42"/>
        <v>1962.49</v>
      </c>
      <c r="R83" s="828">
        <f t="shared" si="42"/>
        <v>1961.54</v>
      </c>
      <c r="S83" s="828">
        <f t="shared" si="42"/>
        <v>48.25</v>
      </c>
      <c r="T83" s="828">
        <f t="shared" si="42"/>
        <v>1567.56</v>
      </c>
      <c r="U83" s="828">
        <f t="shared" si="42"/>
        <v>1512.2</v>
      </c>
      <c r="V83" s="828">
        <f t="shared" si="42"/>
        <v>1583.88</v>
      </c>
      <c r="W83" s="828">
        <f t="shared" si="42"/>
        <v>1422</v>
      </c>
      <c r="X83" s="828">
        <f t="shared" si="42"/>
        <v>3065.8</v>
      </c>
      <c r="Y83" s="828">
        <f t="shared" si="42"/>
        <v>2235.83</v>
      </c>
      <c r="Z83" s="828">
        <f t="shared" si="42"/>
        <v>1341.39</v>
      </c>
      <c r="AA83" s="828"/>
      <c r="AB83" s="828">
        <f t="shared" ref="AB83:AM83" si="43">AB26</f>
        <v>2235.65</v>
      </c>
      <c r="AC83" s="828">
        <f t="shared" si="43"/>
        <v>1788.52</v>
      </c>
      <c r="AD83" s="828">
        <f t="shared" si="43"/>
        <v>1119.79</v>
      </c>
      <c r="AE83" s="828">
        <f t="shared" si="43"/>
        <v>2102.04</v>
      </c>
      <c r="AF83" s="828">
        <f t="shared" si="43"/>
        <v>2047.36</v>
      </c>
      <c r="AG83" s="828">
        <f t="shared" si="43"/>
        <v>-3874.13</v>
      </c>
      <c r="AH83" s="828">
        <f t="shared" si="43"/>
        <v>1178.19</v>
      </c>
      <c r="AI83" s="828">
        <f t="shared" si="43"/>
        <v>1177.4000000000001</v>
      </c>
      <c r="AJ83" s="828">
        <f t="shared" si="43"/>
        <v>1177.69</v>
      </c>
      <c r="AK83" s="828">
        <f t="shared" si="43"/>
        <v>1377.13</v>
      </c>
      <c r="AL83" s="828">
        <f t="shared" si="43"/>
        <v>1165.26</v>
      </c>
      <c r="AM83" s="828">
        <f t="shared" si="43"/>
        <v>1127.67</v>
      </c>
      <c r="AN83" s="828"/>
      <c r="AO83" s="828"/>
      <c r="AP83" s="828"/>
      <c r="AQ83" s="828"/>
      <c r="AR83" s="828"/>
      <c r="AS83" s="828"/>
      <c r="AT83" s="828"/>
      <c r="AU83" s="828"/>
      <c r="AV83" s="828"/>
      <c r="AW83" s="828"/>
    </row>
    <row r="84" spans="1:49">
      <c r="A84" s="805"/>
      <c r="B84" s="855" t="s">
        <v>138</v>
      </c>
      <c r="C84" s="805"/>
      <c r="D84" s="805"/>
      <c r="E84" s="828">
        <f t="shared" ref="E84:M84" si="44">SUM(E29:E30)</f>
        <v>0</v>
      </c>
      <c r="F84" s="828">
        <f t="shared" si="44"/>
        <v>10133.32</v>
      </c>
      <c r="G84" s="828">
        <f t="shared" si="44"/>
        <v>4879.7700000000004</v>
      </c>
      <c r="H84" s="828">
        <f t="shared" si="44"/>
        <v>5004.37</v>
      </c>
      <c r="I84" s="828">
        <f t="shared" si="44"/>
        <v>4752.88</v>
      </c>
      <c r="J84" s="828">
        <f t="shared" si="44"/>
        <v>-6051.5</v>
      </c>
      <c r="K84" s="828">
        <f t="shared" si="44"/>
        <v>4825.3900000000003</v>
      </c>
      <c r="L84" s="828">
        <f t="shared" si="44"/>
        <v>4986.24</v>
      </c>
      <c r="M84" s="828">
        <f t="shared" si="44"/>
        <v>4825.3500000000004</v>
      </c>
      <c r="N84" s="828"/>
      <c r="O84" s="828">
        <f t="shared" ref="O84:Z84" si="45">SUM(O29:O30)</f>
        <v>2254.94</v>
      </c>
      <c r="P84" s="828">
        <f t="shared" si="45"/>
        <v>2254.96</v>
      </c>
      <c r="Q84" s="828">
        <f t="shared" si="45"/>
        <v>2257</v>
      </c>
      <c r="R84" s="828">
        <f t="shared" si="45"/>
        <v>2180.12</v>
      </c>
      <c r="S84" s="828">
        <f t="shared" si="45"/>
        <v>2182.19</v>
      </c>
      <c r="T84" s="828">
        <f t="shared" si="45"/>
        <v>2254.9499999999998</v>
      </c>
      <c r="U84" s="828">
        <f t="shared" si="45"/>
        <v>2254.84</v>
      </c>
      <c r="V84" s="828">
        <f t="shared" si="45"/>
        <v>2036.7199999999998</v>
      </c>
      <c r="W84" s="828">
        <f t="shared" si="45"/>
        <v>2254.92</v>
      </c>
      <c r="X84" s="828">
        <f t="shared" si="45"/>
        <v>2182.1999999999998</v>
      </c>
      <c r="Y84" s="828">
        <f t="shared" si="45"/>
        <v>2254.92</v>
      </c>
      <c r="Z84" s="828">
        <f t="shared" si="45"/>
        <v>2182.34</v>
      </c>
      <c r="AA84" s="828"/>
      <c r="AB84" s="828">
        <f t="shared" ref="AB84:AM84" si="46">SUM(AB29:AB30)</f>
        <v>2458</v>
      </c>
      <c r="AC84" s="828">
        <f t="shared" si="46"/>
        <v>2458</v>
      </c>
      <c r="AD84" s="828">
        <f t="shared" si="46"/>
        <v>947.18999999999983</v>
      </c>
      <c r="AE84" s="828">
        <f t="shared" si="46"/>
        <v>1962.13</v>
      </c>
      <c r="AF84" s="828">
        <f t="shared" si="46"/>
        <v>1893.23</v>
      </c>
      <c r="AG84" s="828">
        <f t="shared" si="46"/>
        <v>1956.33</v>
      </c>
      <c r="AH84" s="828">
        <f t="shared" si="46"/>
        <v>1956.33</v>
      </c>
      <c r="AI84" s="828">
        <f t="shared" si="46"/>
        <v>1767.02</v>
      </c>
      <c r="AJ84" s="828">
        <f t="shared" si="46"/>
        <v>1956.33</v>
      </c>
      <c r="AK84" s="828">
        <f t="shared" si="46"/>
        <v>1893.23</v>
      </c>
      <c r="AL84" s="828">
        <f t="shared" si="46"/>
        <v>1956.33</v>
      </c>
      <c r="AM84" s="828">
        <f t="shared" si="46"/>
        <v>1893.35</v>
      </c>
      <c r="AN84" s="828"/>
      <c r="AO84" s="828"/>
      <c r="AP84" s="828"/>
      <c r="AQ84" s="828"/>
      <c r="AR84" s="828"/>
      <c r="AS84" s="828"/>
      <c r="AT84" s="828"/>
      <c r="AU84" s="828"/>
      <c r="AV84" s="828"/>
      <c r="AW84" s="828"/>
    </row>
    <row r="85" spans="1:49">
      <c r="A85" s="805"/>
      <c r="B85" s="855" t="s">
        <v>142</v>
      </c>
      <c r="C85" s="805"/>
      <c r="D85" s="805"/>
      <c r="E85" s="828">
        <f>SUM(E31:E35,E18,E19)</f>
        <v>56517.146250000005</v>
      </c>
      <c r="F85" s="828">
        <f t="shared" ref="F85:M85" si="47">SUM(F31:F35,F18,F19)</f>
        <v>56075.040000000001</v>
      </c>
      <c r="G85" s="828">
        <f t="shared" si="47"/>
        <v>58964.43</v>
      </c>
      <c r="H85" s="828">
        <f t="shared" si="47"/>
        <v>37348.43</v>
      </c>
      <c r="I85" s="828">
        <f t="shared" si="47"/>
        <v>69125.67</v>
      </c>
      <c r="J85" s="828">
        <f t="shared" si="47"/>
        <v>49400.67</v>
      </c>
      <c r="K85" s="828">
        <f t="shared" si="47"/>
        <v>49401.34</v>
      </c>
      <c r="L85" s="828">
        <f t="shared" si="47"/>
        <v>49400.67</v>
      </c>
      <c r="M85" s="828">
        <f t="shared" si="47"/>
        <v>49400.65</v>
      </c>
      <c r="N85" s="828"/>
      <c r="O85" s="828">
        <f t="shared" ref="O85:Z85" si="48">SUM(O31:O35,O18,O19)</f>
        <v>50882.67</v>
      </c>
      <c r="P85" s="828">
        <f t="shared" si="48"/>
        <v>50883.11</v>
      </c>
      <c r="Q85" s="828">
        <f t="shared" si="48"/>
        <v>50883</v>
      </c>
      <c r="R85" s="828">
        <f t="shared" si="48"/>
        <v>50883.13</v>
      </c>
      <c r="S85" s="828">
        <f t="shared" si="48"/>
        <v>50882.75</v>
      </c>
      <c r="T85" s="828">
        <f t="shared" si="48"/>
        <v>50882.77</v>
      </c>
      <c r="U85" s="828">
        <f t="shared" si="48"/>
        <v>50882.75</v>
      </c>
      <c r="V85" s="828">
        <f t="shared" si="48"/>
        <v>46148.75</v>
      </c>
      <c r="W85" s="828">
        <f t="shared" si="48"/>
        <v>50882.75</v>
      </c>
      <c r="X85" s="828">
        <f t="shared" si="48"/>
        <v>50882.75</v>
      </c>
      <c r="Y85" s="828">
        <f t="shared" si="48"/>
        <v>50882.75</v>
      </c>
      <c r="Z85" s="828">
        <f t="shared" si="48"/>
        <v>50882.75</v>
      </c>
      <c r="AA85" s="828"/>
      <c r="AB85" s="828">
        <f t="shared" ref="AB85:AM85" si="49">SUM(AB31:AB35,AB18,AB19)</f>
        <v>50882.74</v>
      </c>
      <c r="AC85" s="828">
        <f t="shared" si="49"/>
        <v>51337.29</v>
      </c>
      <c r="AD85" s="828">
        <f t="shared" si="49"/>
        <v>50928.22</v>
      </c>
      <c r="AE85" s="828">
        <f t="shared" si="49"/>
        <v>52113.72</v>
      </c>
      <c r="AF85" s="828">
        <f t="shared" si="49"/>
        <v>52409.18</v>
      </c>
      <c r="AG85" s="828">
        <f t="shared" si="49"/>
        <v>52409.17</v>
      </c>
      <c r="AH85" s="828">
        <f t="shared" si="49"/>
        <v>52409.17</v>
      </c>
      <c r="AI85" s="828">
        <f t="shared" si="49"/>
        <v>52409.17</v>
      </c>
      <c r="AJ85" s="828">
        <f t="shared" si="49"/>
        <v>52409.17</v>
      </c>
      <c r="AK85" s="828">
        <f t="shared" si="49"/>
        <v>52409.17</v>
      </c>
      <c r="AL85" s="828">
        <f t="shared" si="49"/>
        <v>52409.17</v>
      </c>
      <c r="AM85" s="828">
        <f t="shared" si="49"/>
        <v>52409.14</v>
      </c>
      <c r="AN85" s="828"/>
      <c r="AO85" s="828"/>
      <c r="AP85" s="828"/>
      <c r="AQ85" s="828"/>
      <c r="AR85" s="828"/>
      <c r="AS85" s="828"/>
      <c r="AT85" s="828"/>
      <c r="AU85" s="828"/>
      <c r="AV85" s="828"/>
      <c r="AW85" s="828"/>
    </row>
    <row r="86" spans="1:49">
      <c r="A86" s="805"/>
      <c r="B86" s="855" t="s">
        <v>143</v>
      </c>
      <c r="C86" s="805"/>
      <c r="D86" s="805"/>
      <c r="E86" s="828">
        <f>E36+E37+E22+E23+E21+E20</f>
        <v>136.90375</v>
      </c>
      <c r="F86" s="828">
        <f t="shared" ref="F86:M86" si="50">F36+F37+F22+F23+F21+F20</f>
        <v>5650.34</v>
      </c>
      <c r="G86" s="828">
        <f t="shared" si="50"/>
        <v>3230.9799999999996</v>
      </c>
      <c r="H86" s="828">
        <f t="shared" si="50"/>
        <v>3230.97</v>
      </c>
      <c r="I86" s="828">
        <f t="shared" si="50"/>
        <v>3247.39</v>
      </c>
      <c r="J86" s="828">
        <f t="shared" si="50"/>
        <v>4241.17</v>
      </c>
      <c r="K86" s="828">
        <f t="shared" si="50"/>
        <v>2969.29</v>
      </c>
      <c r="L86" s="828">
        <f t="shared" si="50"/>
        <v>3394.56</v>
      </c>
      <c r="M86" s="828">
        <f t="shared" si="50"/>
        <v>3400.57</v>
      </c>
      <c r="N86" s="828"/>
      <c r="O86" s="828">
        <f t="shared" ref="O86:Z86" si="51">O36+O37+O22+O23+O21+O20</f>
        <v>3400.58</v>
      </c>
      <c r="P86" s="828">
        <f t="shared" si="51"/>
        <v>3400.58</v>
      </c>
      <c r="Q86" s="828">
        <f t="shared" si="51"/>
        <v>3400.58</v>
      </c>
      <c r="R86" s="828">
        <f t="shared" si="51"/>
        <v>1838.84</v>
      </c>
      <c r="S86" s="828">
        <f t="shared" si="51"/>
        <v>5176.97</v>
      </c>
      <c r="T86" s="828">
        <f t="shared" si="51"/>
        <v>3514.48</v>
      </c>
      <c r="U86" s="828">
        <f t="shared" si="51"/>
        <v>3511.4</v>
      </c>
      <c r="V86" s="828">
        <f t="shared" si="51"/>
        <v>3511.5</v>
      </c>
      <c r="W86" s="828">
        <f t="shared" si="51"/>
        <v>3511.45</v>
      </c>
      <c r="X86" s="828">
        <f t="shared" si="51"/>
        <v>3511.44</v>
      </c>
      <c r="Y86" s="828">
        <f t="shared" si="51"/>
        <v>3511.46</v>
      </c>
      <c r="Z86" s="828">
        <f t="shared" si="51"/>
        <v>3511.45</v>
      </c>
      <c r="AA86" s="828"/>
      <c r="AB86" s="828">
        <f t="shared" ref="AB86:AM86" si="52">AB36+AB37+AB22+AB23+AB21+AB20</f>
        <v>3511.08</v>
      </c>
      <c r="AC86" s="828">
        <f t="shared" si="52"/>
        <v>3511.09</v>
      </c>
      <c r="AD86" s="828">
        <f t="shared" si="52"/>
        <v>3512.62</v>
      </c>
      <c r="AE86" s="828">
        <f t="shared" si="52"/>
        <v>3610.51</v>
      </c>
      <c r="AF86" s="828">
        <f t="shared" si="52"/>
        <v>5738.85</v>
      </c>
      <c r="AG86" s="828">
        <f t="shared" si="52"/>
        <v>3515.17</v>
      </c>
      <c r="AH86" s="828">
        <f t="shared" si="52"/>
        <v>3745.33</v>
      </c>
      <c r="AI86" s="828">
        <f t="shared" si="52"/>
        <v>3629.49</v>
      </c>
      <c r="AJ86" s="828">
        <f t="shared" si="52"/>
        <v>3620.4500000000003</v>
      </c>
      <c r="AK86" s="828">
        <f t="shared" si="52"/>
        <v>3624.9100000000003</v>
      </c>
      <c r="AL86" s="828">
        <f t="shared" si="52"/>
        <v>2638.55</v>
      </c>
      <c r="AM86" s="828">
        <f t="shared" si="52"/>
        <v>6248.4400000000005</v>
      </c>
      <c r="AN86" s="828"/>
      <c r="AO86" s="828"/>
      <c r="AP86" s="828"/>
      <c r="AQ86" s="828"/>
      <c r="AR86" s="828"/>
      <c r="AS86" s="828"/>
      <c r="AT86" s="828"/>
      <c r="AU86" s="828"/>
      <c r="AV86" s="828"/>
      <c r="AW86" s="828"/>
    </row>
    <row r="87" spans="1:49">
      <c r="A87" s="805"/>
      <c r="B87" s="855" t="s">
        <v>147</v>
      </c>
      <c r="C87" s="805"/>
      <c r="D87" s="805"/>
      <c r="E87" s="828">
        <f t="shared" ref="E87:M87" si="53">E38</f>
        <v>0</v>
      </c>
      <c r="F87" s="828">
        <f t="shared" si="53"/>
        <v>0</v>
      </c>
      <c r="G87" s="828">
        <f t="shared" si="53"/>
        <v>0</v>
      </c>
      <c r="H87" s="828">
        <f t="shared" si="53"/>
        <v>0</v>
      </c>
      <c r="I87" s="828">
        <f t="shared" si="53"/>
        <v>0</v>
      </c>
      <c r="J87" s="828">
        <f t="shared" si="53"/>
        <v>0</v>
      </c>
      <c r="K87" s="828">
        <f t="shared" si="53"/>
        <v>777.5</v>
      </c>
      <c r="L87" s="828">
        <f t="shared" si="53"/>
        <v>0</v>
      </c>
      <c r="M87" s="828">
        <f t="shared" si="53"/>
        <v>1166.26</v>
      </c>
      <c r="N87" s="828"/>
      <c r="O87" s="828">
        <f t="shared" ref="O87:Z87" si="54">O38</f>
        <v>833.33</v>
      </c>
      <c r="P87" s="828">
        <f t="shared" si="54"/>
        <v>-444.24</v>
      </c>
      <c r="Q87" s="828">
        <f t="shared" si="54"/>
        <v>194.44</v>
      </c>
      <c r="R87" s="828">
        <f t="shared" si="54"/>
        <v>194.44</v>
      </c>
      <c r="S87" s="828">
        <f t="shared" si="54"/>
        <v>194.45</v>
      </c>
      <c r="T87" s="828">
        <f t="shared" si="54"/>
        <v>194.44</v>
      </c>
      <c r="U87" s="828">
        <f t="shared" si="54"/>
        <v>194.44</v>
      </c>
      <c r="V87" s="828">
        <f t="shared" si="54"/>
        <v>189.45</v>
      </c>
      <c r="W87" s="828">
        <f t="shared" si="54"/>
        <v>-2133.88</v>
      </c>
      <c r="X87" s="828">
        <f t="shared" si="54"/>
        <v>750</v>
      </c>
      <c r="Y87" s="828">
        <f t="shared" si="54"/>
        <v>0</v>
      </c>
      <c r="Z87" s="828">
        <f t="shared" si="54"/>
        <v>4500</v>
      </c>
      <c r="AA87" s="828"/>
      <c r="AB87" s="828">
        <f t="shared" ref="AB87:AM87" si="55">AB38</f>
        <v>375</v>
      </c>
      <c r="AC87" s="828">
        <f t="shared" si="55"/>
        <v>375</v>
      </c>
      <c r="AD87" s="828">
        <f t="shared" si="55"/>
        <v>375</v>
      </c>
      <c r="AE87" s="828">
        <f t="shared" si="55"/>
        <v>375</v>
      </c>
      <c r="AF87" s="828">
        <f t="shared" si="55"/>
        <v>375</v>
      </c>
      <c r="AG87" s="828">
        <f t="shared" si="55"/>
        <v>751.8</v>
      </c>
      <c r="AH87" s="828">
        <f t="shared" si="55"/>
        <v>-2000</v>
      </c>
      <c r="AI87" s="828">
        <f t="shared" si="55"/>
        <v>17750</v>
      </c>
      <c r="AJ87" s="828">
        <f t="shared" si="55"/>
        <v>252.05</v>
      </c>
      <c r="AK87" s="828">
        <f t="shared" si="55"/>
        <v>1746.58</v>
      </c>
      <c r="AL87" s="828">
        <f t="shared" si="55"/>
        <v>254.79</v>
      </c>
      <c r="AM87" s="828">
        <f t="shared" si="55"/>
        <v>246.58</v>
      </c>
      <c r="AN87" s="828"/>
      <c r="AO87" s="828"/>
      <c r="AP87" s="828"/>
      <c r="AQ87" s="828"/>
      <c r="AR87" s="828"/>
      <c r="AS87" s="828"/>
      <c r="AT87" s="828"/>
      <c r="AU87" s="828"/>
      <c r="AV87" s="828"/>
      <c r="AW87" s="828"/>
    </row>
    <row r="88" spans="1:49">
      <c r="A88" s="805"/>
      <c r="B88" s="855" t="s">
        <v>148</v>
      </c>
      <c r="C88" s="805"/>
      <c r="D88" s="805"/>
      <c r="E88" s="828"/>
      <c r="F88" s="828"/>
      <c r="G88" s="828"/>
      <c r="H88" s="828"/>
      <c r="I88" s="828"/>
      <c r="J88" s="828"/>
      <c r="K88" s="828"/>
      <c r="L88" s="828"/>
      <c r="M88" s="828"/>
      <c r="N88" s="828"/>
      <c r="O88" s="828"/>
      <c r="P88" s="828"/>
      <c r="Q88" s="828"/>
      <c r="R88" s="828"/>
      <c r="S88" s="828"/>
      <c r="T88" s="828"/>
      <c r="U88" s="828"/>
      <c r="V88" s="828"/>
      <c r="W88" s="828"/>
      <c r="X88" s="828"/>
      <c r="Y88" s="828"/>
      <c r="Z88" s="828"/>
      <c r="AA88" s="828"/>
      <c r="AB88" s="828"/>
      <c r="AC88" s="828"/>
      <c r="AD88" s="828"/>
      <c r="AE88" s="828"/>
      <c r="AF88" s="828"/>
      <c r="AG88" s="828"/>
      <c r="AH88" s="828"/>
      <c r="AI88" s="828"/>
      <c r="AJ88" s="828"/>
      <c r="AK88" s="828"/>
      <c r="AL88" s="828"/>
      <c r="AM88" s="828"/>
      <c r="AN88" s="828"/>
      <c r="AO88" s="828"/>
      <c r="AP88" s="828"/>
      <c r="AQ88" s="828"/>
      <c r="AR88" s="828"/>
      <c r="AS88" s="828"/>
      <c r="AT88" s="828"/>
      <c r="AU88" s="828"/>
      <c r="AV88" s="828"/>
      <c r="AW88" s="828"/>
    </row>
    <row r="89" spans="1:49">
      <c r="A89" s="805"/>
      <c r="B89" s="855" t="s">
        <v>149</v>
      </c>
      <c r="C89" s="805"/>
      <c r="D89" s="805"/>
      <c r="E89" s="828">
        <f>E39</f>
        <v>0</v>
      </c>
      <c r="F89" s="828">
        <f t="shared" ref="F89:AM89" si="56">F39</f>
        <v>0</v>
      </c>
      <c r="G89" s="828">
        <f t="shared" si="56"/>
        <v>0</v>
      </c>
      <c r="H89" s="828">
        <f t="shared" si="56"/>
        <v>0</v>
      </c>
      <c r="I89" s="828">
        <f t="shared" si="56"/>
        <v>0</v>
      </c>
      <c r="J89" s="828">
        <f t="shared" si="56"/>
        <v>0</v>
      </c>
      <c r="K89" s="828">
        <f t="shared" si="56"/>
        <v>0</v>
      </c>
      <c r="L89" s="828">
        <f t="shared" si="56"/>
        <v>0</v>
      </c>
      <c r="M89" s="828">
        <f t="shared" si="56"/>
        <v>0</v>
      </c>
      <c r="N89" s="828"/>
      <c r="O89" s="828">
        <f t="shared" si="56"/>
        <v>0</v>
      </c>
      <c r="P89" s="828">
        <f t="shared" si="56"/>
        <v>0</v>
      </c>
      <c r="Q89" s="828">
        <f t="shared" si="56"/>
        <v>0</v>
      </c>
      <c r="R89" s="828">
        <f t="shared" si="56"/>
        <v>0</v>
      </c>
      <c r="S89" s="828">
        <f t="shared" si="56"/>
        <v>0</v>
      </c>
      <c r="T89" s="828">
        <f t="shared" si="56"/>
        <v>0</v>
      </c>
      <c r="U89" s="828">
        <f t="shared" si="56"/>
        <v>0</v>
      </c>
      <c r="V89" s="828">
        <f t="shared" si="56"/>
        <v>0</v>
      </c>
      <c r="W89" s="828">
        <f t="shared" si="56"/>
        <v>0</v>
      </c>
      <c r="X89" s="828">
        <f t="shared" si="56"/>
        <v>0</v>
      </c>
      <c r="Y89" s="828">
        <f t="shared" si="56"/>
        <v>0</v>
      </c>
      <c r="Z89" s="828">
        <f t="shared" si="56"/>
        <v>0</v>
      </c>
      <c r="AA89" s="828"/>
      <c r="AB89" s="828">
        <f t="shared" si="56"/>
        <v>0</v>
      </c>
      <c r="AC89" s="828">
        <f t="shared" si="56"/>
        <v>0</v>
      </c>
      <c r="AD89" s="828">
        <f t="shared" si="56"/>
        <v>0</v>
      </c>
      <c r="AE89" s="828">
        <f t="shared" si="56"/>
        <v>0</v>
      </c>
      <c r="AF89" s="828">
        <f t="shared" si="56"/>
        <v>0</v>
      </c>
      <c r="AG89" s="828">
        <f t="shared" si="56"/>
        <v>0</v>
      </c>
      <c r="AH89" s="828">
        <f t="shared" si="56"/>
        <v>0</v>
      </c>
      <c r="AI89" s="828">
        <f t="shared" si="56"/>
        <v>0</v>
      </c>
      <c r="AJ89" s="828">
        <f t="shared" si="56"/>
        <v>0</v>
      </c>
      <c r="AK89" s="828">
        <f t="shared" si="56"/>
        <v>0</v>
      </c>
      <c r="AL89" s="828">
        <f t="shared" si="56"/>
        <v>0</v>
      </c>
      <c r="AM89" s="828">
        <f t="shared" si="56"/>
        <v>0</v>
      </c>
      <c r="AN89" s="828"/>
      <c r="AO89" s="828"/>
      <c r="AP89" s="828"/>
      <c r="AQ89" s="828"/>
      <c r="AR89" s="828"/>
      <c r="AS89" s="828"/>
      <c r="AT89" s="828"/>
      <c r="AU89" s="828"/>
      <c r="AV89" s="828"/>
      <c r="AW89" s="828"/>
    </row>
    <row r="90" spans="1:49">
      <c r="A90" s="805"/>
      <c r="B90" s="852" t="s">
        <v>0</v>
      </c>
      <c r="C90" s="805"/>
      <c r="D90" s="805"/>
      <c r="E90" s="828">
        <f>SUM(E79,E84:E89)</f>
        <v>67894.133333333331</v>
      </c>
      <c r="F90" s="828">
        <f t="shared" ref="F90:AM90" si="57">SUM(F79,F84:F89)</f>
        <v>82745.94</v>
      </c>
      <c r="G90" s="828">
        <f t="shared" si="57"/>
        <v>78018.569999999992</v>
      </c>
      <c r="H90" s="828">
        <f t="shared" si="57"/>
        <v>57128.850000000006</v>
      </c>
      <c r="I90" s="828">
        <f t="shared" si="57"/>
        <v>88545.44</v>
      </c>
      <c r="J90" s="828">
        <f t="shared" si="57"/>
        <v>55858.349999999991</v>
      </c>
      <c r="K90" s="828">
        <f t="shared" si="57"/>
        <v>68887.42</v>
      </c>
      <c r="L90" s="828">
        <f t="shared" si="57"/>
        <v>69493.06</v>
      </c>
      <c r="M90" s="828">
        <f t="shared" si="57"/>
        <v>69751.98</v>
      </c>
      <c r="N90" s="828"/>
      <c r="O90" s="828">
        <f t="shared" si="57"/>
        <v>69418.64</v>
      </c>
      <c r="P90" s="828">
        <f t="shared" si="57"/>
        <v>67992.549999999988</v>
      </c>
      <c r="Q90" s="828">
        <f t="shared" si="57"/>
        <v>68440.33</v>
      </c>
      <c r="R90" s="828">
        <f t="shared" si="57"/>
        <v>67112.179999999993</v>
      </c>
      <c r="S90" s="828">
        <f t="shared" si="57"/>
        <v>68225.299999999988</v>
      </c>
      <c r="T90" s="828">
        <f t="shared" si="57"/>
        <v>68468.3</v>
      </c>
      <c r="U90" s="828">
        <f t="shared" si="57"/>
        <v>68533.37</v>
      </c>
      <c r="V90" s="828">
        <f t="shared" si="57"/>
        <v>62694.789999999994</v>
      </c>
      <c r="W90" s="828">
        <f t="shared" si="57"/>
        <v>65719.11</v>
      </c>
      <c r="X90" s="828">
        <f t="shared" si="57"/>
        <v>70356.53</v>
      </c>
      <c r="Y90" s="828">
        <f t="shared" si="57"/>
        <v>68948.320000000007</v>
      </c>
      <c r="Z90" s="828">
        <f t="shared" si="57"/>
        <v>72165.56</v>
      </c>
      <c r="AA90" s="828"/>
      <c r="AB90" s="828">
        <f t="shared" si="57"/>
        <v>70220.33</v>
      </c>
      <c r="AC90" s="828">
        <f t="shared" si="57"/>
        <v>69333.58</v>
      </c>
      <c r="AD90" s="828">
        <f t="shared" si="57"/>
        <v>66874.320000000007</v>
      </c>
      <c r="AE90" s="828">
        <f t="shared" si="57"/>
        <v>70474.64</v>
      </c>
      <c r="AF90" s="828">
        <f t="shared" si="57"/>
        <v>72455.13</v>
      </c>
      <c r="AG90" s="828">
        <f t="shared" si="57"/>
        <v>64437.85</v>
      </c>
      <c r="AH90" s="828">
        <f t="shared" si="57"/>
        <v>67642.44</v>
      </c>
      <c r="AI90" s="828">
        <f t="shared" si="57"/>
        <v>86043.3</v>
      </c>
      <c r="AJ90" s="828">
        <f t="shared" si="57"/>
        <v>69676.7</v>
      </c>
      <c r="AK90" s="828">
        <f t="shared" si="57"/>
        <v>71098.080000000002</v>
      </c>
      <c r="AL90" s="828">
        <f t="shared" si="57"/>
        <v>68689.829999999987</v>
      </c>
      <c r="AM90" s="828">
        <f t="shared" si="57"/>
        <v>71859.8</v>
      </c>
      <c r="AN90" s="828"/>
      <c r="AO90" s="828"/>
      <c r="AP90" s="828"/>
      <c r="AQ90" s="828"/>
      <c r="AR90" s="828"/>
      <c r="AS90" s="828"/>
      <c r="AT90" s="828"/>
      <c r="AU90" s="828"/>
      <c r="AV90" s="828"/>
      <c r="AW90" s="828"/>
    </row>
    <row r="91" spans="1:49">
      <c r="A91" s="805"/>
      <c r="B91" s="856" t="s">
        <v>701</v>
      </c>
      <c r="C91" s="805"/>
      <c r="D91" s="805"/>
      <c r="E91" s="828">
        <f>E77-E90</f>
        <v>365623.66875000007</v>
      </c>
      <c r="F91" s="828">
        <f t="shared" ref="F91:AM91" si="58">F77-F90</f>
        <v>356094.87</v>
      </c>
      <c r="G91" s="828">
        <f t="shared" si="58"/>
        <v>371684.04</v>
      </c>
      <c r="H91" s="828">
        <f t="shared" si="58"/>
        <v>384943.38</v>
      </c>
      <c r="I91" s="828">
        <f t="shared" si="58"/>
        <v>336482.46</v>
      </c>
      <c r="J91" s="828">
        <f t="shared" si="58"/>
        <v>378213.87</v>
      </c>
      <c r="K91" s="828">
        <f t="shared" si="58"/>
        <v>365184.72000000003</v>
      </c>
      <c r="L91" s="828">
        <f t="shared" si="58"/>
        <v>364579.19</v>
      </c>
      <c r="M91" s="828">
        <f t="shared" si="58"/>
        <v>368266.85000000003</v>
      </c>
      <c r="N91" s="828"/>
      <c r="O91" s="828">
        <f t="shared" si="58"/>
        <v>366323.61</v>
      </c>
      <c r="P91" s="828">
        <f t="shared" si="58"/>
        <v>367749.72000000003</v>
      </c>
      <c r="Q91" s="828">
        <f t="shared" si="58"/>
        <v>367052.93</v>
      </c>
      <c r="R91" s="828">
        <f t="shared" si="58"/>
        <v>382760.72000000003</v>
      </c>
      <c r="S91" s="828">
        <f t="shared" si="58"/>
        <v>381881.95</v>
      </c>
      <c r="T91" s="828">
        <f t="shared" si="58"/>
        <v>381929.97</v>
      </c>
      <c r="U91" s="828">
        <f t="shared" si="58"/>
        <v>381902.29000000004</v>
      </c>
      <c r="V91" s="828">
        <f t="shared" si="58"/>
        <v>386817.80000000005</v>
      </c>
      <c r="W91" s="828">
        <f t="shared" si="58"/>
        <v>384716.55000000005</v>
      </c>
      <c r="X91" s="828">
        <f t="shared" si="58"/>
        <v>380079.13</v>
      </c>
      <c r="Y91" s="828">
        <f t="shared" si="58"/>
        <v>377149.34</v>
      </c>
      <c r="Z91" s="828">
        <f t="shared" si="58"/>
        <v>384488.10000000003</v>
      </c>
      <c r="AA91" s="828"/>
      <c r="AB91" s="828">
        <f t="shared" si="58"/>
        <v>381251.88</v>
      </c>
      <c r="AC91" s="828">
        <f t="shared" si="58"/>
        <v>382593.17000000004</v>
      </c>
      <c r="AD91" s="828">
        <f t="shared" si="58"/>
        <v>384643.35000000003</v>
      </c>
      <c r="AE91" s="828">
        <f t="shared" si="58"/>
        <v>396336.11000000004</v>
      </c>
      <c r="AF91" s="828">
        <f t="shared" si="58"/>
        <v>393970.17000000004</v>
      </c>
      <c r="AG91" s="828">
        <f t="shared" si="58"/>
        <v>394089.86000000004</v>
      </c>
      <c r="AH91" s="828">
        <f t="shared" si="58"/>
        <v>403628.62000000005</v>
      </c>
      <c r="AI91" s="828">
        <f t="shared" si="58"/>
        <v>372671.76000000007</v>
      </c>
      <c r="AJ91" s="828">
        <f t="shared" si="58"/>
        <v>395733.36000000004</v>
      </c>
      <c r="AK91" s="828">
        <f t="shared" si="58"/>
        <v>394532.24000000005</v>
      </c>
      <c r="AL91" s="828">
        <f t="shared" si="58"/>
        <v>396712.09000000008</v>
      </c>
      <c r="AM91" s="828">
        <f t="shared" si="58"/>
        <v>395473.1100000001</v>
      </c>
      <c r="AN91" s="828"/>
      <c r="AO91" s="828"/>
      <c r="AP91" s="828"/>
      <c r="AQ91" s="828"/>
      <c r="AR91" s="828"/>
      <c r="AS91" s="828"/>
      <c r="AT91" s="828"/>
      <c r="AU91" s="828"/>
      <c r="AV91" s="828"/>
      <c r="AW91" s="828"/>
    </row>
    <row r="92" spans="1:49">
      <c r="A92" s="805"/>
      <c r="B92" s="852" t="s">
        <v>66</v>
      </c>
      <c r="C92" s="805"/>
      <c r="D92" s="907">
        <f>SUM(E92:AM92)</f>
        <v>12525560.878749996</v>
      </c>
      <c r="E92" s="828">
        <f>E91</f>
        <v>365623.66875000007</v>
      </c>
      <c r="F92" s="828">
        <f t="shared" ref="F92:AM92" si="59">F91</f>
        <v>356094.87</v>
      </c>
      <c r="G92" s="828">
        <f t="shared" si="59"/>
        <v>371684.04</v>
      </c>
      <c r="H92" s="828">
        <f t="shared" si="59"/>
        <v>384943.38</v>
      </c>
      <c r="I92" s="828">
        <f t="shared" si="59"/>
        <v>336482.46</v>
      </c>
      <c r="J92" s="828">
        <f t="shared" si="59"/>
        <v>378213.87</v>
      </c>
      <c r="K92" s="828">
        <f t="shared" si="59"/>
        <v>365184.72000000003</v>
      </c>
      <c r="L92" s="828">
        <f t="shared" si="59"/>
        <v>364579.19</v>
      </c>
      <c r="M92" s="828">
        <f t="shared" si="59"/>
        <v>368266.85000000003</v>
      </c>
      <c r="N92" s="828"/>
      <c r="O92" s="828">
        <f t="shared" si="59"/>
        <v>366323.61</v>
      </c>
      <c r="P92" s="828">
        <f t="shared" si="59"/>
        <v>367749.72000000003</v>
      </c>
      <c r="Q92" s="828">
        <f t="shared" si="59"/>
        <v>367052.93</v>
      </c>
      <c r="R92" s="828">
        <f t="shared" si="59"/>
        <v>382760.72000000003</v>
      </c>
      <c r="S92" s="828">
        <f t="shared" si="59"/>
        <v>381881.95</v>
      </c>
      <c r="T92" s="828">
        <f t="shared" si="59"/>
        <v>381929.97</v>
      </c>
      <c r="U92" s="828">
        <f t="shared" si="59"/>
        <v>381902.29000000004</v>
      </c>
      <c r="V92" s="828">
        <f t="shared" si="59"/>
        <v>386817.80000000005</v>
      </c>
      <c r="W92" s="828">
        <f t="shared" si="59"/>
        <v>384716.55000000005</v>
      </c>
      <c r="X92" s="828">
        <f t="shared" si="59"/>
        <v>380079.13</v>
      </c>
      <c r="Y92" s="828">
        <f t="shared" si="59"/>
        <v>377149.34</v>
      </c>
      <c r="Z92" s="828">
        <f t="shared" si="59"/>
        <v>384488.10000000003</v>
      </c>
      <c r="AA92" s="828"/>
      <c r="AB92" s="828">
        <f t="shared" si="59"/>
        <v>381251.88</v>
      </c>
      <c r="AC92" s="828">
        <f t="shared" si="59"/>
        <v>382593.17000000004</v>
      </c>
      <c r="AD92" s="828">
        <f t="shared" si="59"/>
        <v>384643.35000000003</v>
      </c>
      <c r="AE92" s="828">
        <f t="shared" si="59"/>
        <v>396336.11000000004</v>
      </c>
      <c r="AF92" s="828">
        <f t="shared" si="59"/>
        <v>393970.17000000004</v>
      </c>
      <c r="AG92" s="828">
        <f t="shared" si="59"/>
        <v>394089.86000000004</v>
      </c>
      <c r="AH92" s="828">
        <f t="shared" si="59"/>
        <v>403628.62000000005</v>
      </c>
      <c r="AI92" s="828">
        <f t="shared" si="59"/>
        <v>372671.76000000007</v>
      </c>
      <c r="AJ92" s="828">
        <f t="shared" si="59"/>
        <v>395733.36000000004</v>
      </c>
      <c r="AK92" s="828">
        <f t="shared" si="59"/>
        <v>394532.24000000005</v>
      </c>
      <c r="AL92" s="828">
        <f t="shared" si="59"/>
        <v>396712.09000000008</v>
      </c>
      <c r="AM92" s="828">
        <f t="shared" si="59"/>
        <v>395473.1100000001</v>
      </c>
      <c r="AN92" s="828"/>
      <c r="AO92" s="828"/>
      <c r="AP92" s="828"/>
      <c r="AQ92" s="828"/>
      <c r="AR92" s="828"/>
      <c r="AS92" s="828"/>
      <c r="AT92" s="828"/>
      <c r="AU92" s="828"/>
      <c r="AV92" s="828"/>
      <c r="AW92" s="828"/>
    </row>
    <row r="93" spans="1:49">
      <c r="A93" s="805"/>
      <c r="B93" s="926" t="s">
        <v>919</v>
      </c>
      <c r="C93" s="805"/>
      <c r="D93" s="907">
        <f>SUM(E93:AM93)</f>
        <v>845476.39875000005</v>
      </c>
      <c r="E93" s="828">
        <f t="shared" ref="E93:AM93" si="60">E41</f>
        <v>38200.408750000002</v>
      </c>
      <c r="F93" s="828">
        <f t="shared" si="60"/>
        <v>20244.380000000005</v>
      </c>
      <c r="G93" s="828">
        <f t="shared" si="60"/>
        <v>24472.47</v>
      </c>
      <c r="H93" s="828">
        <f t="shared" si="60"/>
        <v>32173.790000000008</v>
      </c>
      <c r="I93" s="828">
        <f t="shared" si="60"/>
        <v>23258.04</v>
      </c>
      <c r="J93" s="828">
        <f t="shared" si="60"/>
        <v>24076.77</v>
      </c>
      <c r="K93" s="828">
        <f t="shared" si="60"/>
        <v>23245.439999999995</v>
      </c>
      <c r="L93" s="828">
        <f t="shared" si="60"/>
        <v>23777.269999999997</v>
      </c>
      <c r="M93" s="828">
        <f t="shared" si="60"/>
        <v>21403.59</v>
      </c>
      <c r="N93" s="828"/>
      <c r="O93" s="828">
        <f t="shared" si="60"/>
        <v>22703.550000000003</v>
      </c>
      <c r="P93" s="828">
        <f t="shared" si="60"/>
        <v>22624.67</v>
      </c>
      <c r="Q93" s="828">
        <f t="shared" si="60"/>
        <v>22635.7</v>
      </c>
      <c r="R93" s="828">
        <f t="shared" si="60"/>
        <v>22761.160000000003</v>
      </c>
      <c r="S93" s="828">
        <f t="shared" si="60"/>
        <v>22900.99</v>
      </c>
      <c r="T93" s="828">
        <f t="shared" si="60"/>
        <v>22636.080000000002</v>
      </c>
      <c r="U93" s="828">
        <f t="shared" si="60"/>
        <v>57937.329999999994</v>
      </c>
      <c r="V93" s="828">
        <f t="shared" si="60"/>
        <v>39960.979999999996</v>
      </c>
      <c r="W93" s="828">
        <f t="shared" si="60"/>
        <v>22413.47</v>
      </c>
      <c r="X93" s="828">
        <f t="shared" si="60"/>
        <v>23583.42</v>
      </c>
      <c r="Y93" s="828">
        <f t="shared" si="60"/>
        <v>24399.34</v>
      </c>
      <c r="Z93" s="828">
        <f t="shared" si="60"/>
        <v>24378.71</v>
      </c>
      <c r="AA93" s="828"/>
      <c r="AB93" s="829">
        <f t="shared" si="60"/>
        <v>22958.43</v>
      </c>
      <c r="AC93" s="829">
        <f t="shared" si="60"/>
        <v>23252.25</v>
      </c>
      <c r="AD93" s="829">
        <f t="shared" si="60"/>
        <v>22944.07</v>
      </c>
      <c r="AE93" s="829">
        <f t="shared" si="60"/>
        <v>23786.260000000002</v>
      </c>
      <c r="AF93" s="829">
        <f t="shared" si="60"/>
        <v>22942.89</v>
      </c>
      <c r="AG93" s="829">
        <f t="shared" si="60"/>
        <v>23961.410000000003</v>
      </c>
      <c r="AH93" s="829">
        <f t="shared" si="60"/>
        <v>23295.54</v>
      </c>
      <c r="AI93" s="829">
        <f t="shared" si="60"/>
        <v>23394.09</v>
      </c>
      <c r="AJ93" s="829">
        <f t="shared" si="60"/>
        <v>23255.61</v>
      </c>
      <c r="AK93" s="829">
        <f t="shared" si="60"/>
        <v>23133.3</v>
      </c>
      <c r="AL93" s="829">
        <f t="shared" si="60"/>
        <v>23132.37</v>
      </c>
      <c r="AM93" s="829">
        <f t="shared" si="60"/>
        <v>29632.62</v>
      </c>
      <c r="AN93" s="828"/>
      <c r="AO93" s="828"/>
      <c r="AP93" s="828"/>
      <c r="AQ93" s="828"/>
      <c r="AR93" s="828"/>
      <c r="AS93" s="828"/>
      <c r="AT93" s="828"/>
      <c r="AU93" s="828"/>
      <c r="AV93" s="828"/>
      <c r="AW93" s="828"/>
    </row>
    <row r="94" spans="1:49">
      <c r="A94" s="805"/>
      <c r="B94" s="780" t="s">
        <v>634</v>
      </c>
      <c r="C94" s="805"/>
      <c r="D94" s="805"/>
      <c r="E94" s="828"/>
      <c r="F94" s="828"/>
      <c r="G94" s="828"/>
      <c r="H94" s="828"/>
      <c r="I94" s="828"/>
      <c r="J94" s="828"/>
      <c r="K94" s="828"/>
      <c r="L94" s="828"/>
      <c r="M94" s="828"/>
      <c r="N94" s="828"/>
      <c r="O94" s="828"/>
      <c r="P94" s="828"/>
      <c r="Q94" s="828"/>
      <c r="R94" s="828"/>
      <c r="S94" s="828"/>
      <c r="T94" s="828"/>
      <c r="U94" s="828"/>
      <c r="V94" s="828"/>
      <c r="W94" s="828"/>
      <c r="X94" s="828"/>
      <c r="Y94" s="828"/>
      <c r="Z94" s="828"/>
      <c r="AA94" s="828"/>
      <c r="AB94" s="829"/>
      <c r="AC94" s="829"/>
      <c r="AD94" s="829"/>
      <c r="AE94" s="829"/>
      <c r="AF94" s="829"/>
      <c r="AG94" s="829"/>
      <c r="AH94" s="829"/>
      <c r="AI94" s="829"/>
      <c r="AJ94" s="829"/>
      <c r="AK94" s="829"/>
      <c r="AL94" s="829"/>
      <c r="AM94" s="829"/>
      <c r="AN94" s="828"/>
      <c r="AO94" s="828"/>
      <c r="AP94" s="828"/>
      <c r="AQ94" s="828"/>
      <c r="AR94" s="828"/>
      <c r="AS94" s="828"/>
      <c r="AT94" s="828"/>
      <c r="AU94" s="828"/>
      <c r="AV94" s="828"/>
      <c r="AW94" s="828"/>
    </row>
    <row r="95" spans="1:49">
      <c r="A95" s="805"/>
      <c r="B95" s="780" t="s">
        <v>639</v>
      </c>
      <c r="C95" s="805"/>
      <c r="D95" s="805"/>
      <c r="E95" s="828"/>
      <c r="F95" s="828"/>
      <c r="G95" s="828"/>
      <c r="H95" s="828"/>
      <c r="I95" s="828"/>
      <c r="J95" s="828"/>
      <c r="K95" s="828"/>
      <c r="L95" s="828"/>
      <c r="M95" s="828"/>
      <c r="N95" s="828"/>
      <c r="O95" s="828"/>
      <c r="P95" s="828"/>
      <c r="Q95" s="828"/>
      <c r="R95" s="828"/>
      <c r="S95" s="828"/>
      <c r="T95" s="828"/>
      <c r="U95" s="828"/>
      <c r="V95" s="828"/>
      <c r="W95" s="828"/>
      <c r="X95" s="828"/>
      <c r="Y95" s="828"/>
      <c r="Z95" s="828"/>
      <c r="AA95" s="828"/>
      <c r="AB95" s="829"/>
      <c r="AC95" s="829"/>
      <c r="AD95" s="829"/>
      <c r="AE95" s="829"/>
      <c r="AF95" s="829"/>
      <c r="AG95" s="829"/>
      <c r="AH95" s="829"/>
      <c r="AI95" s="829"/>
      <c r="AJ95" s="829"/>
      <c r="AK95" s="829"/>
      <c r="AL95" s="829"/>
      <c r="AM95" s="829"/>
      <c r="AN95" s="828"/>
      <c r="AO95" s="828"/>
      <c r="AP95" s="828"/>
      <c r="AQ95" s="828"/>
      <c r="AR95" s="828"/>
      <c r="AS95" s="828"/>
      <c r="AT95" s="828"/>
      <c r="AU95" s="828"/>
      <c r="AV95" s="828"/>
      <c r="AW95" s="828"/>
    </row>
    <row r="96" spans="1:49">
      <c r="A96" s="805"/>
      <c r="B96" s="284" t="s">
        <v>702</v>
      </c>
      <c r="C96" s="805"/>
      <c r="D96" s="805"/>
      <c r="E96" s="828"/>
      <c r="F96" s="828"/>
      <c r="G96" s="828"/>
      <c r="H96" s="828"/>
      <c r="I96" s="828"/>
      <c r="J96" s="828"/>
      <c r="K96" s="828"/>
      <c r="L96" s="828"/>
      <c r="M96" s="828"/>
      <c r="N96" s="828"/>
      <c r="O96" s="828"/>
      <c r="P96" s="828"/>
      <c r="Q96" s="828"/>
      <c r="R96" s="828"/>
      <c r="S96" s="828"/>
      <c r="T96" s="828"/>
      <c r="U96" s="828"/>
      <c r="V96" s="828"/>
      <c r="W96" s="828"/>
      <c r="X96" s="828"/>
      <c r="Y96" s="828"/>
      <c r="Z96" s="828"/>
      <c r="AA96" s="828"/>
      <c r="AB96" s="829"/>
      <c r="AC96" s="829"/>
      <c r="AD96" s="829"/>
      <c r="AE96" s="829"/>
      <c r="AF96" s="829"/>
      <c r="AG96" s="829"/>
      <c r="AH96" s="829"/>
      <c r="AI96" s="829"/>
      <c r="AJ96" s="829"/>
      <c r="AK96" s="829"/>
      <c r="AL96" s="829"/>
      <c r="AM96" s="829"/>
      <c r="AN96" s="828"/>
      <c r="AO96" s="828"/>
      <c r="AP96" s="828"/>
      <c r="AQ96" s="828"/>
      <c r="AR96" s="828"/>
      <c r="AS96" s="828"/>
      <c r="AT96" s="828"/>
      <c r="AU96" s="828"/>
      <c r="AV96" s="828"/>
      <c r="AW96" s="828"/>
    </row>
    <row r="97" spans="1:49">
      <c r="A97" s="805"/>
      <c r="B97" s="805"/>
      <c r="C97" s="805"/>
      <c r="D97" s="805"/>
      <c r="E97" s="828"/>
      <c r="F97" s="828"/>
      <c r="G97" s="828"/>
      <c r="H97" s="828"/>
      <c r="I97" s="828"/>
      <c r="J97" s="828"/>
      <c r="K97" s="828"/>
      <c r="L97" s="828"/>
      <c r="M97" s="828"/>
      <c r="N97" s="828"/>
      <c r="O97" s="828"/>
      <c r="P97" s="828"/>
      <c r="Q97" s="828"/>
      <c r="R97" s="828"/>
      <c r="S97" s="828"/>
      <c r="T97" s="828"/>
      <c r="U97" s="828"/>
      <c r="V97" s="828"/>
      <c r="W97" s="828"/>
      <c r="X97" s="828"/>
      <c r="Y97" s="828"/>
      <c r="Z97" s="828"/>
      <c r="AA97" s="828"/>
      <c r="AB97" s="829"/>
      <c r="AC97" s="829"/>
      <c r="AD97" s="829"/>
      <c r="AE97" s="829"/>
      <c r="AF97" s="829"/>
      <c r="AG97" s="829"/>
      <c r="AH97" s="829"/>
      <c r="AI97" s="829"/>
      <c r="AJ97" s="829"/>
      <c r="AK97" s="829"/>
      <c r="AL97" s="829"/>
      <c r="AM97" s="829"/>
      <c r="AN97" s="828"/>
      <c r="AO97" s="828"/>
      <c r="AP97" s="828"/>
      <c r="AQ97" s="828"/>
      <c r="AR97" s="828"/>
      <c r="AS97" s="828"/>
      <c r="AT97" s="828"/>
      <c r="AU97" s="828"/>
      <c r="AV97" s="828"/>
      <c r="AW97" s="828"/>
    </row>
    <row r="98" spans="1:49">
      <c r="A98" s="805"/>
      <c r="B98" s="805"/>
      <c r="C98" s="805"/>
      <c r="D98" s="805"/>
      <c r="E98" s="828"/>
      <c r="F98" s="828"/>
      <c r="G98" s="828"/>
      <c r="H98" s="828"/>
      <c r="I98" s="828"/>
      <c r="J98" s="828"/>
      <c r="K98" s="828"/>
      <c r="L98" s="828"/>
      <c r="M98" s="828"/>
      <c r="N98" s="828"/>
      <c r="O98" s="828"/>
      <c r="P98" s="828"/>
      <c r="Q98" s="828"/>
      <c r="R98" s="828"/>
      <c r="S98" s="828"/>
      <c r="T98" s="828"/>
      <c r="U98" s="828"/>
      <c r="V98" s="828"/>
      <c r="W98" s="828"/>
      <c r="X98" s="828"/>
      <c r="Y98" s="828"/>
      <c r="Z98" s="828"/>
      <c r="AA98" s="828"/>
      <c r="AB98" s="829"/>
      <c r="AC98" s="829"/>
      <c r="AD98" s="829"/>
      <c r="AE98" s="829"/>
      <c r="AF98" s="829"/>
      <c r="AG98" s="829"/>
      <c r="AH98" s="829"/>
      <c r="AI98" s="829"/>
      <c r="AJ98" s="829"/>
      <c r="AK98" s="829"/>
      <c r="AL98" s="829"/>
      <c r="AM98" s="829"/>
      <c r="AN98" s="828"/>
      <c r="AO98" s="828"/>
      <c r="AP98" s="828"/>
      <c r="AQ98" s="828"/>
      <c r="AR98" s="828"/>
      <c r="AS98" s="828"/>
      <c r="AT98" s="828"/>
      <c r="AU98" s="828"/>
      <c r="AV98" s="828"/>
      <c r="AW98" s="828"/>
    </row>
    <row r="99" spans="1:49">
      <c r="A99" s="805"/>
      <c r="B99" s="805"/>
      <c r="C99" s="805"/>
      <c r="D99" s="805"/>
      <c r="E99" s="828"/>
      <c r="F99" s="828"/>
      <c r="G99" s="828"/>
      <c r="H99" s="828"/>
      <c r="I99" s="828"/>
      <c r="J99" s="828"/>
      <c r="K99" s="828"/>
      <c r="L99" s="828"/>
      <c r="M99" s="828"/>
      <c r="N99" s="828"/>
      <c r="O99" s="828"/>
      <c r="P99" s="828"/>
      <c r="Q99" s="828"/>
      <c r="R99" s="828"/>
      <c r="S99" s="828"/>
      <c r="T99" s="828"/>
      <c r="U99" s="828"/>
      <c r="V99" s="828"/>
      <c r="W99" s="828"/>
      <c r="X99" s="828"/>
      <c r="Y99" s="828"/>
      <c r="Z99" s="828"/>
      <c r="AA99" s="828"/>
      <c r="AB99" s="829"/>
      <c r="AC99" s="829"/>
      <c r="AD99" s="829"/>
      <c r="AE99" s="829"/>
      <c r="AF99" s="829"/>
      <c r="AG99" s="829"/>
      <c r="AH99" s="829"/>
      <c r="AI99" s="829"/>
      <c r="AJ99" s="829"/>
      <c r="AK99" s="829"/>
      <c r="AL99" s="829"/>
      <c r="AM99" s="829"/>
      <c r="AN99" s="828"/>
      <c r="AO99" s="828"/>
      <c r="AP99" s="828"/>
      <c r="AQ99" s="828"/>
      <c r="AR99" s="828"/>
      <c r="AS99" s="828"/>
      <c r="AT99" s="828"/>
      <c r="AU99" s="828"/>
      <c r="AV99" s="828"/>
      <c r="AW99" s="828"/>
    </row>
    <row r="100" spans="1:49">
      <c r="A100" s="805"/>
      <c r="B100" s="805"/>
      <c r="C100" s="805"/>
      <c r="D100" s="805"/>
      <c r="E100" s="828"/>
      <c r="F100" s="828"/>
      <c r="G100" s="828"/>
      <c r="H100" s="828"/>
      <c r="I100" s="828"/>
      <c r="J100" s="828"/>
      <c r="K100" s="828"/>
      <c r="L100" s="828"/>
      <c r="M100" s="828"/>
      <c r="N100" s="828"/>
      <c r="O100" s="828"/>
      <c r="P100" s="828"/>
      <c r="Q100" s="828"/>
      <c r="R100" s="828"/>
      <c r="S100" s="828"/>
      <c r="T100" s="828"/>
      <c r="U100" s="828"/>
      <c r="V100" s="828"/>
      <c r="W100" s="828"/>
      <c r="X100" s="828"/>
      <c r="Y100" s="828"/>
      <c r="Z100" s="828"/>
      <c r="AA100" s="828"/>
      <c r="AB100" s="829"/>
      <c r="AC100" s="829"/>
      <c r="AD100" s="829"/>
      <c r="AE100" s="829"/>
      <c r="AF100" s="829"/>
      <c r="AG100" s="829"/>
      <c r="AH100" s="829"/>
      <c r="AI100" s="829"/>
      <c r="AJ100" s="829"/>
      <c r="AK100" s="829"/>
      <c r="AL100" s="829"/>
      <c r="AM100" s="829"/>
      <c r="AN100" s="828"/>
      <c r="AO100" s="828"/>
      <c r="AP100" s="828"/>
      <c r="AQ100" s="828"/>
      <c r="AR100" s="828"/>
      <c r="AS100" s="828"/>
      <c r="AT100" s="828"/>
      <c r="AU100" s="828"/>
      <c r="AV100" s="828"/>
      <c r="AW100" s="828"/>
    </row>
    <row r="101" spans="1:49">
      <c r="A101" s="805"/>
      <c r="B101" s="805"/>
      <c r="C101" s="805"/>
      <c r="D101" s="805"/>
      <c r="E101" s="828"/>
      <c r="F101" s="828"/>
      <c r="G101" s="828"/>
      <c r="H101" s="828"/>
      <c r="I101" s="828"/>
      <c r="J101" s="828"/>
      <c r="K101" s="828"/>
      <c r="L101" s="828"/>
      <c r="M101" s="828"/>
      <c r="N101" s="828"/>
      <c r="O101" s="828"/>
      <c r="P101" s="828"/>
      <c r="Q101" s="828"/>
      <c r="R101" s="828"/>
      <c r="S101" s="828"/>
      <c r="T101" s="828"/>
      <c r="U101" s="828"/>
      <c r="V101" s="828"/>
      <c r="W101" s="828"/>
      <c r="X101" s="828"/>
      <c r="Y101" s="828"/>
      <c r="Z101" s="828"/>
      <c r="AA101" s="828"/>
      <c r="AB101" s="829"/>
      <c r="AC101" s="829"/>
      <c r="AD101" s="829"/>
      <c r="AE101" s="829"/>
      <c r="AF101" s="829"/>
      <c r="AG101" s="829"/>
      <c r="AH101" s="829"/>
      <c r="AI101" s="829"/>
      <c r="AJ101" s="829"/>
      <c r="AK101" s="829"/>
      <c r="AL101" s="829"/>
      <c r="AM101" s="829"/>
      <c r="AN101" s="828"/>
      <c r="AO101" s="828"/>
      <c r="AP101" s="828"/>
      <c r="AQ101" s="828"/>
      <c r="AR101" s="828"/>
      <c r="AS101" s="828"/>
      <c r="AT101" s="828"/>
      <c r="AU101" s="828"/>
      <c r="AV101" s="828"/>
      <c r="AW101" s="828"/>
    </row>
    <row r="102" spans="1:49">
      <c r="A102" s="805"/>
      <c r="B102" s="805"/>
      <c r="C102" s="805"/>
      <c r="D102" s="805"/>
      <c r="E102" s="828"/>
      <c r="F102" s="828"/>
      <c r="G102" s="828"/>
      <c r="H102" s="828"/>
      <c r="I102" s="828"/>
      <c r="J102" s="828"/>
      <c r="K102" s="828"/>
      <c r="L102" s="828"/>
      <c r="M102" s="828"/>
      <c r="N102" s="828"/>
      <c r="O102" s="828"/>
      <c r="P102" s="828"/>
      <c r="Q102" s="828"/>
      <c r="R102" s="828"/>
      <c r="S102" s="828"/>
      <c r="T102" s="828"/>
      <c r="U102" s="828"/>
      <c r="V102" s="828"/>
      <c r="W102" s="828"/>
      <c r="X102" s="828"/>
      <c r="Y102" s="828"/>
      <c r="Z102" s="828"/>
      <c r="AA102" s="828"/>
      <c r="AB102" s="829"/>
      <c r="AC102" s="829"/>
      <c r="AD102" s="829"/>
      <c r="AE102" s="829"/>
      <c r="AF102" s="829"/>
      <c r="AG102" s="829"/>
      <c r="AH102" s="829"/>
      <c r="AI102" s="829"/>
      <c r="AJ102" s="829"/>
      <c r="AK102" s="829"/>
      <c r="AL102" s="829"/>
      <c r="AM102" s="829"/>
      <c r="AN102" s="828"/>
      <c r="AO102" s="828"/>
      <c r="AP102" s="828"/>
      <c r="AQ102" s="828"/>
      <c r="AR102" s="828"/>
      <c r="AS102" s="828"/>
      <c r="AT102" s="828"/>
      <c r="AU102" s="828"/>
      <c r="AV102" s="828"/>
      <c r="AW102" s="828"/>
    </row>
    <row r="103" spans="1:49">
      <c r="A103" s="805"/>
      <c r="B103" s="805"/>
      <c r="C103" s="805"/>
      <c r="D103" s="805"/>
      <c r="E103" s="828"/>
      <c r="F103" s="828"/>
      <c r="G103" s="828"/>
      <c r="H103" s="828"/>
      <c r="I103" s="828"/>
      <c r="J103" s="828"/>
      <c r="K103" s="828"/>
      <c r="L103" s="828"/>
      <c r="M103" s="828"/>
      <c r="N103" s="828"/>
      <c r="O103" s="828"/>
      <c r="P103" s="828"/>
      <c r="Q103" s="828"/>
      <c r="R103" s="828"/>
      <c r="S103" s="828"/>
      <c r="T103" s="828"/>
      <c r="U103" s="828"/>
      <c r="V103" s="828"/>
      <c r="W103" s="828"/>
      <c r="X103" s="828"/>
      <c r="Y103" s="828"/>
      <c r="Z103" s="828"/>
      <c r="AA103" s="828"/>
      <c r="AB103" s="829"/>
      <c r="AC103" s="829"/>
      <c r="AD103" s="829"/>
      <c r="AE103" s="829"/>
      <c r="AF103" s="829"/>
      <c r="AG103" s="829"/>
      <c r="AH103" s="829"/>
      <c r="AI103" s="829"/>
      <c r="AJ103" s="829"/>
      <c r="AK103" s="829"/>
      <c r="AL103" s="829"/>
      <c r="AM103" s="829"/>
      <c r="AN103" s="828"/>
      <c r="AO103" s="828"/>
      <c r="AP103" s="828"/>
      <c r="AQ103" s="828"/>
      <c r="AR103" s="828"/>
      <c r="AS103" s="828"/>
      <c r="AT103" s="828"/>
      <c r="AU103" s="828"/>
      <c r="AV103" s="828"/>
      <c r="AW103" s="828"/>
    </row>
    <row r="104" spans="1:49">
      <c r="A104" s="805"/>
      <c r="B104" s="805"/>
      <c r="C104" s="805"/>
      <c r="D104" s="805"/>
      <c r="E104" s="828"/>
      <c r="F104" s="828"/>
      <c r="G104" s="828"/>
      <c r="H104" s="828"/>
      <c r="I104" s="828"/>
      <c r="J104" s="828"/>
      <c r="K104" s="828"/>
      <c r="L104" s="828"/>
      <c r="M104" s="828"/>
      <c r="N104" s="828"/>
      <c r="O104" s="828"/>
      <c r="P104" s="828"/>
      <c r="Q104" s="828"/>
      <c r="R104" s="828"/>
      <c r="S104" s="828"/>
      <c r="T104" s="828"/>
      <c r="U104" s="828"/>
      <c r="V104" s="828"/>
      <c r="W104" s="828"/>
      <c r="X104" s="828"/>
      <c r="Y104" s="828"/>
      <c r="Z104" s="828"/>
      <c r="AA104" s="828"/>
      <c r="AB104" s="829"/>
      <c r="AC104" s="829"/>
      <c r="AD104" s="829"/>
      <c r="AE104" s="829"/>
      <c r="AF104" s="829"/>
      <c r="AG104" s="829"/>
      <c r="AH104" s="829"/>
      <c r="AI104" s="829"/>
      <c r="AJ104" s="829"/>
      <c r="AK104" s="829"/>
      <c r="AL104" s="829"/>
      <c r="AM104" s="829"/>
      <c r="AN104" s="828"/>
      <c r="AO104" s="828"/>
      <c r="AP104" s="828"/>
      <c r="AQ104" s="828"/>
      <c r="AR104" s="828"/>
      <c r="AS104" s="828"/>
      <c r="AT104" s="828"/>
      <c r="AU104" s="828"/>
      <c r="AV104" s="828"/>
      <c r="AW104" s="828"/>
    </row>
    <row r="105" spans="1:49">
      <c r="A105" s="805"/>
      <c r="B105" s="805"/>
      <c r="C105" s="805"/>
      <c r="D105" s="805"/>
      <c r="E105" s="828"/>
      <c r="F105" s="828"/>
      <c r="G105" s="828"/>
      <c r="H105" s="828"/>
      <c r="I105" s="828"/>
      <c r="J105" s="828"/>
      <c r="K105" s="828"/>
      <c r="L105" s="828"/>
      <c r="M105" s="828"/>
      <c r="N105" s="828"/>
      <c r="O105" s="828"/>
      <c r="P105" s="828"/>
      <c r="Q105" s="828"/>
      <c r="R105" s="828"/>
      <c r="S105" s="828"/>
      <c r="T105" s="828"/>
      <c r="U105" s="828"/>
      <c r="V105" s="828"/>
      <c r="W105" s="828"/>
      <c r="X105" s="828"/>
      <c r="Y105" s="828"/>
      <c r="Z105" s="828"/>
      <c r="AA105" s="828"/>
      <c r="AB105" s="829"/>
      <c r="AC105" s="829"/>
      <c r="AD105" s="829"/>
      <c r="AE105" s="829"/>
      <c r="AF105" s="829"/>
      <c r="AG105" s="829"/>
      <c r="AH105" s="829"/>
      <c r="AI105" s="829"/>
      <c r="AJ105" s="829"/>
      <c r="AK105" s="829"/>
      <c r="AL105" s="829"/>
      <c r="AM105" s="829"/>
      <c r="AN105" s="828"/>
      <c r="AO105" s="828"/>
      <c r="AP105" s="828"/>
      <c r="AQ105" s="828"/>
      <c r="AR105" s="828"/>
      <c r="AS105" s="828"/>
      <c r="AT105" s="828"/>
      <c r="AU105" s="828"/>
      <c r="AV105" s="828"/>
      <c r="AW105" s="828"/>
    </row>
    <row r="106" spans="1:49">
      <c r="A106" s="805"/>
      <c r="B106" s="805"/>
      <c r="C106" s="805"/>
      <c r="D106" s="805"/>
      <c r="E106" s="828"/>
      <c r="F106" s="828"/>
      <c r="G106" s="828"/>
      <c r="H106" s="828"/>
      <c r="I106" s="828"/>
      <c r="J106" s="828"/>
      <c r="K106" s="828"/>
      <c r="L106" s="828"/>
      <c r="M106" s="828"/>
      <c r="N106" s="828"/>
      <c r="O106" s="828"/>
      <c r="P106" s="828"/>
      <c r="Q106" s="828"/>
      <c r="R106" s="828"/>
      <c r="S106" s="828"/>
      <c r="T106" s="828"/>
      <c r="U106" s="828"/>
      <c r="V106" s="828"/>
      <c r="W106" s="828"/>
      <c r="X106" s="828"/>
      <c r="Y106" s="828"/>
      <c r="Z106" s="828"/>
      <c r="AA106" s="828"/>
      <c r="AB106" s="829"/>
      <c r="AC106" s="829"/>
      <c r="AD106" s="829"/>
      <c r="AE106" s="829"/>
      <c r="AF106" s="829"/>
      <c r="AG106" s="829"/>
      <c r="AH106" s="829"/>
      <c r="AI106" s="829"/>
      <c r="AJ106" s="829"/>
      <c r="AK106" s="829"/>
      <c r="AL106" s="829"/>
      <c r="AM106" s="829"/>
      <c r="AN106" s="828"/>
      <c r="AO106" s="828"/>
      <c r="AP106" s="828"/>
      <c r="AQ106" s="828"/>
      <c r="AR106" s="828"/>
      <c r="AS106" s="828"/>
      <c r="AT106" s="828"/>
      <c r="AU106" s="828"/>
      <c r="AV106" s="828"/>
      <c r="AW106" s="828"/>
    </row>
    <row r="107" spans="1:49">
      <c r="A107" s="805"/>
      <c r="B107" s="805"/>
      <c r="C107" s="805"/>
      <c r="D107" s="805"/>
      <c r="E107" s="828"/>
      <c r="F107" s="828"/>
      <c r="G107" s="828"/>
      <c r="H107" s="828"/>
      <c r="I107" s="828"/>
      <c r="J107" s="828"/>
      <c r="K107" s="828"/>
      <c r="L107" s="828"/>
      <c r="M107" s="828"/>
      <c r="N107" s="828"/>
      <c r="O107" s="828"/>
      <c r="P107" s="828"/>
      <c r="Q107" s="828"/>
      <c r="R107" s="828"/>
      <c r="S107" s="828"/>
      <c r="T107" s="828"/>
      <c r="U107" s="828"/>
      <c r="V107" s="828"/>
      <c r="W107" s="828"/>
      <c r="X107" s="828"/>
      <c r="Y107" s="828"/>
      <c r="Z107" s="828"/>
      <c r="AA107" s="828"/>
      <c r="AB107" s="829"/>
      <c r="AC107" s="829"/>
      <c r="AD107" s="829"/>
      <c r="AE107" s="829"/>
      <c r="AF107" s="829"/>
      <c r="AG107" s="829"/>
      <c r="AH107" s="829"/>
      <c r="AI107" s="829"/>
      <c r="AJ107" s="829"/>
      <c r="AK107" s="829"/>
      <c r="AL107" s="829"/>
      <c r="AM107" s="829"/>
      <c r="AN107" s="828"/>
      <c r="AO107" s="828"/>
      <c r="AP107" s="828"/>
      <c r="AQ107" s="828"/>
      <c r="AR107" s="828"/>
      <c r="AS107" s="828"/>
      <c r="AT107" s="828"/>
      <c r="AU107" s="828"/>
      <c r="AV107" s="828"/>
      <c r="AW107" s="828"/>
    </row>
    <row r="108" spans="1:49">
      <c r="A108" s="805"/>
      <c r="B108" s="805"/>
      <c r="C108" s="805"/>
      <c r="D108" s="805"/>
      <c r="E108" s="828"/>
      <c r="F108" s="828"/>
      <c r="G108" s="828"/>
      <c r="H108" s="828"/>
      <c r="I108" s="828"/>
      <c r="J108" s="828"/>
      <c r="K108" s="828"/>
      <c r="L108" s="828"/>
      <c r="M108" s="828"/>
      <c r="N108" s="828"/>
      <c r="O108" s="828"/>
      <c r="P108" s="828"/>
      <c r="Q108" s="828"/>
      <c r="R108" s="828"/>
      <c r="S108" s="828"/>
      <c r="T108" s="828"/>
      <c r="U108" s="828"/>
      <c r="V108" s="828"/>
      <c r="W108" s="828"/>
      <c r="X108" s="828"/>
      <c r="Y108" s="828"/>
      <c r="Z108" s="828"/>
      <c r="AA108" s="828"/>
      <c r="AB108" s="829"/>
      <c r="AC108" s="829"/>
      <c r="AD108" s="829"/>
      <c r="AE108" s="829"/>
      <c r="AF108" s="829"/>
      <c r="AG108" s="829"/>
      <c r="AH108" s="829"/>
      <c r="AI108" s="829"/>
      <c r="AJ108" s="829"/>
      <c r="AK108" s="829"/>
      <c r="AL108" s="829"/>
      <c r="AM108" s="829"/>
      <c r="AN108" s="828"/>
      <c r="AO108" s="828"/>
      <c r="AP108" s="828"/>
      <c r="AQ108" s="828"/>
      <c r="AR108" s="828"/>
      <c r="AS108" s="828"/>
      <c r="AT108" s="828"/>
      <c r="AU108" s="828"/>
      <c r="AV108" s="828"/>
      <c r="AW108" s="828"/>
    </row>
    <row r="109" spans="1:49">
      <c r="A109" s="805"/>
      <c r="B109" s="805"/>
      <c r="C109" s="805"/>
      <c r="D109" s="805"/>
      <c r="E109" s="828"/>
      <c r="F109" s="828"/>
      <c r="G109" s="828"/>
      <c r="H109" s="828"/>
      <c r="I109" s="828"/>
      <c r="J109" s="828"/>
      <c r="K109" s="828"/>
      <c r="L109" s="828"/>
      <c r="M109" s="828"/>
      <c r="N109" s="828"/>
      <c r="O109" s="828"/>
      <c r="P109" s="828"/>
      <c r="Q109" s="828"/>
      <c r="R109" s="828"/>
      <c r="S109" s="828"/>
      <c r="T109" s="828"/>
      <c r="U109" s="828"/>
      <c r="V109" s="828"/>
      <c r="W109" s="828"/>
      <c r="X109" s="828"/>
      <c r="Y109" s="828"/>
      <c r="Z109" s="828"/>
      <c r="AA109" s="828"/>
      <c r="AB109" s="829"/>
      <c r="AC109" s="829"/>
      <c r="AD109" s="829"/>
      <c r="AE109" s="829"/>
      <c r="AF109" s="829"/>
      <c r="AG109" s="829"/>
      <c r="AH109" s="829"/>
      <c r="AI109" s="829"/>
      <c r="AJ109" s="829"/>
      <c r="AK109" s="829"/>
      <c r="AL109" s="829"/>
      <c r="AM109" s="829"/>
      <c r="AN109" s="828"/>
      <c r="AO109" s="828"/>
      <c r="AP109" s="828"/>
      <c r="AQ109" s="828"/>
      <c r="AR109" s="828"/>
      <c r="AS109" s="828"/>
      <c r="AT109" s="828"/>
      <c r="AU109" s="828"/>
      <c r="AV109" s="828"/>
      <c r="AW109" s="828"/>
    </row>
    <row r="110" spans="1:49">
      <c r="A110" s="805"/>
      <c r="B110" s="805"/>
      <c r="C110" s="805"/>
      <c r="D110" s="805"/>
      <c r="E110" s="828"/>
      <c r="F110" s="828"/>
      <c r="G110" s="828"/>
      <c r="H110" s="828"/>
      <c r="I110" s="828"/>
      <c r="J110" s="828"/>
      <c r="K110" s="828"/>
      <c r="L110" s="828"/>
      <c r="M110" s="828"/>
      <c r="N110" s="828"/>
      <c r="O110" s="828"/>
      <c r="P110" s="828"/>
      <c r="Q110" s="828"/>
      <c r="R110" s="828"/>
      <c r="S110" s="828"/>
      <c r="T110" s="828"/>
      <c r="U110" s="828"/>
      <c r="V110" s="828"/>
      <c r="W110" s="828"/>
      <c r="X110" s="828"/>
      <c r="Y110" s="828"/>
      <c r="Z110" s="828"/>
      <c r="AA110" s="828"/>
      <c r="AB110" s="829"/>
      <c r="AC110" s="829"/>
      <c r="AD110" s="829"/>
      <c r="AE110" s="829"/>
      <c r="AF110" s="829"/>
      <c r="AG110" s="829"/>
      <c r="AH110" s="829"/>
      <c r="AI110" s="829"/>
      <c r="AJ110" s="829"/>
      <c r="AK110" s="829"/>
      <c r="AL110" s="829"/>
      <c r="AM110" s="829"/>
      <c r="AN110" s="828"/>
      <c r="AO110" s="828"/>
      <c r="AP110" s="828"/>
      <c r="AQ110" s="828"/>
      <c r="AR110" s="828"/>
      <c r="AS110" s="828"/>
      <c r="AT110" s="828"/>
      <c r="AU110" s="828"/>
      <c r="AV110" s="828"/>
      <c r="AW110" s="828"/>
    </row>
    <row r="111" spans="1:49">
      <c r="A111" s="805"/>
      <c r="B111" s="805"/>
      <c r="C111" s="805"/>
      <c r="D111" s="805"/>
      <c r="E111" s="828"/>
      <c r="F111" s="828"/>
      <c r="G111" s="828"/>
      <c r="H111" s="828"/>
      <c r="I111" s="828"/>
      <c r="J111" s="828"/>
      <c r="K111" s="828"/>
      <c r="L111" s="828"/>
      <c r="M111" s="828"/>
      <c r="N111" s="828"/>
      <c r="O111" s="828"/>
      <c r="P111" s="828"/>
      <c r="Q111" s="828"/>
      <c r="R111" s="828"/>
      <c r="S111" s="828"/>
      <c r="T111" s="828"/>
      <c r="U111" s="828"/>
      <c r="V111" s="828"/>
      <c r="W111" s="828"/>
      <c r="X111" s="828"/>
      <c r="Y111" s="828"/>
      <c r="Z111" s="828"/>
      <c r="AA111" s="828"/>
      <c r="AB111" s="829"/>
      <c r="AC111" s="829"/>
      <c r="AD111" s="829"/>
      <c r="AE111" s="829"/>
      <c r="AF111" s="829"/>
      <c r="AG111" s="829"/>
      <c r="AH111" s="829"/>
      <c r="AI111" s="829"/>
      <c r="AJ111" s="829"/>
      <c r="AK111" s="829"/>
      <c r="AL111" s="829"/>
      <c r="AM111" s="829"/>
      <c r="AN111" s="828"/>
      <c r="AO111" s="828"/>
      <c r="AP111" s="828"/>
      <c r="AQ111" s="828"/>
      <c r="AR111" s="828"/>
      <c r="AS111" s="828"/>
      <c r="AT111" s="828"/>
      <c r="AU111" s="828"/>
      <c r="AV111" s="828"/>
      <c r="AW111" s="828"/>
    </row>
    <row r="112" spans="1:49">
      <c r="A112" s="805"/>
      <c r="B112" s="805"/>
      <c r="C112" s="805"/>
      <c r="D112" s="805"/>
      <c r="E112" s="828"/>
      <c r="F112" s="828"/>
      <c r="G112" s="828"/>
      <c r="H112" s="828"/>
      <c r="I112" s="828"/>
      <c r="J112" s="828"/>
      <c r="K112" s="828"/>
      <c r="L112" s="828"/>
      <c r="M112" s="828"/>
      <c r="N112" s="828"/>
      <c r="O112" s="828"/>
      <c r="P112" s="828"/>
      <c r="Q112" s="828"/>
      <c r="R112" s="828"/>
      <c r="S112" s="828"/>
      <c r="T112" s="828"/>
      <c r="U112" s="828"/>
      <c r="V112" s="828"/>
      <c r="W112" s="828"/>
      <c r="X112" s="828"/>
      <c r="Y112" s="828"/>
      <c r="Z112" s="828"/>
      <c r="AA112" s="828"/>
      <c r="AB112" s="829"/>
      <c r="AC112" s="829"/>
      <c r="AD112" s="829"/>
      <c r="AE112" s="829"/>
      <c r="AF112" s="829"/>
      <c r="AG112" s="829"/>
      <c r="AH112" s="829"/>
      <c r="AI112" s="829"/>
      <c r="AJ112" s="829"/>
      <c r="AK112" s="829"/>
      <c r="AL112" s="829"/>
      <c r="AM112" s="829"/>
      <c r="AN112" s="828"/>
      <c r="AO112" s="828"/>
      <c r="AP112" s="828"/>
      <c r="AQ112" s="828"/>
      <c r="AR112" s="828"/>
      <c r="AS112" s="828"/>
      <c r="AT112" s="828"/>
      <c r="AU112" s="828"/>
      <c r="AV112" s="828"/>
      <c r="AW112" s="828"/>
    </row>
    <row r="113" spans="1:49">
      <c r="A113" s="805"/>
      <c r="B113" s="805"/>
      <c r="C113" s="805"/>
      <c r="D113" s="805"/>
      <c r="E113" s="828"/>
      <c r="F113" s="828"/>
      <c r="G113" s="828"/>
      <c r="H113" s="828"/>
      <c r="I113" s="828"/>
      <c r="J113" s="828"/>
      <c r="K113" s="828"/>
      <c r="L113" s="828"/>
      <c r="M113" s="828"/>
      <c r="N113" s="828"/>
      <c r="O113" s="828"/>
      <c r="P113" s="828"/>
      <c r="Q113" s="828"/>
      <c r="R113" s="828"/>
      <c r="S113" s="828"/>
      <c r="T113" s="828"/>
      <c r="U113" s="828"/>
      <c r="V113" s="828"/>
      <c r="W113" s="828"/>
      <c r="X113" s="828"/>
      <c r="Y113" s="828"/>
      <c r="Z113" s="828"/>
      <c r="AA113" s="828"/>
      <c r="AB113" s="829"/>
      <c r="AC113" s="829"/>
      <c r="AD113" s="829"/>
      <c r="AE113" s="829"/>
      <c r="AF113" s="829"/>
      <c r="AG113" s="829"/>
      <c r="AH113" s="829"/>
      <c r="AI113" s="829"/>
      <c r="AJ113" s="829"/>
      <c r="AK113" s="829"/>
      <c r="AL113" s="829"/>
      <c r="AM113" s="829"/>
      <c r="AN113" s="828"/>
      <c r="AO113" s="828"/>
      <c r="AP113" s="828"/>
      <c r="AQ113" s="828"/>
      <c r="AR113" s="828"/>
      <c r="AS113" s="828"/>
      <c r="AT113" s="828"/>
      <c r="AU113" s="828"/>
      <c r="AV113" s="828"/>
      <c r="AW113" s="828"/>
    </row>
    <row r="114" spans="1:49">
      <c r="A114" s="805"/>
      <c r="B114" s="805"/>
      <c r="C114" s="805"/>
      <c r="D114" s="805"/>
      <c r="E114" s="828"/>
      <c r="F114" s="828"/>
      <c r="G114" s="828"/>
      <c r="H114" s="828"/>
      <c r="I114" s="828"/>
      <c r="J114" s="828"/>
      <c r="K114" s="828"/>
      <c r="L114" s="828"/>
      <c r="M114" s="828"/>
      <c r="N114" s="828"/>
      <c r="O114" s="828"/>
      <c r="P114" s="828"/>
      <c r="Q114" s="828"/>
      <c r="R114" s="828"/>
      <c r="S114" s="828"/>
      <c r="T114" s="828"/>
      <c r="U114" s="828"/>
      <c r="V114" s="828"/>
      <c r="W114" s="828"/>
      <c r="X114" s="828"/>
      <c r="Y114" s="828"/>
      <c r="Z114" s="828"/>
      <c r="AA114" s="828"/>
      <c r="AB114" s="829"/>
      <c r="AC114" s="829"/>
      <c r="AD114" s="829"/>
      <c r="AE114" s="829"/>
      <c r="AF114" s="829"/>
      <c r="AG114" s="829"/>
      <c r="AH114" s="829"/>
      <c r="AI114" s="829"/>
      <c r="AJ114" s="829"/>
      <c r="AK114" s="829"/>
      <c r="AL114" s="829"/>
      <c r="AM114" s="829"/>
      <c r="AN114" s="828"/>
      <c r="AO114" s="828"/>
      <c r="AP114" s="828"/>
      <c r="AQ114" s="828"/>
      <c r="AR114" s="828"/>
      <c r="AS114" s="828"/>
      <c r="AT114" s="828"/>
      <c r="AU114" s="828"/>
      <c r="AV114" s="828"/>
      <c r="AW114" s="828"/>
    </row>
    <row r="115" spans="1:49">
      <c r="A115" s="805"/>
      <c r="B115" s="805"/>
      <c r="C115" s="805"/>
      <c r="D115" s="805"/>
      <c r="E115" s="828"/>
      <c r="F115" s="828"/>
      <c r="G115" s="828"/>
      <c r="H115" s="828"/>
      <c r="I115" s="828"/>
      <c r="J115" s="828"/>
      <c r="K115" s="828"/>
      <c r="L115" s="828"/>
      <c r="M115" s="828"/>
      <c r="N115" s="828"/>
      <c r="O115" s="828"/>
      <c r="P115" s="828"/>
      <c r="Q115" s="828"/>
      <c r="R115" s="828"/>
      <c r="S115" s="828"/>
      <c r="T115" s="828"/>
      <c r="U115" s="828"/>
      <c r="V115" s="828"/>
      <c r="W115" s="828"/>
      <c r="X115" s="828"/>
      <c r="Y115" s="828"/>
      <c r="Z115" s="828"/>
      <c r="AA115" s="828"/>
      <c r="AB115" s="829"/>
      <c r="AC115" s="829"/>
      <c r="AD115" s="829"/>
      <c r="AE115" s="829"/>
      <c r="AF115" s="829"/>
      <c r="AG115" s="829"/>
      <c r="AH115" s="829"/>
      <c r="AI115" s="829"/>
      <c r="AJ115" s="829"/>
      <c r="AK115" s="829"/>
      <c r="AL115" s="829"/>
      <c r="AM115" s="829"/>
      <c r="AN115" s="828"/>
      <c r="AO115" s="828"/>
      <c r="AP115" s="828"/>
      <c r="AQ115" s="828"/>
      <c r="AR115" s="828"/>
      <c r="AS115" s="828"/>
      <c r="AT115" s="828"/>
      <c r="AU115" s="828"/>
      <c r="AV115" s="828"/>
      <c r="AW115" s="828"/>
    </row>
    <row r="116" spans="1:49">
      <c r="A116" s="805"/>
      <c r="B116" s="805"/>
      <c r="C116" s="805"/>
      <c r="D116" s="805"/>
      <c r="E116" s="828"/>
      <c r="F116" s="828"/>
      <c r="G116" s="828"/>
      <c r="H116" s="828"/>
      <c r="I116" s="828"/>
      <c r="J116" s="828"/>
      <c r="K116" s="828"/>
      <c r="L116" s="828"/>
      <c r="M116" s="828"/>
      <c r="N116" s="828"/>
      <c r="O116" s="828"/>
      <c r="P116" s="828"/>
      <c r="Q116" s="828"/>
      <c r="R116" s="828"/>
      <c r="S116" s="828"/>
      <c r="T116" s="828"/>
      <c r="U116" s="828"/>
      <c r="V116" s="828"/>
      <c r="W116" s="828"/>
      <c r="X116" s="828"/>
      <c r="Y116" s="828"/>
      <c r="Z116" s="828"/>
      <c r="AA116" s="828"/>
      <c r="AB116" s="829"/>
      <c r="AC116" s="829"/>
      <c r="AD116" s="829"/>
      <c r="AE116" s="829"/>
      <c r="AF116" s="829"/>
      <c r="AG116" s="829"/>
      <c r="AH116" s="829"/>
      <c r="AI116" s="829"/>
      <c r="AJ116" s="829"/>
      <c r="AK116" s="829"/>
      <c r="AL116" s="829"/>
      <c r="AM116" s="829"/>
      <c r="AN116" s="828"/>
      <c r="AO116" s="828"/>
      <c r="AP116" s="828"/>
      <c r="AQ116" s="828"/>
      <c r="AR116" s="828"/>
      <c r="AS116" s="828"/>
      <c r="AT116" s="828"/>
      <c r="AU116" s="828"/>
      <c r="AV116" s="828"/>
      <c r="AW116" s="828"/>
    </row>
    <row r="117" spans="1:49">
      <c r="A117" s="805"/>
      <c r="B117" s="805"/>
      <c r="C117" s="805"/>
      <c r="D117" s="805"/>
      <c r="E117" s="828"/>
      <c r="F117" s="828"/>
      <c r="G117" s="828"/>
      <c r="H117" s="828"/>
      <c r="I117" s="828"/>
      <c r="J117" s="828"/>
      <c r="K117" s="828"/>
      <c r="L117" s="828"/>
      <c r="M117" s="828"/>
      <c r="N117" s="828"/>
      <c r="O117" s="828"/>
      <c r="P117" s="828"/>
      <c r="Q117" s="828"/>
      <c r="R117" s="828"/>
      <c r="S117" s="828"/>
      <c r="T117" s="828"/>
      <c r="U117" s="828"/>
      <c r="V117" s="828"/>
      <c r="W117" s="828"/>
      <c r="X117" s="828"/>
      <c r="Y117" s="828"/>
      <c r="Z117" s="828"/>
      <c r="AA117" s="828"/>
      <c r="AB117" s="829"/>
      <c r="AC117" s="829"/>
      <c r="AD117" s="829"/>
      <c r="AE117" s="829"/>
      <c r="AF117" s="829"/>
      <c r="AG117" s="829"/>
      <c r="AH117" s="829"/>
      <c r="AI117" s="829"/>
      <c r="AJ117" s="829"/>
      <c r="AK117" s="829"/>
      <c r="AL117" s="829"/>
      <c r="AM117" s="829"/>
      <c r="AN117" s="828"/>
      <c r="AO117" s="828"/>
      <c r="AP117" s="828"/>
      <c r="AQ117" s="828"/>
      <c r="AR117" s="828"/>
      <c r="AS117" s="828"/>
      <c r="AT117" s="828"/>
      <c r="AU117" s="828"/>
      <c r="AV117" s="828"/>
      <c r="AW117" s="828"/>
    </row>
    <row r="118" spans="1:49">
      <c r="A118" s="805"/>
      <c r="B118" s="805"/>
      <c r="C118" s="805"/>
      <c r="D118" s="805"/>
      <c r="E118" s="828"/>
      <c r="F118" s="828"/>
      <c r="G118" s="828"/>
      <c r="H118" s="828"/>
      <c r="I118" s="828"/>
      <c r="J118" s="828"/>
      <c r="K118" s="828"/>
      <c r="L118" s="828"/>
      <c r="M118" s="828"/>
      <c r="N118" s="828"/>
      <c r="O118" s="828"/>
      <c r="P118" s="828"/>
      <c r="Q118" s="828"/>
      <c r="R118" s="828"/>
      <c r="S118" s="828"/>
      <c r="T118" s="828"/>
      <c r="U118" s="828"/>
      <c r="V118" s="828"/>
      <c r="W118" s="828"/>
      <c r="X118" s="828"/>
      <c r="Y118" s="828"/>
      <c r="Z118" s="828"/>
      <c r="AA118" s="828"/>
      <c r="AB118" s="829"/>
      <c r="AC118" s="829"/>
      <c r="AD118" s="829"/>
      <c r="AE118" s="829"/>
      <c r="AF118" s="829"/>
      <c r="AG118" s="829"/>
      <c r="AH118" s="829"/>
      <c r="AI118" s="829"/>
      <c r="AJ118" s="829"/>
      <c r="AK118" s="829"/>
      <c r="AL118" s="829"/>
      <c r="AM118" s="829"/>
      <c r="AN118" s="828"/>
      <c r="AO118" s="828"/>
      <c r="AP118" s="828"/>
      <c r="AQ118" s="828"/>
      <c r="AR118" s="828"/>
      <c r="AS118" s="828"/>
      <c r="AT118" s="828"/>
      <c r="AU118" s="828"/>
      <c r="AV118" s="828"/>
      <c r="AW118" s="828"/>
    </row>
    <row r="119" spans="1:49">
      <c r="A119" s="805"/>
      <c r="B119" s="805"/>
      <c r="C119" s="805"/>
      <c r="D119" s="805"/>
      <c r="E119" s="828"/>
      <c r="F119" s="828"/>
      <c r="G119" s="828"/>
      <c r="H119" s="828"/>
      <c r="I119" s="828"/>
      <c r="J119" s="828"/>
      <c r="K119" s="828"/>
      <c r="L119" s="828"/>
      <c r="M119" s="828"/>
      <c r="N119" s="828"/>
      <c r="O119" s="828"/>
      <c r="P119" s="828"/>
      <c r="Q119" s="828"/>
      <c r="R119" s="828"/>
      <c r="S119" s="828"/>
      <c r="T119" s="828"/>
      <c r="U119" s="828"/>
      <c r="V119" s="828"/>
      <c r="W119" s="828"/>
      <c r="X119" s="828"/>
      <c r="Y119" s="828"/>
      <c r="Z119" s="828"/>
      <c r="AA119" s="828"/>
      <c r="AB119" s="829"/>
      <c r="AC119" s="829"/>
      <c r="AD119" s="829"/>
      <c r="AE119" s="829"/>
      <c r="AF119" s="829"/>
      <c r="AG119" s="829"/>
      <c r="AH119" s="829"/>
      <c r="AI119" s="829"/>
      <c r="AJ119" s="829"/>
      <c r="AK119" s="829"/>
      <c r="AL119" s="829"/>
      <c r="AM119" s="829"/>
      <c r="AN119" s="828"/>
      <c r="AO119" s="828"/>
      <c r="AP119" s="828"/>
      <c r="AQ119" s="828"/>
      <c r="AR119" s="828"/>
      <c r="AS119" s="828"/>
      <c r="AT119" s="828"/>
      <c r="AU119" s="828"/>
      <c r="AV119" s="828"/>
      <c r="AW119" s="828"/>
    </row>
    <row r="120" spans="1:49">
      <c r="A120" s="805"/>
      <c r="B120" s="805"/>
      <c r="C120" s="805"/>
      <c r="D120" s="805"/>
      <c r="E120" s="828"/>
      <c r="F120" s="828"/>
      <c r="G120" s="828"/>
      <c r="H120" s="828"/>
      <c r="I120" s="828"/>
      <c r="J120" s="828"/>
      <c r="K120" s="828"/>
      <c r="L120" s="828"/>
      <c r="M120" s="828"/>
      <c r="N120" s="828"/>
      <c r="O120" s="828"/>
      <c r="P120" s="828"/>
      <c r="Q120" s="828"/>
      <c r="R120" s="828"/>
      <c r="S120" s="828"/>
      <c r="T120" s="828"/>
      <c r="U120" s="828"/>
      <c r="V120" s="828"/>
      <c r="W120" s="828"/>
      <c r="X120" s="828"/>
      <c r="Y120" s="828"/>
      <c r="Z120" s="828"/>
      <c r="AA120" s="828"/>
      <c r="AB120" s="829"/>
      <c r="AC120" s="829"/>
      <c r="AD120" s="829"/>
      <c r="AE120" s="829"/>
      <c r="AF120" s="829"/>
      <c r="AG120" s="829"/>
      <c r="AH120" s="829"/>
      <c r="AI120" s="829"/>
      <c r="AJ120" s="829"/>
      <c r="AK120" s="829"/>
      <c r="AL120" s="829"/>
      <c r="AM120" s="829"/>
      <c r="AN120" s="828"/>
      <c r="AO120" s="828"/>
      <c r="AP120" s="828"/>
      <c r="AQ120" s="828"/>
      <c r="AR120" s="828"/>
      <c r="AS120" s="828"/>
      <c r="AT120" s="828"/>
      <c r="AU120" s="828"/>
      <c r="AV120" s="828"/>
      <c r="AW120" s="828"/>
    </row>
    <row r="121" spans="1:49">
      <c r="A121" s="805"/>
      <c r="B121" s="805"/>
      <c r="C121" s="805"/>
      <c r="D121" s="805"/>
      <c r="E121" s="805"/>
      <c r="F121" s="805"/>
      <c r="G121" s="805"/>
      <c r="H121" s="805"/>
      <c r="I121" s="805"/>
      <c r="J121" s="805"/>
      <c r="K121" s="805"/>
      <c r="L121" s="805"/>
      <c r="M121" s="805"/>
      <c r="N121" s="828"/>
      <c r="O121" s="828"/>
      <c r="P121" s="828"/>
      <c r="Q121" s="828"/>
      <c r="R121" s="828"/>
      <c r="S121" s="828"/>
      <c r="T121" s="828"/>
      <c r="U121" s="828"/>
      <c r="V121" s="828"/>
      <c r="W121" s="828"/>
      <c r="X121" s="828"/>
      <c r="Y121" s="828"/>
      <c r="Z121" s="828"/>
    </row>
    <row r="122" spans="1:49">
      <c r="A122" s="805"/>
      <c r="B122" s="805"/>
      <c r="C122" s="805"/>
      <c r="D122" s="805"/>
      <c r="E122" s="805"/>
      <c r="F122" s="805"/>
      <c r="G122" s="805"/>
      <c r="H122" s="805"/>
      <c r="I122" s="805"/>
      <c r="J122" s="805"/>
      <c r="K122" s="805"/>
      <c r="L122" s="805"/>
      <c r="M122" s="805"/>
      <c r="N122" s="828"/>
      <c r="O122" s="828"/>
      <c r="P122" s="828"/>
      <c r="Q122" s="828"/>
      <c r="R122" s="828"/>
      <c r="S122" s="828"/>
      <c r="T122" s="828"/>
      <c r="U122" s="828"/>
      <c r="V122" s="828"/>
      <c r="W122" s="828"/>
      <c r="X122" s="828"/>
      <c r="Y122" s="828"/>
      <c r="Z122" s="828"/>
    </row>
    <row r="123" spans="1:49">
      <c r="A123" s="805"/>
      <c r="B123" s="805"/>
      <c r="C123" s="805"/>
      <c r="D123" s="805"/>
      <c r="E123" s="805"/>
      <c r="F123" s="805"/>
      <c r="G123" s="805"/>
      <c r="H123" s="805"/>
      <c r="I123" s="805"/>
      <c r="J123" s="805"/>
      <c r="K123" s="805"/>
      <c r="L123" s="805"/>
      <c r="M123" s="805"/>
      <c r="N123" s="828"/>
      <c r="O123" s="828"/>
      <c r="P123" s="828"/>
      <c r="Q123" s="828"/>
      <c r="R123" s="828"/>
      <c r="S123" s="828"/>
      <c r="T123" s="828"/>
      <c r="U123" s="828"/>
      <c r="V123" s="828"/>
      <c r="W123" s="828"/>
      <c r="X123" s="828"/>
      <c r="Y123" s="828"/>
      <c r="Z123" s="828"/>
    </row>
    <row r="124" spans="1:49">
      <c r="A124" s="805"/>
      <c r="B124" s="805"/>
      <c r="C124" s="805"/>
      <c r="D124" s="805"/>
      <c r="E124" s="805"/>
      <c r="F124" s="805"/>
      <c r="G124" s="805"/>
      <c r="H124" s="805"/>
      <c r="I124" s="805"/>
      <c r="J124" s="805"/>
      <c r="K124" s="805"/>
      <c r="L124" s="805"/>
      <c r="M124" s="805"/>
      <c r="N124" s="828"/>
      <c r="O124" s="828"/>
      <c r="P124" s="828"/>
      <c r="Q124" s="828"/>
      <c r="R124" s="828"/>
      <c r="S124" s="828"/>
      <c r="T124" s="828"/>
      <c r="U124" s="828"/>
      <c r="V124" s="828"/>
      <c r="W124" s="828"/>
      <c r="X124" s="828"/>
      <c r="Y124" s="828"/>
      <c r="Z124" s="828"/>
    </row>
    <row r="125" spans="1:49">
      <c r="A125" s="805"/>
      <c r="B125" s="805"/>
      <c r="C125" s="805"/>
      <c r="D125" s="805"/>
      <c r="E125" s="805"/>
      <c r="F125" s="805"/>
      <c r="G125" s="805"/>
      <c r="H125" s="805"/>
      <c r="I125" s="805"/>
      <c r="J125" s="805"/>
      <c r="K125" s="805"/>
      <c r="L125" s="805"/>
      <c r="M125" s="805"/>
      <c r="N125" s="828"/>
      <c r="O125" s="828"/>
      <c r="P125" s="828"/>
      <c r="Q125" s="828"/>
      <c r="R125" s="828"/>
      <c r="S125" s="828"/>
      <c r="T125" s="828"/>
      <c r="U125" s="828"/>
      <c r="V125" s="828"/>
      <c r="W125" s="828"/>
      <c r="X125" s="828"/>
      <c r="Y125" s="828"/>
      <c r="Z125" s="828"/>
    </row>
    <row r="126" spans="1:49">
      <c r="A126" s="805"/>
      <c r="B126" s="805"/>
      <c r="C126" s="805"/>
      <c r="D126" s="805"/>
      <c r="E126" s="805"/>
      <c r="F126" s="805"/>
      <c r="G126" s="805"/>
      <c r="H126" s="805"/>
      <c r="I126" s="805"/>
      <c r="J126" s="805"/>
      <c r="K126" s="805"/>
      <c r="L126" s="805"/>
      <c r="M126" s="805"/>
      <c r="N126" s="828"/>
      <c r="O126" s="828"/>
      <c r="P126" s="828"/>
      <c r="Q126" s="828"/>
      <c r="R126" s="828"/>
      <c r="S126" s="828"/>
      <c r="T126" s="828"/>
      <c r="U126" s="828"/>
      <c r="V126" s="828"/>
      <c r="W126" s="828"/>
      <c r="X126" s="828"/>
      <c r="Y126" s="828"/>
      <c r="Z126" s="828"/>
    </row>
    <row r="127" spans="1:49">
      <c r="A127" s="805"/>
      <c r="B127" s="805"/>
      <c r="C127" s="805"/>
      <c r="D127" s="805"/>
      <c r="E127" s="805"/>
      <c r="F127" s="805"/>
      <c r="G127" s="805"/>
      <c r="H127" s="805"/>
      <c r="I127" s="805"/>
      <c r="J127" s="805"/>
      <c r="K127" s="805"/>
      <c r="L127" s="805"/>
      <c r="M127" s="805"/>
      <c r="N127" s="828"/>
      <c r="O127" s="828"/>
      <c r="P127" s="828"/>
      <c r="Q127" s="828"/>
      <c r="R127" s="828"/>
      <c r="S127" s="828"/>
      <c r="T127" s="828"/>
      <c r="U127" s="828"/>
      <c r="V127" s="828"/>
      <c r="W127" s="828"/>
      <c r="X127" s="828"/>
      <c r="Y127" s="828"/>
      <c r="Z127" s="828"/>
    </row>
    <row r="128" spans="1:49">
      <c r="A128" s="805"/>
      <c r="B128" s="805"/>
      <c r="C128" s="805"/>
      <c r="D128" s="805"/>
      <c r="E128" s="805"/>
      <c r="F128" s="805"/>
      <c r="G128" s="805"/>
      <c r="H128" s="805"/>
      <c r="I128" s="805"/>
      <c r="J128" s="805"/>
      <c r="K128" s="805"/>
      <c r="L128" s="805"/>
      <c r="M128" s="805"/>
      <c r="N128" s="828"/>
      <c r="O128" s="828"/>
      <c r="P128" s="828"/>
      <c r="Q128" s="828"/>
      <c r="R128" s="828"/>
      <c r="S128" s="828"/>
      <c r="T128" s="828"/>
      <c r="U128" s="828"/>
      <c r="V128" s="828"/>
      <c r="W128" s="828"/>
      <c r="X128" s="828"/>
      <c r="Y128" s="828"/>
      <c r="Z128" s="828"/>
    </row>
    <row r="129" spans="1:43">
      <c r="A129" s="805"/>
      <c r="B129" s="805"/>
      <c r="C129" s="805"/>
      <c r="D129" s="805"/>
      <c r="E129" s="805"/>
      <c r="F129" s="805"/>
      <c r="G129" s="805"/>
      <c r="H129" s="805"/>
      <c r="I129" s="805"/>
      <c r="J129" s="805"/>
      <c r="K129" s="805"/>
      <c r="L129" s="805"/>
      <c r="M129" s="805"/>
      <c r="N129" s="828"/>
      <c r="O129" s="828"/>
      <c r="P129" s="828"/>
      <c r="Q129" s="828"/>
      <c r="R129" s="828"/>
      <c r="S129" s="828"/>
      <c r="T129" s="828"/>
      <c r="U129" s="828"/>
      <c r="V129" s="828"/>
      <c r="W129" s="828"/>
      <c r="X129" s="828"/>
      <c r="Y129" s="828"/>
      <c r="Z129" s="828"/>
    </row>
    <row r="130" spans="1:43">
      <c r="A130" s="805"/>
      <c r="B130" s="805"/>
      <c r="C130" s="805"/>
      <c r="D130" s="805"/>
      <c r="E130" s="805"/>
      <c r="F130" s="805"/>
      <c r="G130" s="805"/>
      <c r="H130" s="805"/>
      <c r="I130" s="805"/>
      <c r="J130" s="805"/>
      <c r="K130" s="805"/>
      <c r="L130" s="805"/>
      <c r="M130" s="805"/>
      <c r="N130" s="828"/>
      <c r="O130" s="828"/>
      <c r="P130" s="828"/>
      <c r="Q130" s="828"/>
      <c r="R130" s="828"/>
      <c r="S130" s="828"/>
      <c r="T130" s="828"/>
      <c r="U130" s="828"/>
      <c r="V130" s="828"/>
      <c r="W130" s="828"/>
      <c r="X130" s="828"/>
      <c r="Y130" s="828"/>
      <c r="Z130" s="828"/>
    </row>
    <row r="131" spans="1:43">
      <c r="A131" s="805"/>
      <c r="B131" s="805"/>
      <c r="C131" s="805"/>
      <c r="D131" s="805"/>
      <c r="E131" s="805"/>
      <c r="F131" s="805"/>
      <c r="G131" s="805"/>
      <c r="H131" s="805"/>
      <c r="I131" s="805"/>
      <c r="J131" s="805"/>
      <c r="K131" s="805"/>
      <c r="L131" s="805"/>
      <c r="M131" s="805"/>
      <c r="N131" s="828"/>
      <c r="O131" s="828"/>
      <c r="P131" s="828"/>
      <c r="Q131" s="828"/>
      <c r="R131" s="828"/>
      <c r="S131" s="828"/>
      <c r="T131" s="828"/>
      <c r="U131" s="828"/>
      <c r="V131" s="828"/>
      <c r="W131" s="828"/>
      <c r="X131" s="828"/>
      <c r="Y131" s="828"/>
      <c r="Z131" s="828"/>
      <c r="AP131" s="828">
        <v>35100000</v>
      </c>
      <c r="AQ131" s="803" t="s">
        <v>703</v>
      </c>
    </row>
    <row r="132" spans="1:43">
      <c r="A132" s="805"/>
      <c r="B132" s="805"/>
      <c r="C132" s="805"/>
      <c r="D132" s="805"/>
      <c r="E132" s="805"/>
      <c r="F132" s="805"/>
      <c r="G132" s="805"/>
      <c r="H132" s="805"/>
      <c r="I132" s="805"/>
      <c r="J132" s="805"/>
      <c r="K132" s="805"/>
      <c r="L132" s="805"/>
      <c r="M132" s="805"/>
      <c r="N132" s="828"/>
      <c r="O132" s="828"/>
      <c r="P132" s="828"/>
      <c r="Q132" s="828"/>
      <c r="R132" s="828"/>
      <c r="S132" s="828"/>
      <c r="T132" s="828"/>
      <c r="U132" s="828"/>
      <c r="V132" s="828"/>
      <c r="W132" s="828"/>
      <c r="X132" s="828"/>
      <c r="Y132" s="828"/>
      <c r="Z132" s="828"/>
      <c r="AP132" s="828">
        <f>SUM(AN54:AN55)</f>
        <v>1193295.1200000001</v>
      </c>
    </row>
    <row r="133" spans="1:43">
      <c r="AP133" s="857">
        <f>AP132/AP131</f>
        <v>3.3997011965811966E-2</v>
      </c>
    </row>
    <row r="140" spans="1:43">
      <c r="B140" s="834" t="s">
        <v>704</v>
      </c>
      <c r="C140" s="834"/>
    </row>
    <row r="141" spans="1:43" ht="12.75" thickBot="1">
      <c r="B141" s="805"/>
      <c r="C141" s="805"/>
    </row>
    <row r="142" spans="1:43">
      <c r="B142" s="858" t="s">
        <v>122</v>
      </c>
      <c r="C142" s="859"/>
    </row>
    <row r="143" spans="1:43">
      <c r="B143" s="860" t="s">
        <v>123</v>
      </c>
      <c r="C143" s="861"/>
      <c r="D143" s="862"/>
      <c r="E143" s="862"/>
      <c r="F143" s="862"/>
      <c r="G143" s="862"/>
      <c r="H143" s="862"/>
    </row>
    <row r="144" spans="1:43">
      <c r="B144" s="860" t="s">
        <v>124</v>
      </c>
      <c r="C144" s="861"/>
      <c r="D144" s="862"/>
      <c r="E144" s="862"/>
      <c r="F144" s="862"/>
      <c r="G144" s="862"/>
      <c r="H144" s="862"/>
    </row>
    <row r="145" spans="2:8">
      <c r="B145" s="860" t="s">
        <v>125</v>
      </c>
      <c r="C145" s="861"/>
      <c r="D145" s="862"/>
      <c r="E145" s="862"/>
      <c r="F145" s="862"/>
      <c r="G145" s="862"/>
      <c r="H145" s="862"/>
    </row>
    <row r="146" spans="2:8">
      <c r="B146" s="860" t="s">
        <v>126</v>
      </c>
      <c r="C146" s="861"/>
      <c r="D146" s="862"/>
      <c r="E146" s="862"/>
      <c r="F146" s="862"/>
      <c r="G146" s="862"/>
      <c r="H146" s="862"/>
    </row>
    <row r="147" spans="2:8">
      <c r="B147" s="860"/>
      <c r="C147" s="861"/>
      <c r="D147" s="862"/>
      <c r="E147" s="862"/>
      <c r="F147" s="862"/>
      <c r="G147" s="862"/>
      <c r="H147" s="862"/>
    </row>
    <row r="148" spans="2:8">
      <c r="B148" s="860" t="s">
        <v>127</v>
      </c>
      <c r="C148" s="861"/>
      <c r="D148" s="862"/>
      <c r="E148" s="862"/>
      <c r="F148" s="862"/>
      <c r="G148" s="862"/>
      <c r="H148" s="862"/>
    </row>
    <row r="149" spans="2:8">
      <c r="B149" s="863" t="s">
        <v>128</v>
      </c>
      <c r="C149" s="864"/>
      <c r="D149" s="862"/>
      <c r="E149" s="862"/>
      <c r="F149" s="862"/>
      <c r="G149" s="862"/>
      <c r="H149" s="862"/>
    </row>
    <row r="150" spans="2:8">
      <c r="B150" s="865">
        <v>0</v>
      </c>
      <c r="C150" s="866"/>
      <c r="D150" s="862"/>
      <c r="E150" s="862"/>
      <c r="F150" s="862"/>
      <c r="G150" s="862"/>
      <c r="H150" s="862"/>
    </row>
    <row r="151" spans="2:8">
      <c r="B151" s="867" t="s">
        <v>129</v>
      </c>
      <c r="C151" s="859"/>
      <c r="D151" s="862"/>
      <c r="E151" s="862"/>
      <c r="F151" s="862"/>
      <c r="G151" s="862"/>
      <c r="H151" s="862"/>
    </row>
    <row r="152" spans="2:8">
      <c r="B152" s="860" t="s">
        <v>130</v>
      </c>
      <c r="C152" s="861"/>
      <c r="D152" s="862"/>
      <c r="E152" s="862"/>
      <c r="F152" s="862"/>
      <c r="G152" s="862"/>
      <c r="H152" s="862"/>
    </row>
    <row r="153" spans="2:8">
      <c r="B153" s="863" t="s">
        <v>131</v>
      </c>
      <c r="C153" s="864"/>
      <c r="D153" s="862"/>
      <c r="E153" s="862"/>
      <c r="F153" s="862"/>
      <c r="G153" s="862"/>
      <c r="H153" s="862"/>
    </row>
    <row r="154" spans="2:8">
      <c r="B154" s="865">
        <v>0</v>
      </c>
      <c r="C154" s="866"/>
      <c r="D154" s="862"/>
      <c r="E154" s="862"/>
      <c r="F154" s="862"/>
      <c r="G154" s="862"/>
      <c r="H154" s="862"/>
    </row>
    <row r="155" spans="2:8">
      <c r="B155" s="863" t="s">
        <v>132</v>
      </c>
      <c r="C155" s="864"/>
      <c r="D155" s="862"/>
      <c r="E155" s="862"/>
      <c r="F155" s="862"/>
      <c r="G155" s="862"/>
      <c r="H155" s="862"/>
    </row>
    <row r="156" spans="2:8">
      <c r="B156" s="865">
        <v>0</v>
      </c>
      <c r="C156" s="866"/>
      <c r="D156" s="862"/>
      <c r="E156" s="862"/>
      <c r="F156" s="862"/>
      <c r="G156" s="862"/>
      <c r="H156" s="862"/>
    </row>
    <row r="157" spans="2:8">
      <c r="B157" s="867" t="s">
        <v>0</v>
      </c>
      <c r="C157" s="859"/>
      <c r="D157" s="862"/>
      <c r="E157" s="862"/>
      <c r="F157" s="862"/>
      <c r="G157" s="862"/>
      <c r="H157" s="862"/>
    </row>
    <row r="158" spans="2:8">
      <c r="B158" s="863" t="s">
        <v>133</v>
      </c>
      <c r="C158" s="864"/>
      <c r="D158" s="862"/>
      <c r="E158" s="862"/>
      <c r="F158" s="862"/>
      <c r="G158" s="862"/>
      <c r="H158" s="862"/>
    </row>
    <row r="159" spans="2:8">
      <c r="B159" s="860" t="s">
        <v>134</v>
      </c>
      <c r="C159" s="861"/>
      <c r="D159" s="862"/>
      <c r="E159" s="862"/>
      <c r="F159" s="862"/>
      <c r="G159" s="862"/>
      <c r="H159" s="862"/>
    </row>
    <row r="160" spans="2:8">
      <c r="B160" s="860" t="s">
        <v>135</v>
      </c>
      <c r="C160" s="861"/>
      <c r="D160" s="862"/>
      <c r="E160" s="862"/>
      <c r="F160" s="862"/>
      <c r="G160" s="862"/>
      <c r="H160" s="862"/>
    </row>
    <row r="161" spans="2:8">
      <c r="B161" s="860" t="s">
        <v>136</v>
      </c>
      <c r="C161" s="861"/>
      <c r="D161" s="862"/>
      <c r="E161" s="862"/>
      <c r="F161" s="862"/>
      <c r="G161" s="862"/>
      <c r="H161" s="862"/>
    </row>
    <row r="162" spans="2:8">
      <c r="B162" s="860" t="s">
        <v>631</v>
      </c>
      <c r="C162" s="861"/>
      <c r="D162" s="862"/>
      <c r="E162" s="862"/>
      <c r="F162" s="862"/>
      <c r="G162" s="862"/>
      <c r="H162" s="862"/>
    </row>
    <row r="163" spans="2:8">
      <c r="B163" s="860"/>
      <c r="C163" s="861"/>
      <c r="D163" s="862"/>
      <c r="E163" s="862"/>
      <c r="F163" s="862"/>
      <c r="G163" s="862"/>
      <c r="H163" s="862"/>
    </row>
    <row r="164" spans="2:8">
      <c r="B164" s="863" t="s">
        <v>137</v>
      </c>
      <c r="C164" s="864"/>
      <c r="D164" s="862"/>
      <c r="E164" s="862"/>
      <c r="F164" s="862"/>
      <c r="G164" s="862"/>
      <c r="H164" s="862"/>
    </row>
    <row r="165" spans="2:8">
      <c r="B165" s="865">
        <v>0</v>
      </c>
      <c r="C165" s="866"/>
      <c r="D165" s="862"/>
      <c r="E165" s="862"/>
      <c r="F165" s="862"/>
      <c r="G165" s="862"/>
      <c r="H165" s="862"/>
    </row>
    <row r="166" spans="2:8">
      <c r="B166" s="863" t="s">
        <v>138</v>
      </c>
      <c r="C166" s="864"/>
      <c r="D166" s="862"/>
      <c r="E166" s="862"/>
      <c r="F166" s="862"/>
      <c r="G166" s="862"/>
      <c r="H166" s="862"/>
    </row>
    <row r="167" spans="2:8">
      <c r="B167" s="860" t="s">
        <v>139</v>
      </c>
      <c r="C167" s="861"/>
      <c r="D167" s="862"/>
      <c r="E167" s="862"/>
      <c r="F167" s="862"/>
      <c r="G167" s="862"/>
      <c r="H167" s="862"/>
    </row>
    <row r="168" spans="2:8">
      <c r="B168" s="860" t="s">
        <v>140</v>
      </c>
      <c r="C168" s="861"/>
      <c r="D168" s="862"/>
      <c r="E168" s="862"/>
      <c r="F168" s="862"/>
      <c r="G168" s="862"/>
      <c r="H168" s="862"/>
    </row>
    <row r="169" spans="2:8">
      <c r="B169" s="863" t="s">
        <v>141</v>
      </c>
      <c r="C169" s="864"/>
      <c r="D169" s="862"/>
      <c r="E169" s="862"/>
      <c r="F169" s="862"/>
      <c r="G169" s="862"/>
      <c r="H169" s="862"/>
    </row>
    <row r="170" spans="2:8">
      <c r="B170" s="865">
        <v>0</v>
      </c>
      <c r="C170" s="866"/>
      <c r="D170" s="862"/>
      <c r="E170" s="862"/>
      <c r="F170" s="862"/>
      <c r="G170" s="862"/>
      <c r="H170" s="862"/>
    </row>
    <row r="171" spans="2:8">
      <c r="B171" s="860" t="s">
        <v>142</v>
      </c>
      <c r="C171" s="861"/>
      <c r="D171" s="862"/>
      <c r="E171" s="862"/>
      <c r="F171" s="862"/>
      <c r="G171" s="862"/>
      <c r="H171" s="862"/>
    </row>
    <row r="172" spans="2:8">
      <c r="B172" s="865">
        <v>0</v>
      </c>
      <c r="C172" s="866"/>
      <c r="D172" s="862"/>
      <c r="E172" s="862"/>
      <c r="F172" s="862"/>
      <c r="G172" s="862"/>
      <c r="H172" s="862"/>
    </row>
    <row r="173" spans="2:8">
      <c r="B173" s="863" t="s">
        <v>143</v>
      </c>
      <c r="C173" s="864"/>
      <c r="D173" s="862"/>
      <c r="E173" s="862"/>
      <c r="F173" s="862"/>
      <c r="G173" s="862"/>
      <c r="H173" s="862"/>
    </row>
    <row r="174" spans="2:8">
      <c r="B174" s="863"/>
      <c r="C174" s="864"/>
      <c r="D174" s="862"/>
      <c r="E174" s="862"/>
      <c r="F174" s="862"/>
      <c r="G174" s="862"/>
      <c r="H174" s="862"/>
    </row>
    <row r="175" spans="2:8">
      <c r="B175" s="860" t="s">
        <v>144</v>
      </c>
      <c r="C175" s="861"/>
      <c r="D175" s="862"/>
      <c r="E175" s="862"/>
      <c r="F175" s="862"/>
      <c r="G175" s="862"/>
      <c r="H175" s="862"/>
    </row>
    <row r="176" spans="2:8">
      <c r="B176" s="860" t="s">
        <v>145</v>
      </c>
      <c r="C176" s="861"/>
      <c r="D176" s="862"/>
      <c r="E176" s="862"/>
      <c r="F176" s="862"/>
      <c r="G176" s="862"/>
      <c r="H176" s="862"/>
    </row>
    <row r="177" spans="2:8">
      <c r="B177" s="863" t="s">
        <v>146</v>
      </c>
      <c r="C177" s="864"/>
      <c r="D177" s="862"/>
      <c r="E177" s="862"/>
      <c r="F177" s="862"/>
      <c r="G177" s="862"/>
      <c r="H177" s="862"/>
    </row>
    <row r="178" spans="2:8">
      <c r="B178" s="863">
        <v>0</v>
      </c>
      <c r="C178" s="864"/>
      <c r="D178" s="862"/>
      <c r="E178" s="862"/>
      <c r="F178" s="862"/>
      <c r="G178" s="862"/>
      <c r="H178" s="862"/>
    </row>
    <row r="179" spans="2:8">
      <c r="B179" s="863" t="s">
        <v>914</v>
      </c>
      <c r="C179" s="864"/>
      <c r="D179" s="862"/>
      <c r="E179" s="862"/>
      <c r="F179" s="862"/>
      <c r="G179" s="862"/>
      <c r="H179" s="862"/>
    </row>
    <row r="180" spans="2:8">
      <c r="B180" s="860" t="s">
        <v>147</v>
      </c>
      <c r="C180" s="861"/>
      <c r="D180" s="862"/>
      <c r="E180" s="862"/>
      <c r="F180" s="862"/>
      <c r="G180" s="862"/>
      <c r="H180" s="862"/>
    </row>
    <row r="181" spans="2:8">
      <c r="B181" s="860" t="s">
        <v>148</v>
      </c>
      <c r="C181" s="861"/>
      <c r="D181" s="862"/>
      <c r="E181" s="862"/>
      <c r="F181" s="862"/>
      <c r="G181" s="862"/>
      <c r="H181" s="862"/>
    </row>
    <row r="182" spans="2:8">
      <c r="B182" s="860" t="s">
        <v>149</v>
      </c>
      <c r="C182" s="861"/>
      <c r="D182" s="862"/>
      <c r="E182" s="862"/>
      <c r="F182" s="862"/>
      <c r="G182" s="862"/>
      <c r="H182" s="862"/>
    </row>
    <row r="183" spans="2:8">
      <c r="B183" s="863" t="s">
        <v>150</v>
      </c>
      <c r="C183" s="864"/>
      <c r="D183" s="862"/>
      <c r="E183" s="862"/>
      <c r="F183" s="862"/>
      <c r="G183" s="862"/>
      <c r="H183" s="862"/>
    </row>
    <row r="184" spans="2:8">
      <c r="B184" s="865">
        <v>0</v>
      </c>
      <c r="C184" s="866"/>
      <c r="D184" s="862"/>
      <c r="E184" s="862"/>
      <c r="F184" s="862"/>
      <c r="G184" s="862"/>
      <c r="H184" s="862"/>
    </row>
    <row r="185" spans="2:8" ht="12.75" thickBot="1">
      <c r="B185" s="868" t="s">
        <v>151</v>
      </c>
      <c r="C185" s="864"/>
      <c r="D185" s="862"/>
      <c r="E185" s="862"/>
      <c r="F185" s="862"/>
      <c r="G185" s="862"/>
      <c r="H185" s="862"/>
    </row>
    <row r="186" spans="2:8">
      <c r="B186" s="869"/>
      <c r="C186" s="869"/>
      <c r="D186" s="862"/>
      <c r="E186" s="862"/>
      <c r="F186" s="862"/>
      <c r="G186" s="862"/>
      <c r="H186" s="862"/>
    </row>
    <row r="187" spans="2:8">
      <c r="B187" s="870"/>
      <c r="C187" s="870"/>
      <c r="D187" s="862"/>
      <c r="E187" s="862"/>
      <c r="F187" s="862"/>
      <c r="G187" s="862"/>
      <c r="H187" s="86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report작성</vt:lpstr>
      <vt:lpstr>A&amp;R</vt:lpstr>
      <vt:lpstr>Property(Y)</vt:lpstr>
      <vt:lpstr>Property(M)</vt:lpstr>
      <vt:lpstr>preiod</vt:lpstr>
      <vt:lpstr>CF(M)</vt:lpstr>
      <vt:lpstr>Rentroll2</vt:lpstr>
      <vt:lpstr>PBC&gt;</vt:lpstr>
      <vt:lpstr>actual3yr</vt:lpstr>
      <vt:lpstr>RP- Profit &amp; Loss 2016</vt:lpstr>
      <vt:lpstr>RP- Profit &amp; Loss 2018</vt:lpstr>
      <vt:lpstr>RP- Profit &amp; Loss 2017</vt:lpstr>
      <vt:lpstr>최초3개년추정</vt:lpstr>
      <vt:lpstr>3yr forecast</vt:lpstr>
      <vt:lpstr>조견표</vt:lpstr>
      <vt:lpstr>Rentroll</vt:lpstr>
      <vt:lpstr>note</vt:lpstr>
    </vt:vector>
  </TitlesOfParts>
  <Company>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Kyungtaek Lee</dc:creator>
  <cp:lastModifiedBy>Lee, Kyung-Taek (KR/Deal Adv2)</cp:lastModifiedBy>
  <dcterms:created xsi:type="dcterms:W3CDTF">2018-01-18T05:22:46Z</dcterms:created>
  <dcterms:modified xsi:type="dcterms:W3CDTF">2018-08-29T04:27:12Z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