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rchive" sheetId="1" r:id="rId4"/>
    <sheet state="visible" name="Assignment Instructions" sheetId="2" r:id="rId5"/>
    <sheet state="visible" name="Student Data" sheetId="3" r:id="rId6"/>
    <sheet state="visible" name="Learning Data" sheetId="4" r:id="rId7"/>
    <sheet state="visible" name="EMI Data" sheetId="5" r:id="rId8"/>
    <sheet state="visible" name="Pricing Table" sheetId="6" r:id="rId9"/>
    <sheet state="visible" name="Master Data" sheetId="7" r:id="rId10"/>
  </sheets>
  <definedNames/>
  <calcPr/>
</workbook>
</file>

<file path=xl/sharedStrings.xml><?xml version="1.0" encoding="utf-8"?>
<sst xmlns="http://schemas.openxmlformats.org/spreadsheetml/2006/main" count="331" uniqueCount="166">
  <si>
    <r>
      <rPr>
        <rFont val="Arial"/>
        <b/>
        <i/>
        <color theme="1"/>
      </rPr>
      <t>Task-4: Mark the priority of users based on learning percentage &amp; EMI Amount</t>
    </r>
    <r>
      <rPr>
        <rFont val="Arial"/>
        <b/>
        <color theme="1"/>
      </rPr>
      <t xml:space="preserve">
Tips:</t>
    </r>
    <r>
      <rPr>
        <rFont val="Arial"/>
        <color theme="1"/>
      </rPr>
      <t xml:space="preserve">
- Can consider 95-100% learning as top priority, 90-95% as next &amp; so on
- The more the EMI amount, the higher the priority
- Combine both these factors &amp; mark the priority sensibly</t>
    </r>
  </si>
  <si>
    <r>
      <rPr>
        <rFont val="Arial"/>
        <b/>
        <i/>
        <color theme="1"/>
      </rPr>
      <t>Task-5: Get distribution of Programs selected, Tenures Selected, EMI Date, Learning Percentages. Also get combined distributions for these 4 factors. List down the patterns observed from these distributions</t>
    </r>
    <r>
      <rPr>
        <rFont val="Arial"/>
        <b/>
        <color theme="1"/>
      </rPr>
      <t xml:space="preserve">
Tips:</t>
    </r>
    <r>
      <rPr>
        <rFont val="Arial"/>
        <color theme="1"/>
      </rPr>
      <t xml:space="preserve">
- Clean the data &amp; use simple formule (or in worst case retort to Pivot Tables)
- Combination of 2 factors can be achieved in Pivot Tables. Try observing the patterns while deriving these</t>
    </r>
  </si>
  <si>
    <t>EXPECTED OUTCOMES</t>
  </si>
  <si>
    <r>
      <rPr>
        <rFont val="Arial"/>
        <b/>
        <i/>
        <color theme="1"/>
      </rPr>
      <t>Task-1: Extract only first name of Student in a cell &amp; first name of Applicant in another cell</t>
    </r>
    <r>
      <rPr>
        <rFont val="Arial"/>
        <color theme="1"/>
      </rPr>
      <t xml:space="preserve">
</t>
    </r>
    <r>
      <rPr>
        <rFont val="Arial"/>
        <b/>
        <color theme="1"/>
      </rPr>
      <t>Tips:</t>
    </r>
    <r>
      <rPr>
        <rFont val="Arial"/>
        <color theme="1"/>
      </rPr>
      <t xml:space="preserve">
- Student Name will be present in the subsheet - Student Data
- Applicant Name will be present in the subsheet - EMI Data
- Explore &amp; understand what formula works better to easily achieve this &amp; use that formula</t>
    </r>
  </si>
  <si>
    <r>
      <rPr>
        <rFont val="Arial"/>
        <b/>
        <i/>
        <color theme="1"/>
      </rPr>
      <t>Task-2: Validate the correctness of EMI amounts that are present in EMI Data subsheet</t>
    </r>
    <r>
      <rPr>
        <rFont val="Arial"/>
        <color theme="1"/>
      </rPr>
      <t xml:space="preserve">
</t>
    </r>
    <r>
      <rPr>
        <rFont val="Arial"/>
        <b/>
        <color theme="1"/>
      </rPr>
      <t xml:space="preserve">Tips:
</t>
    </r>
    <r>
      <rPr>
        <rFont val="Arial"/>
        <color theme="1"/>
      </rPr>
      <t>- Use the Pricing Table (subsheet) &amp; obtain the actual fee (to Student Data subsheet) based on the program selected
- Calculate the EMI to be paid based on Total Fee &amp; Tenure selected
- Map EMI Amount to entries present in Student Data from EMI Data sheet 
- Validate the existing EMIs with your calculation &amp; identify which are correct and which are not</t>
    </r>
  </si>
  <si>
    <r>
      <rPr>
        <rFont val="Arial"/>
        <b/>
        <i/>
        <color theme="1"/>
      </rPr>
      <t>Task-3: Create a Master Data</t>
    </r>
    <r>
      <rPr>
        <rFont val="Arial"/>
        <b/>
        <color theme="1"/>
      </rPr>
      <t xml:space="preserve">
Tips:</t>
    </r>
    <r>
      <rPr>
        <rFont val="Arial"/>
        <color theme="1"/>
      </rPr>
      <t xml:space="preserve">
- Combine all the unique columns present in 3 sheets (Student, Learning, EMI) using simple mapping formula
- Make sure that Master Data is properly formatted in every aspect</t>
    </r>
  </si>
  <si>
    <t>INSTRUCTIONS</t>
  </si>
  <si>
    <t>Timeline to complete the assignment is 3 hours</t>
  </si>
  <si>
    <t>You can start learning now &amp; try to achieve the outcomes in as optimised (lesser time &amp; lesser efforts) way as possible</t>
  </si>
  <si>
    <t>Once you are done completing all the 3 tasks, record a video explaining the process you follwed. You can use tools such as Loom or Vidyard (links are provided in the Guide)</t>
  </si>
  <si>
    <t>Submit the sheet you worked on (after giving open access) &amp; also the video you recorded in the Google Form sent to you</t>
  </si>
  <si>
    <t>USEFUL GUIDE</t>
  </si>
  <si>
    <t>20 Google Sheets Formulas You Must Know! - Automate.io Blog</t>
  </si>
  <si>
    <t>A list of 9 useful formulas for Google Sheets (yamm.com)</t>
  </si>
  <si>
    <t>https://www.loom.com/</t>
  </si>
  <si>
    <t>UID</t>
  </si>
  <si>
    <t>Student Name</t>
  </si>
  <si>
    <t>Program - Tenure</t>
  </si>
  <si>
    <t>Program</t>
  </si>
  <si>
    <t>Tenure</t>
  </si>
  <si>
    <t>New Student Name</t>
  </si>
  <si>
    <t>First Name</t>
  </si>
  <si>
    <t>Actual Fee</t>
  </si>
  <si>
    <t>EMI to be paid</t>
  </si>
  <si>
    <t>EMI  Comparison</t>
  </si>
  <si>
    <t>e6adb35f-360a-4844-a19a-dff001377b53</t>
  </si>
  <si>
    <t>Abhishek Erugadindla</t>
  </si>
  <si>
    <t xml:space="preserve">Genius - 36 </t>
  </si>
  <si>
    <t>e6adb35f-360a-4844-a19a-dff001377b54</t>
  </si>
  <si>
    <t>Anbalagan Neelayathatchi</t>
  </si>
  <si>
    <t xml:space="preserve">Smart - 48 </t>
  </si>
  <si>
    <t>e6adb35f-360a-4844-a19a-dff001377b55</t>
  </si>
  <si>
    <t>Naveen Reddy Kothakapu</t>
  </si>
  <si>
    <t>e6adb35f-360a-4844-a19a-dff001377b59</t>
  </si>
  <si>
    <t>Deepthi Priya Boini</t>
  </si>
  <si>
    <t>e6adb35f-360a-4844-a19a-dff001377b60</t>
  </si>
  <si>
    <t>Parthiban J</t>
  </si>
  <si>
    <t>e6adb35f-360a-4844-a19a-dff001377b61</t>
  </si>
  <si>
    <t>Lokesh Chethula</t>
  </si>
  <si>
    <t>e6adb35f-360a-4844-a19a-dff001377b62</t>
  </si>
  <si>
    <t>Chandu Thalluri</t>
  </si>
  <si>
    <t xml:space="preserve">Genius - 48 </t>
  </si>
  <si>
    <t>e6adb35f-360a-4844-a19a-dff001377b56</t>
  </si>
  <si>
    <t>Nithya Ganesh M</t>
  </si>
  <si>
    <t>e6adb35f-360a-4844-a19a-dff001377b57</t>
  </si>
  <si>
    <t>Sudalai Muthu M</t>
  </si>
  <si>
    <t>e6adb35f-360a-4844-a19a-dff001377b58</t>
  </si>
  <si>
    <t>Kannadhasan S</t>
  </si>
  <si>
    <t>e6adb35f-360a-4844-a19a-dff001377b63</t>
  </si>
  <si>
    <t>Venkatesh Gyadanaveni Venkatesh</t>
  </si>
  <si>
    <t>e6adb35f-360a-4844-a19a-dff001377b64</t>
  </si>
  <si>
    <t>Sai Ram Naraboina</t>
  </si>
  <si>
    <t>e6adb35f-360a-4844-a19a-dff001377b65</t>
  </si>
  <si>
    <t>Prabhakaran S Prabhakaran S</t>
  </si>
  <si>
    <t>e6adb35f-360a-4844-a19a-dff001377b66</t>
  </si>
  <si>
    <t>Pavan Mutyala</t>
  </si>
  <si>
    <t>Smart - 36</t>
  </si>
  <si>
    <t>e6adb35f-360a-4844-a19a-dff001377b67</t>
  </si>
  <si>
    <t>Rakesh Thodeti</t>
  </si>
  <si>
    <t>e6adb35f-360a-4844-a19a-dff001377b68</t>
  </si>
  <si>
    <t>Ravindar Gangula</t>
  </si>
  <si>
    <t>e6adb35f-360a-4844-a19a-dff001377b69</t>
  </si>
  <si>
    <t>Mohith Nakka</t>
  </si>
  <si>
    <t>Genius - 48</t>
  </si>
  <si>
    <t>e6adb35f-360a-4844-a19a-dff001377b70</t>
  </si>
  <si>
    <t>Navya Laxmi K</t>
  </si>
  <si>
    <t xml:space="preserve">Smart - 36 </t>
  </si>
  <si>
    <t>e6adb35f-360a-4844-a19a-dff001377b71</t>
  </si>
  <si>
    <t>Karreti Hari Chandana Karreti</t>
  </si>
  <si>
    <t>e6adb35f-360a-4844-a19a-dff001377b72</t>
  </si>
  <si>
    <t>Vignesh Ramamoorthy</t>
  </si>
  <si>
    <t>e6adb35f-360a-4844-a19a-dff001377b73</t>
  </si>
  <si>
    <t>Rinki Chauhan</t>
  </si>
  <si>
    <t>e6adb35f-360a-4844-a19a-dff001377b74</t>
  </si>
  <si>
    <t>Tony S</t>
  </si>
  <si>
    <t>e6adb35f-360a-4844-a19a-dff001377b75</t>
  </si>
  <si>
    <t>Mahesh P</t>
  </si>
  <si>
    <t>e6adb35f-360a-4844-a19a-dff001377b76</t>
  </si>
  <si>
    <t>Bala G</t>
  </si>
  <si>
    <t>Genius - 36</t>
  </si>
  <si>
    <t>e6adb35f-360a-4844-a19a-dff001377b77</t>
  </si>
  <si>
    <t>Suma S</t>
  </si>
  <si>
    <t>Smart - 48</t>
  </si>
  <si>
    <t>e6adb35f-360a-4844-a19a-dff001377b78</t>
  </si>
  <si>
    <t>Bharathi Surapureddy</t>
  </si>
  <si>
    <t>e6adb35f-360a-4844-a19a-dff001377b79</t>
  </si>
  <si>
    <t>Suryakanth Shinde</t>
  </si>
  <si>
    <t>e6adb35f-360a-4844-a19a-dff001377b80</t>
  </si>
  <si>
    <t>Santhana Mahalingam Santa</t>
  </si>
  <si>
    <t>e6adb35f-360a-4844-a19a-dff001377b81</t>
  </si>
  <si>
    <t>Praveen .M Praveen</t>
  </si>
  <si>
    <t>e6adb35f-360a-4844-a19a-dff001377b82</t>
  </si>
  <si>
    <t>Pravallika Pacha Pacha</t>
  </si>
  <si>
    <t>UID (no hyphens)</t>
  </si>
  <si>
    <t>Learning % till Oct 10th</t>
  </si>
  <si>
    <t>e6adb35f360a4844a19adff001377b53</t>
  </si>
  <si>
    <t>100</t>
  </si>
  <si>
    <t>e6adb35f360a4844a19adff001377b54</t>
  </si>
  <si>
    <t>95</t>
  </si>
  <si>
    <t>e6adb35f360a4844a19adff001377b55</t>
  </si>
  <si>
    <t>85</t>
  </si>
  <si>
    <t>e6adb35f360a4844a19adff001377b56</t>
  </si>
  <si>
    <t>88</t>
  </si>
  <si>
    <t>e6adb35f360a4844a19adff001377b57</t>
  </si>
  <si>
    <t>e6adb35f360a4844a19adff001377b58</t>
  </si>
  <si>
    <t>e6adb35f360a4844a19adff001377b59</t>
  </si>
  <si>
    <t>e6adb35f360a4844a19adff001377b60</t>
  </si>
  <si>
    <t>98</t>
  </si>
  <si>
    <t>e6adb35f360a4844a19adff001377b61</t>
  </si>
  <si>
    <t>e6adb35f360a4844a19adff001377b62</t>
  </si>
  <si>
    <t>e6adb35f360a4844a19adff001377b63</t>
  </si>
  <si>
    <t>e6adb35f360a4844a19adff001377b64</t>
  </si>
  <si>
    <t>e6adb35f360a4844a19adff001377b65</t>
  </si>
  <si>
    <t>93</t>
  </si>
  <si>
    <t>e6adb35f360a4844a19adff001377b66</t>
  </si>
  <si>
    <t>e6adb35f360a4844a19adff001377b67</t>
  </si>
  <si>
    <t>e6adb35f360a4844a19adff001377b68</t>
  </si>
  <si>
    <t>99</t>
  </si>
  <si>
    <t>e6adb35f360a4844a19adff001377b69</t>
  </si>
  <si>
    <t>e6adb35f360a4844a19adff001377b70</t>
  </si>
  <si>
    <t>e6adb35f360a4844a19adff001377b71</t>
  </si>
  <si>
    <t>e6adb35f360a4844a19adff001377b72</t>
  </si>
  <si>
    <t>e6adb35f360a4844a19adff001377b73</t>
  </si>
  <si>
    <t>e6adb35f360a4844a19adff001377b74</t>
  </si>
  <si>
    <t>89</t>
  </si>
  <si>
    <t>e6adb35f360a4844a19adff001377b75</t>
  </si>
  <si>
    <t>97</t>
  </si>
  <si>
    <t>e6adb35f360a4844a19adff001377b76</t>
  </si>
  <si>
    <t>e6adb35f360a4844a19adff001377b77</t>
  </si>
  <si>
    <t>94</t>
  </si>
  <si>
    <t>e6adb35f360a4844a19adff001377b78</t>
  </si>
  <si>
    <t>e6adb35f360a4844a19adff001377b79</t>
  </si>
  <si>
    <t>e6adb35f360a4844a19adff001377b80</t>
  </si>
  <si>
    <t>e6adb35f360a4844a19adff001377b81</t>
  </si>
  <si>
    <t>e6adb35f360a4844a19adff001377b82</t>
  </si>
  <si>
    <t>Applicant Name</t>
  </si>
  <si>
    <t>EMI Due Date</t>
  </si>
  <si>
    <t>EMI Amount</t>
  </si>
  <si>
    <t xml:space="preserve">Applicant First Name </t>
  </si>
  <si>
    <t>5-Oct-2022</t>
  </si>
  <si>
    <t>6806</t>
  </si>
  <si>
    <t>7500</t>
  </si>
  <si>
    <t>12500</t>
  </si>
  <si>
    <t>10000</t>
  </si>
  <si>
    <t>3021</t>
  </si>
  <si>
    <t>2836</t>
  </si>
  <si>
    <t>3612</t>
  </si>
  <si>
    <t>20782</t>
  </si>
  <si>
    <t>3-Oct-2022</t>
  </si>
  <si>
    <t>6805.56</t>
  </si>
  <si>
    <t>6521</t>
  </si>
  <si>
    <t>5-Nov-2022</t>
  </si>
  <si>
    <t>3750</t>
  </si>
  <si>
    <t>7292</t>
  </si>
  <si>
    <t>5417</t>
  </si>
  <si>
    <t>Total Fee</t>
  </si>
  <si>
    <t>Reservation Amount</t>
  </si>
  <si>
    <t>Amount to be considered in EMI</t>
  </si>
  <si>
    <t>Genius</t>
  </si>
  <si>
    <t>12 Months</t>
  </si>
  <si>
    <t>18 Months</t>
  </si>
  <si>
    <t>24 Months</t>
  </si>
  <si>
    <t>36 Months</t>
  </si>
  <si>
    <t>45 Months</t>
  </si>
  <si>
    <t>48 Months</t>
  </si>
  <si>
    <t>Smart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</si>
</sst>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0"/>
      <name val="Arial"/>
      <scheme val="minor"/>
    </font>
    <font>
      <u/>
      <color rgb="FF0000FF"/>
    </font>
    <font>
      <u/>
      <color rgb="FF0000FF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</font>
    <font>
      <b/>
      <i/>
      <color theme="1"/>
      <name val="Calibri"/>
    </font>
    <font>
      <color theme="1"/>
      <name val="Calibri"/>
    </font>
    <font>
      <b/>
      <i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horizontal="center" shrinkToFit="0" wrapText="1"/>
    </xf>
    <xf borderId="0" fillId="0" fontId="6" numFmtId="0" xfId="0" applyAlignment="1" applyFont="1">
      <alignment readingOrder="0"/>
    </xf>
    <xf borderId="0" fillId="0" fontId="6" numFmtId="1" xfId="0" applyAlignment="1" applyFont="1" applyNumberFormat="1">
      <alignment readingOrder="0"/>
    </xf>
    <xf borderId="0" fillId="0" fontId="7" numFmtId="49" xfId="0" applyFont="1" applyNumberFormat="1"/>
    <xf borderId="0" fillId="0" fontId="7" numFmtId="49" xfId="0" applyAlignment="1" applyFont="1" applyNumberFormat="1">
      <alignment horizontal="center" readingOrder="0"/>
    </xf>
    <xf borderId="0" fillId="0" fontId="1" numFmtId="0" xfId="0" applyFont="1"/>
    <xf borderId="0" fillId="0" fontId="6" numFmtId="49" xfId="0" applyAlignment="1" applyFont="1" applyNumberFormat="1">
      <alignment readingOrder="0"/>
    </xf>
    <xf borderId="0" fillId="0" fontId="1" numFmtId="49" xfId="0" applyFont="1" applyNumberFormat="1"/>
    <xf borderId="0" fillId="0" fontId="7" numFmtId="49" xfId="0" applyAlignment="1" applyFont="1" applyNumberFormat="1">
      <alignment readingOrder="0"/>
    </xf>
    <xf borderId="0" fillId="0" fontId="1" numFmtId="3" xfId="0" applyFont="1" applyNumberFormat="1"/>
    <xf borderId="0" fillId="0" fontId="5" numFmtId="49" xfId="0" applyAlignment="1" applyFont="1" applyNumberFormat="1">
      <alignment horizontal="center" readingOrder="0" shrinkToFit="0" wrapText="1"/>
    </xf>
    <xf borderId="0" fillId="0" fontId="7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left" readingOrder="0" shrinkToFit="0" wrapText="1"/>
    </xf>
    <xf borderId="0" fillId="0" fontId="5" numFmtId="1" xfId="0" applyAlignment="1" applyFont="1" applyNumberFormat="1">
      <alignment horizontal="left" shrinkToFit="0" wrapText="1"/>
    </xf>
    <xf borderId="0" fillId="0" fontId="7" numFmtId="49" xfId="0" applyAlignment="1" applyFont="1" applyNumberFormat="1">
      <alignment horizontal="left"/>
    </xf>
    <xf borderId="0" fillId="0" fontId="7" numFmtId="49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6" numFmtId="0" xfId="0" applyAlignment="1" applyFont="1">
      <alignment readingOrder="0" shrinkToFit="0" wrapText="1"/>
    </xf>
    <xf borderId="0" fillId="0" fontId="6" numFmtId="0" xfId="0" applyFont="1"/>
    <xf borderId="0" fillId="0" fontId="8" numFmtId="0" xfId="0" applyAlignment="1" applyFont="1">
      <alignment vertical="top"/>
    </xf>
    <xf borderId="0" fillId="0" fontId="9" numFmtId="0" xfId="0" applyAlignment="1" applyFont="1">
      <alignment vertical="top"/>
    </xf>
    <xf borderId="0" fillId="0" fontId="9" numFmtId="0" xfId="0" applyAlignment="1" applyFont="1">
      <alignment horizontal="right" vertical="top"/>
    </xf>
    <xf borderId="0" fillId="0" fontId="10" numFmtId="0" xfId="0" applyAlignment="1" applyFont="1">
      <alignment vertical="top"/>
    </xf>
    <xf borderId="0" fillId="0" fontId="11" numFmtId="0" xfId="0" applyAlignment="1" applyFont="1">
      <alignment vertical="top"/>
    </xf>
    <xf borderId="0" fillId="0" fontId="9" numFmtId="3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e.io/blog/google-spreadsheet-formulas/" TargetMode="External"/><Relationship Id="rId2" Type="http://schemas.openxmlformats.org/officeDocument/2006/relationships/hyperlink" Target="https://yamm.com/blog/9-useful-formulas-for-google-sheets/" TargetMode="External"/><Relationship Id="rId3" Type="http://schemas.openxmlformats.org/officeDocument/2006/relationships/hyperlink" Target="https://www.loom.com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75"/>
  </cols>
  <sheetData>
    <row r="1">
      <c r="A1" s="1" t="s">
        <v>0</v>
      </c>
    </row>
    <row r="2">
      <c r="A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0.38"/>
  </cols>
  <sheetData>
    <row r="1">
      <c r="A1" s="3" t="s">
        <v>2</v>
      </c>
    </row>
    <row r="2">
      <c r="A2" s="1" t="s">
        <v>3</v>
      </c>
    </row>
    <row r="3">
      <c r="A3" s="1" t="s">
        <v>4</v>
      </c>
    </row>
    <row r="4">
      <c r="A4" s="2" t="s">
        <v>5</v>
      </c>
    </row>
    <row r="6">
      <c r="A6" s="3" t="s">
        <v>6</v>
      </c>
    </row>
    <row r="7">
      <c r="A7" s="1" t="s">
        <v>7</v>
      </c>
    </row>
    <row r="8">
      <c r="A8" s="1" t="s">
        <v>8</v>
      </c>
    </row>
    <row r="9">
      <c r="A9" s="2" t="s">
        <v>9</v>
      </c>
    </row>
    <row r="10">
      <c r="A10" s="2" t="s">
        <v>10</v>
      </c>
    </row>
    <row r="12">
      <c r="A12" s="3" t="s">
        <v>11</v>
      </c>
    </row>
    <row r="13">
      <c r="A13" s="4" t="s">
        <v>12</v>
      </c>
    </row>
    <row r="14">
      <c r="A14" s="4" t="s">
        <v>13</v>
      </c>
    </row>
    <row r="15">
      <c r="A15" s="5" t="s">
        <v>14</v>
      </c>
    </row>
  </sheetData>
  <hyperlinks>
    <hyperlink r:id="rId1" ref="A13"/>
    <hyperlink r:id="rId2" ref="A14"/>
    <hyperlink r:id="rId3" ref="A15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63"/>
    <col customWidth="1" min="2" max="2" width="24.5"/>
    <col customWidth="1" min="6" max="6" width="22.5"/>
    <col customWidth="1" min="7" max="7" width="18.13"/>
    <col customWidth="1" min="11" max="12" width="14.63"/>
  </cols>
  <sheetData>
    <row r="1">
      <c r="A1" s="6" t="s">
        <v>15</v>
      </c>
      <c r="B1" s="6" t="s">
        <v>16</v>
      </c>
      <c r="C1" s="6" t="s">
        <v>17</v>
      </c>
      <c r="D1" s="7" t="s">
        <v>18</v>
      </c>
      <c r="E1" s="7" t="s">
        <v>19</v>
      </c>
      <c r="F1" s="7" t="s">
        <v>20</v>
      </c>
      <c r="G1" s="7" t="str">
        <f>'EMI Data'!F1</f>
        <v>Applicant First Name </v>
      </c>
      <c r="H1" s="7" t="s">
        <v>21</v>
      </c>
      <c r="I1" s="7" t="s">
        <v>22</v>
      </c>
      <c r="J1" s="7" t="s">
        <v>23</v>
      </c>
      <c r="K1" s="8" t="str">
        <f>'EMI Data'!D1</f>
        <v>EMI Amount</v>
      </c>
      <c r="L1" s="7" t="s">
        <v>24</v>
      </c>
    </row>
    <row r="2">
      <c r="A2" s="9" t="s">
        <v>25</v>
      </c>
      <c r="B2" s="9" t="s">
        <v>26</v>
      </c>
      <c r="C2" s="10" t="s">
        <v>27</v>
      </c>
      <c r="D2" s="11" t="str">
        <f>IFERROR(__xludf.DUMMYFUNCTION("SPLIT(C2,"" -"")"),"Genius")</f>
        <v>Genius</v>
      </c>
      <c r="E2" s="11">
        <f>IFERROR(__xludf.DUMMYFUNCTION("""COMPUTED_VALUE"""),36.0)</f>
        <v>36</v>
      </c>
      <c r="F2" s="11" t="str">
        <f>IFERROR(__xludf.DUMMYFUNCTION("JOIN("" "",UNIQUE(FLATTEN(SPLIT(B2, "" ""))))"),"Abhishek Erugadindla")</f>
        <v>Abhishek Erugadindla</v>
      </c>
      <c r="G2" s="7" t="str">
        <f>'EMI Data'!F2</f>
        <v>Abhishek</v>
      </c>
      <c r="H2" s="11" t="str">
        <f>IFERROR(__xludf.DUMMYFUNCTION("INDEX(SPLIT('Student Data'!F2, "" ""),1,1)"),"Abhishek")</f>
        <v>Abhishek</v>
      </c>
      <c r="I2" s="11">
        <f t="array" ref="I2">INDEX('Pricing Table'!$C$2:$C$13, MATCH(LEFT(C2, FIND(" - ", C2) - 1), 'Pricing Table'!$A$2:$A$13, 0))+25000
</f>
        <v>250000</v>
      </c>
      <c r="J2" s="11">
        <f t="shared" ref="J2:J31" si="1">round(DIVIDE(I2-5000,E2),0)</f>
        <v>6806</v>
      </c>
      <c r="K2" s="12" t="str">
        <f>'EMI Data'!D2</f>
        <v>6806</v>
      </c>
      <c r="L2" s="13">
        <f t="shared" ref="L2:L31" si="2">IF(J2=K2, "Correct", K2-J2)
</f>
        <v>0</v>
      </c>
    </row>
    <row r="3">
      <c r="A3" s="9" t="s">
        <v>28</v>
      </c>
      <c r="B3" s="14" t="s">
        <v>29</v>
      </c>
      <c r="C3" s="10" t="s">
        <v>30</v>
      </c>
      <c r="D3" s="11" t="str">
        <f>IFERROR(__xludf.DUMMYFUNCTION("SPLIT(C3,"" -"")"),"Smart")</f>
        <v>Smart</v>
      </c>
      <c r="E3" s="11">
        <f>IFERROR(__xludf.DUMMYFUNCTION("""COMPUTED_VALUE"""),48.0)</f>
        <v>48</v>
      </c>
      <c r="F3" s="11" t="str">
        <f>IFERROR(__xludf.DUMMYFUNCTION("JOIN("" "",UNIQUE(FLATTEN(SPLIT(B3, "" ""))))"),"Anbalagan Neelayathatchi")</f>
        <v>Anbalagan Neelayathatchi</v>
      </c>
      <c r="G3" s="7" t="str">
        <f>'EMI Data'!F3</f>
        <v>Anbalagan</v>
      </c>
      <c r="H3" s="11" t="str">
        <f>IFERROR(__xludf.DUMMYFUNCTION("INDEX(SPLIT('Student Data'!F3, "" ""),1,1)"),"Anbalagan")</f>
        <v>Anbalagan</v>
      </c>
      <c r="I3" s="15">
        <f t="array" ref="I3">INDEX('Pricing Table'!$C$2:$C$13, MATCH(LEFT(C3, FIND(" - ", C3) - 1), 'Pricing Table'!$A$2:$A$13, 0))+25000
</f>
        <v>150000</v>
      </c>
      <c r="J3" s="11">
        <f t="shared" si="1"/>
        <v>3021</v>
      </c>
      <c r="K3" s="12" t="str">
        <f>'EMI Data'!D3</f>
        <v>7500</v>
      </c>
      <c r="L3" s="13">
        <f t="shared" si="2"/>
        <v>4479</v>
      </c>
    </row>
    <row r="4">
      <c r="A4" s="9" t="s">
        <v>31</v>
      </c>
      <c r="B4" s="9" t="s">
        <v>32</v>
      </c>
      <c r="C4" s="10" t="s">
        <v>30</v>
      </c>
      <c r="D4" s="11" t="str">
        <f>IFERROR(__xludf.DUMMYFUNCTION("SPLIT(C4,"" -"")"),"Smart")</f>
        <v>Smart</v>
      </c>
      <c r="E4" s="11">
        <f>IFERROR(__xludf.DUMMYFUNCTION("""COMPUTED_VALUE"""),48.0)</f>
        <v>48</v>
      </c>
      <c r="F4" s="11" t="str">
        <f>IFERROR(__xludf.DUMMYFUNCTION("JOIN("" "",UNIQUE(FLATTEN(SPLIT(B4, "" ""))))"),"Naveen Reddy Kothakapu")</f>
        <v>Naveen Reddy Kothakapu</v>
      </c>
      <c r="G4" s="7" t="str">
        <f>'EMI Data'!F4</f>
        <v>Naveen</v>
      </c>
      <c r="H4" s="11" t="str">
        <f>IFERROR(__xludf.DUMMYFUNCTION("INDEX(SPLIT('Student Data'!F4, "" ""),1,1)"),"Naveen")</f>
        <v>Naveen</v>
      </c>
      <c r="I4" s="15">
        <f t="array" ref="I4">INDEX('Pricing Table'!$C$2:$C$13, MATCH(LEFT(C4, FIND(" - ", C4) - 1), 'Pricing Table'!$A$2:$A$13, 0))+25000
</f>
        <v>150000</v>
      </c>
      <c r="J4" s="11">
        <f t="shared" si="1"/>
        <v>3021</v>
      </c>
      <c r="K4" s="12" t="str">
        <f>'EMI Data'!D4</f>
        <v>12500</v>
      </c>
      <c r="L4" s="13">
        <f t="shared" si="2"/>
        <v>9479</v>
      </c>
    </row>
    <row r="5">
      <c r="A5" s="9" t="s">
        <v>33</v>
      </c>
      <c r="B5" s="9" t="s">
        <v>34</v>
      </c>
      <c r="C5" s="10" t="s">
        <v>30</v>
      </c>
      <c r="D5" s="11" t="str">
        <f>IFERROR(__xludf.DUMMYFUNCTION("SPLIT(C5,"" -"")"),"Smart")</f>
        <v>Smart</v>
      </c>
      <c r="E5" s="11">
        <f>IFERROR(__xludf.DUMMYFUNCTION("""COMPUTED_VALUE"""),48.0)</f>
        <v>48</v>
      </c>
      <c r="F5" s="11" t="str">
        <f>IFERROR(__xludf.DUMMYFUNCTION("JOIN("" "",UNIQUE(FLATTEN(SPLIT(B5, "" ""))))"),"Deepthi Priya Boini")</f>
        <v>Deepthi Priya Boini</v>
      </c>
      <c r="G5" s="7" t="str">
        <f>'EMI Data'!F5</f>
        <v>Deepthi</v>
      </c>
      <c r="H5" s="11" t="str">
        <f>IFERROR(__xludf.DUMMYFUNCTION("INDEX(SPLIT('Student Data'!F5, "" ""),1,1)"),"Deepthi")</f>
        <v>Deepthi</v>
      </c>
      <c r="I5" s="15">
        <f t="array" ref="I5">INDEX('Pricing Table'!$C$2:$C$13, MATCH(LEFT(C5, FIND(" - ", C5) - 1), 'Pricing Table'!$A$2:$A$13, 0))+25000
</f>
        <v>150000</v>
      </c>
      <c r="J5" s="11">
        <f t="shared" si="1"/>
        <v>3021</v>
      </c>
      <c r="K5" s="12" t="str">
        <f>'EMI Data'!D5</f>
        <v>10000</v>
      </c>
      <c r="L5" s="13">
        <f t="shared" si="2"/>
        <v>6979</v>
      </c>
    </row>
    <row r="6">
      <c r="A6" s="9" t="s">
        <v>35</v>
      </c>
      <c r="B6" s="9" t="s">
        <v>36</v>
      </c>
      <c r="C6" s="10" t="s">
        <v>30</v>
      </c>
      <c r="D6" s="11" t="str">
        <f>IFERROR(__xludf.DUMMYFUNCTION("SPLIT(C6,"" -"")"),"Smart")</f>
        <v>Smart</v>
      </c>
      <c r="E6" s="11">
        <f>IFERROR(__xludf.DUMMYFUNCTION("""COMPUTED_VALUE"""),48.0)</f>
        <v>48</v>
      </c>
      <c r="F6" s="11" t="str">
        <f>IFERROR(__xludf.DUMMYFUNCTION("JOIN("" "",UNIQUE(FLATTEN(SPLIT(B6, "" ""))))"),"Parthiban J")</f>
        <v>Parthiban J</v>
      </c>
      <c r="G6" s="7" t="str">
        <f>'EMI Data'!F6</f>
        <v>Parthiban</v>
      </c>
      <c r="H6" s="11" t="str">
        <f>IFERROR(__xludf.DUMMYFUNCTION("INDEX(SPLIT('Student Data'!F6, "" ""),1,1)"),"Parthiban")</f>
        <v>Parthiban</v>
      </c>
      <c r="I6" s="15">
        <f t="array" ref="I6">INDEX('Pricing Table'!$C$2:$C$13, MATCH(LEFT(C6, FIND(" - ", C6) - 1), 'Pricing Table'!$A$2:$A$13, 0))+25000
</f>
        <v>150000</v>
      </c>
      <c r="J6" s="11">
        <f t="shared" si="1"/>
        <v>3021</v>
      </c>
      <c r="K6" s="12" t="str">
        <f>'EMI Data'!D6</f>
        <v>3021</v>
      </c>
      <c r="L6" s="13">
        <f t="shared" si="2"/>
        <v>0</v>
      </c>
    </row>
    <row r="7">
      <c r="A7" s="9" t="s">
        <v>37</v>
      </c>
      <c r="B7" s="9" t="s">
        <v>38</v>
      </c>
      <c r="C7" s="10" t="s">
        <v>27</v>
      </c>
      <c r="D7" s="11" t="str">
        <f>IFERROR(__xludf.DUMMYFUNCTION("SPLIT(C7,"" -"")"),"Genius")</f>
        <v>Genius</v>
      </c>
      <c r="E7" s="11">
        <f>IFERROR(__xludf.DUMMYFUNCTION("""COMPUTED_VALUE"""),36.0)</f>
        <v>36</v>
      </c>
      <c r="F7" s="11" t="str">
        <f>IFERROR(__xludf.DUMMYFUNCTION("JOIN("" "",UNIQUE(FLATTEN(SPLIT(B7, "" ""))))"),"Lokesh Chethula")</f>
        <v>Lokesh Chethula</v>
      </c>
      <c r="G7" s="7" t="str">
        <f>'EMI Data'!F7</f>
        <v>Lokesh</v>
      </c>
      <c r="H7" s="11" t="str">
        <f>IFERROR(__xludf.DUMMYFUNCTION("INDEX(SPLIT('Student Data'!F7, "" ""),1,1)"),"Lokesh")</f>
        <v>Lokesh</v>
      </c>
      <c r="I7" s="11">
        <f t="array" ref="I7">INDEX('Pricing Table'!$C$2:$C$13, MATCH(LEFT(C7, FIND(" - ", C7) - 1), 'Pricing Table'!$A$2:$A$13, 0))+25000
</f>
        <v>250000</v>
      </c>
      <c r="J7" s="11">
        <f t="shared" si="1"/>
        <v>6806</v>
      </c>
      <c r="K7" s="12" t="str">
        <f>'EMI Data'!D7</f>
        <v>2836</v>
      </c>
      <c r="L7" s="13">
        <f t="shared" si="2"/>
        <v>-3970</v>
      </c>
    </row>
    <row r="8">
      <c r="A8" s="9" t="s">
        <v>39</v>
      </c>
      <c r="B8" s="9" t="s">
        <v>40</v>
      </c>
      <c r="C8" s="10" t="s">
        <v>41</v>
      </c>
      <c r="D8" s="11" t="str">
        <f>IFERROR(__xludf.DUMMYFUNCTION("SPLIT(C8,"" -"")"),"Genius")</f>
        <v>Genius</v>
      </c>
      <c r="E8" s="11">
        <f>IFERROR(__xludf.DUMMYFUNCTION("""COMPUTED_VALUE"""),48.0)</f>
        <v>48</v>
      </c>
      <c r="F8" s="11" t="str">
        <f>IFERROR(__xludf.DUMMYFUNCTION("JOIN("" "",UNIQUE(FLATTEN(SPLIT(B8, "" ""))))"),"Chandu Thalluri")</f>
        <v>Chandu Thalluri</v>
      </c>
      <c r="G8" s="7" t="str">
        <f>'EMI Data'!F8</f>
        <v>Chandu</v>
      </c>
      <c r="H8" s="11" t="str">
        <f>IFERROR(__xludf.DUMMYFUNCTION("INDEX(SPLIT('Student Data'!F8, "" ""),1,1)"),"Chandu")</f>
        <v>Chandu</v>
      </c>
      <c r="I8" s="11">
        <f t="array" ref="I8">INDEX('Pricing Table'!$C$2:$C$13, MATCH(LEFT(C8, FIND(" - ", C8) - 1), 'Pricing Table'!$A$2:$A$13, 0))+25000
</f>
        <v>250000</v>
      </c>
      <c r="J8" s="11">
        <f t="shared" si="1"/>
        <v>5104</v>
      </c>
      <c r="K8" s="12" t="str">
        <f>'EMI Data'!D8</f>
        <v>3021</v>
      </c>
      <c r="L8" s="13">
        <f t="shared" si="2"/>
        <v>-2083</v>
      </c>
    </row>
    <row r="9">
      <c r="A9" s="9" t="s">
        <v>42</v>
      </c>
      <c r="B9" s="9" t="s">
        <v>43</v>
      </c>
      <c r="C9" s="10" t="s">
        <v>30</v>
      </c>
      <c r="D9" s="11" t="str">
        <f>IFERROR(__xludf.DUMMYFUNCTION("SPLIT(C9,"" -"")"),"Smart")</f>
        <v>Smart</v>
      </c>
      <c r="E9" s="11">
        <f>IFERROR(__xludf.DUMMYFUNCTION("""COMPUTED_VALUE"""),48.0)</f>
        <v>48</v>
      </c>
      <c r="F9" s="11" t="str">
        <f>IFERROR(__xludf.DUMMYFUNCTION("JOIN("" "",UNIQUE(FLATTEN(SPLIT(B9, "" ""))))"),"Nithya Ganesh M")</f>
        <v>Nithya Ganesh M</v>
      </c>
      <c r="G9" s="7" t="str">
        <f>'EMI Data'!F9</f>
        <v>Nithya</v>
      </c>
      <c r="H9" s="11" t="str">
        <f>IFERROR(__xludf.DUMMYFUNCTION("INDEX(SPLIT('Student Data'!F9, "" ""),1,1)"),"Nithya")</f>
        <v>Nithya</v>
      </c>
      <c r="I9" s="15">
        <f t="array" ref="I9">INDEX('Pricing Table'!$C$2:$C$13, MATCH(LEFT(C9, FIND(" - ", C9) - 1), 'Pricing Table'!$A$2:$A$13, 0))+25000
</f>
        <v>150000</v>
      </c>
      <c r="J9" s="11">
        <f t="shared" si="1"/>
        <v>3021</v>
      </c>
      <c r="K9" s="12" t="str">
        <f>'EMI Data'!D9</f>
        <v>12500</v>
      </c>
      <c r="L9" s="13">
        <f t="shared" si="2"/>
        <v>9479</v>
      </c>
    </row>
    <row r="10">
      <c r="A10" s="9" t="s">
        <v>44</v>
      </c>
      <c r="B10" s="14" t="s">
        <v>45</v>
      </c>
      <c r="C10" s="10" t="s">
        <v>30</v>
      </c>
      <c r="D10" s="11" t="str">
        <f>IFERROR(__xludf.DUMMYFUNCTION("SPLIT(C10,"" -"")"),"Smart")</f>
        <v>Smart</v>
      </c>
      <c r="E10" s="11">
        <f>IFERROR(__xludf.DUMMYFUNCTION("""COMPUTED_VALUE"""),48.0)</f>
        <v>48</v>
      </c>
      <c r="F10" s="11" t="str">
        <f>IFERROR(__xludf.DUMMYFUNCTION("JOIN("" "",UNIQUE(FLATTEN(SPLIT(B10, "" ""))))"),"Sudalai Muthu M")</f>
        <v>Sudalai Muthu M</v>
      </c>
      <c r="G10" s="7" t="str">
        <f>'EMI Data'!F10</f>
        <v>Sudalai</v>
      </c>
      <c r="H10" s="11" t="str">
        <f>IFERROR(__xludf.DUMMYFUNCTION("INDEX(SPLIT('Student Data'!F10, "" ""),1,1)"),"Sudalai")</f>
        <v>Sudalai</v>
      </c>
      <c r="I10" s="15">
        <f t="array" ref="I10">INDEX('Pricing Table'!$C$2:$C$13, MATCH(LEFT(C10, FIND(" - ", C10) - 1), 'Pricing Table'!$A$2:$A$13, 0))+25000
</f>
        <v>150000</v>
      </c>
      <c r="J10" s="11">
        <f t="shared" si="1"/>
        <v>3021</v>
      </c>
      <c r="K10" s="12" t="str">
        <f>'EMI Data'!D10</f>
        <v>3612</v>
      </c>
      <c r="L10" s="13">
        <f t="shared" si="2"/>
        <v>591</v>
      </c>
    </row>
    <row r="11">
      <c r="A11" s="9" t="s">
        <v>46</v>
      </c>
      <c r="B11" s="9" t="s">
        <v>47</v>
      </c>
      <c r="C11" s="10" t="s">
        <v>30</v>
      </c>
      <c r="D11" s="11" t="str">
        <f>IFERROR(__xludf.DUMMYFUNCTION("SPLIT(C11,"" -"")"),"Smart")</f>
        <v>Smart</v>
      </c>
      <c r="E11" s="11">
        <f>IFERROR(__xludf.DUMMYFUNCTION("""COMPUTED_VALUE"""),48.0)</f>
        <v>48</v>
      </c>
      <c r="F11" s="11" t="str">
        <f>IFERROR(__xludf.DUMMYFUNCTION("JOIN("" "",UNIQUE(FLATTEN(SPLIT(B11, "" ""))))"),"Kannadhasan S")</f>
        <v>Kannadhasan S</v>
      </c>
      <c r="G11" s="7" t="str">
        <f>'EMI Data'!F11</f>
        <v>Kannadhasan</v>
      </c>
      <c r="H11" s="11" t="str">
        <f>IFERROR(__xludf.DUMMYFUNCTION("INDEX(SPLIT('Student Data'!F11, "" ""),1,1)"),"Kannadhasan")</f>
        <v>Kannadhasan</v>
      </c>
      <c r="I11" s="15">
        <f t="array" ref="I11">INDEX('Pricing Table'!$C$2:$C$13, MATCH(LEFT(C11, FIND(" - ", C11) - 1), 'Pricing Table'!$A$2:$A$13, 0))+25000
</f>
        <v>150000</v>
      </c>
      <c r="J11" s="11">
        <f t="shared" si="1"/>
        <v>3021</v>
      </c>
      <c r="K11" s="12" t="str">
        <f>'EMI Data'!D11</f>
        <v>12500</v>
      </c>
      <c r="L11" s="13">
        <f t="shared" si="2"/>
        <v>9479</v>
      </c>
    </row>
    <row r="12">
      <c r="A12" s="9" t="s">
        <v>48</v>
      </c>
      <c r="B12" s="9" t="s">
        <v>49</v>
      </c>
      <c r="C12" s="10" t="s">
        <v>41</v>
      </c>
      <c r="D12" s="11" t="str">
        <f>IFERROR(__xludf.DUMMYFUNCTION("SPLIT(C12,"" -"")"),"Genius")</f>
        <v>Genius</v>
      </c>
      <c r="E12" s="11">
        <f>IFERROR(__xludf.DUMMYFUNCTION("""COMPUTED_VALUE"""),48.0)</f>
        <v>48</v>
      </c>
      <c r="F12" s="11" t="str">
        <f>IFERROR(__xludf.DUMMYFUNCTION("JOIN("" "",UNIQUE(FLATTEN(SPLIT(B12, "" ""))))"),"Venkatesh Gyadanaveni")</f>
        <v>Venkatesh Gyadanaveni</v>
      </c>
      <c r="G12" s="7" t="str">
        <f>'EMI Data'!F12</f>
        <v>Venkatesh</v>
      </c>
      <c r="H12" s="11" t="str">
        <f>IFERROR(__xludf.DUMMYFUNCTION("INDEX(SPLIT('Student Data'!F12, "" ""),1,1)"),"Venkatesh")</f>
        <v>Venkatesh</v>
      </c>
      <c r="I12" s="11">
        <f t="array" ref="I12">INDEX('Pricing Table'!$C$2:$C$13, MATCH(LEFT(C12, FIND(" - ", C12) - 1), 'Pricing Table'!$A$2:$A$13, 0))+25000
</f>
        <v>250000</v>
      </c>
      <c r="J12" s="11">
        <f t="shared" si="1"/>
        <v>5104</v>
      </c>
      <c r="K12" s="12" t="str">
        <f>'EMI Data'!D12</f>
        <v>12500</v>
      </c>
      <c r="L12" s="13">
        <f t="shared" si="2"/>
        <v>7396</v>
      </c>
    </row>
    <row r="13">
      <c r="A13" s="9" t="s">
        <v>50</v>
      </c>
      <c r="B13" s="9" t="s">
        <v>51</v>
      </c>
      <c r="C13" s="10" t="s">
        <v>30</v>
      </c>
      <c r="D13" s="11" t="str">
        <f>IFERROR(__xludf.DUMMYFUNCTION("SPLIT(C13,"" -"")"),"Smart")</f>
        <v>Smart</v>
      </c>
      <c r="E13" s="11">
        <f>IFERROR(__xludf.DUMMYFUNCTION("""COMPUTED_VALUE"""),48.0)</f>
        <v>48</v>
      </c>
      <c r="F13" s="11" t="str">
        <f>IFERROR(__xludf.DUMMYFUNCTION("JOIN("" "",UNIQUE(FLATTEN(SPLIT(B13, "" ""))))"),"Sai Ram Naraboina")</f>
        <v>Sai Ram Naraboina</v>
      </c>
      <c r="G13" s="7" t="str">
        <f>'EMI Data'!F13</f>
        <v>Sai</v>
      </c>
      <c r="H13" s="11" t="str">
        <f>IFERROR(__xludf.DUMMYFUNCTION("INDEX(SPLIT('Student Data'!F13, "" ""),1,1)"),"Sai")</f>
        <v>Sai</v>
      </c>
      <c r="I13" s="15">
        <f t="array" ref="I13">INDEX('Pricing Table'!$C$2:$C$13, MATCH(LEFT(C13, FIND(" - ", C13) - 1), 'Pricing Table'!$A$2:$A$13, 0))+25000
</f>
        <v>150000</v>
      </c>
      <c r="J13" s="11">
        <f t="shared" si="1"/>
        <v>3021</v>
      </c>
      <c r="K13" s="12" t="str">
        <f>'EMI Data'!D13</f>
        <v>12500</v>
      </c>
      <c r="L13" s="13">
        <f t="shared" si="2"/>
        <v>9479</v>
      </c>
    </row>
    <row r="14">
      <c r="A14" s="9" t="s">
        <v>52</v>
      </c>
      <c r="B14" s="9" t="s">
        <v>53</v>
      </c>
      <c r="C14" s="10" t="s">
        <v>30</v>
      </c>
      <c r="D14" s="11" t="str">
        <f>IFERROR(__xludf.DUMMYFUNCTION("SPLIT(C14,"" -"")"),"Smart")</f>
        <v>Smart</v>
      </c>
      <c r="E14" s="11">
        <f>IFERROR(__xludf.DUMMYFUNCTION("""COMPUTED_VALUE"""),48.0)</f>
        <v>48</v>
      </c>
      <c r="F14" s="11" t="str">
        <f>IFERROR(__xludf.DUMMYFUNCTION("JOIN("" "",UNIQUE(FLATTEN(SPLIT(B14, "" ""))))"),"Prabhakaran S")</f>
        <v>Prabhakaran S</v>
      </c>
      <c r="G14" s="7" t="str">
        <f>'EMI Data'!F14</f>
        <v>Prabhakaran</v>
      </c>
      <c r="H14" s="11" t="str">
        <f>IFERROR(__xludf.DUMMYFUNCTION("INDEX(SPLIT('Student Data'!F14, "" ""),1,1)"),"Prabhakaran")</f>
        <v>Prabhakaran</v>
      </c>
      <c r="I14" s="15">
        <f t="array" ref="I14">INDEX('Pricing Table'!$C$2:$C$13, MATCH(LEFT(C14, FIND(" - ", C14) - 1), 'Pricing Table'!$A$2:$A$13, 0))+25000
</f>
        <v>150000</v>
      </c>
      <c r="J14" s="11">
        <f t="shared" si="1"/>
        <v>3021</v>
      </c>
      <c r="K14" s="12" t="str">
        <f>'EMI Data'!D14</f>
        <v>12500</v>
      </c>
      <c r="L14" s="13">
        <f t="shared" si="2"/>
        <v>9479</v>
      </c>
    </row>
    <row r="15">
      <c r="A15" s="9" t="s">
        <v>54</v>
      </c>
      <c r="B15" s="9" t="s">
        <v>55</v>
      </c>
      <c r="C15" s="10" t="s">
        <v>56</v>
      </c>
      <c r="D15" s="11" t="str">
        <f>IFERROR(__xludf.DUMMYFUNCTION("SPLIT(C15,"" -"")"),"Smart")</f>
        <v>Smart</v>
      </c>
      <c r="E15" s="11">
        <f>IFERROR(__xludf.DUMMYFUNCTION("""COMPUTED_VALUE"""),36.0)</f>
        <v>36</v>
      </c>
      <c r="F15" s="11" t="str">
        <f>IFERROR(__xludf.DUMMYFUNCTION("JOIN("" "",UNIQUE(FLATTEN(SPLIT(B15, "" ""))))"),"Pavan Mutyala")</f>
        <v>Pavan Mutyala</v>
      </c>
      <c r="G15" s="7" t="str">
        <f>'EMI Data'!F15</f>
        <v>Pavan</v>
      </c>
      <c r="H15" s="11" t="str">
        <f>IFERROR(__xludf.DUMMYFUNCTION("INDEX(SPLIT('Student Data'!F15, "" ""),1,1)"),"Pavan")</f>
        <v>Pavan</v>
      </c>
      <c r="I15" s="15">
        <f t="array" ref="I15">INDEX('Pricing Table'!$C$2:$C$13, MATCH(LEFT(C15, FIND(" - ", C15) - 1), 'Pricing Table'!$A$2:$A$13, 0))+25000
</f>
        <v>150000</v>
      </c>
      <c r="J15" s="11">
        <f t="shared" si="1"/>
        <v>4028</v>
      </c>
      <c r="K15" s="12" t="str">
        <f>'EMI Data'!D15</f>
        <v>20782</v>
      </c>
      <c r="L15" s="13">
        <f t="shared" si="2"/>
        <v>16754</v>
      </c>
    </row>
    <row r="16">
      <c r="A16" s="9" t="s">
        <v>57</v>
      </c>
      <c r="B16" s="9" t="s">
        <v>58</v>
      </c>
      <c r="C16" s="10" t="s">
        <v>56</v>
      </c>
      <c r="D16" s="11" t="str">
        <f>IFERROR(__xludf.DUMMYFUNCTION("SPLIT(C16,"" -"")"),"Smart")</f>
        <v>Smart</v>
      </c>
      <c r="E16" s="11">
        <f>IFERROR(__xludf.DUMMYFUNCTION("""COMPUTED_VALUE"""),36.0)</f>
        <v>36</v>
      </c>
      <c r="F16" s="11" t="str">
        <f>IFERROR(__xludf.DUMMYFUNCTION("JOIN("" "",UNIQUE(FLATTEN(SPLIT(B16, "" ""))))"),"Rakesh Thodeti")</f>
        <v>Rakesh Thodeti</v>
      </c>
      <c r="G16" s="7" t="str">
        <f>'EMI Data'!F16</f>
        <v>Rakesh</v>
      </c>
      <c r="H16" s="11" t="str">
        <f>IFERROR(__xludf.DUMMYFUNCTION("INDEX(SPLIT('Student Data'!F16, "" ""),1,1)"),"Rakesh")</f>
        <v>Rakesh</v>
      </c>
      <c r="I16" s="15">
        <f t="array" ref="I16">INDEX('Pricing Table'!$C$2:$C$13, MATCH(LEFT(C16, FIND(" - ", C16) - 1), 'Pricing Table'!$A$2:$A$13, 0))+25000
</f>
        <v>150000</v>
      </c>
      <c r="J16" s="11">
        <f t="shared" si="1"/>
        <v>4028</v>
      </c>
      <c r="K16" s="12" t="str">
        <f>'EMI Data'!D16</f>
        <v>6805.56</v>
      </c>
      <c r="L16" s="13">
        <f t="shared" si="2"/>
        <v>2777.56</v>
      </c>
    </row>
    <row r="17">
      <c r="A17" s="9" t="s">
        <v>59</v>
      </c>
      <c r="B17" s="9" t="s">
        <v>60</v>
      </c>
      <c r="C17" s="10" t="s">
        <v>27</v>
      </c>
      <c r="D17" s="11" t="str">
        <f>IFERROR(__xludf.DUMMYFUNCTION("SPLIT(C17,"" -"")"),"Genius")</f>
        <v>Genius</v>
      </c>
      <c r="E17" s="11">
        <f>IFERROR(__xludf.DUMMYFUNCTION("""COMPUTED_VALUE"""),36.0)</f>
        <v>36</v>
      </c>
      <c r="F17" s="11" t="str">
        <f>IFERROR(__xludf.DUMMYFUNCTION("JOIN("" "",UNIQUE(FLATTEN(SPLIT(B17, "" ""))))"),"Ravindar Gangula")</f>
        <v>Ravindar Gangula</v>
      </c>
      <c r="G17" s="7" t="str">
        <f>'EMI Data'!F17</f>
        <v>Ravindar</v>
      </c>
      <c r="H17" s="11" t="str">
        <f>IFERROR(__xludf.DUMMYFUNCTION("INDEX(SPLIT('Student Data'!F17, "" ""),1,1)"),"Ravindar")</f>
        <v>Ravindar</v>
      </c>
      <c r="I17" s="11">
        <f t="array" ref="I17">INDEX('Pricing Table'!$C$2:$C$13, MATCH(LEFT(C17, FIND(" - ", C17) - 1), 'Pricing Table'!$A$2:$A$13, 0))+25000
</f>
        <v>250000</v>
      </c>
      <c r="J17" s="11">
        <f t="shared" si="1"/>
        <v>6806</v>
      </c>
      <c r="K17" s="12" t="str">
        <f>'EMI Data'!D17</f>
        <v>6521</v>
      </c>
      <c r="L17" s="13">
        <f t="shared" si="2"/>
        <v>-285</v>
      </c>
    </row>
    <row r="18">
      <c r="A18" s="9" t="s">
        <v>61</v>
      </c>
      <c r="B18" s="9" t="s">
        <v>62</v>
      </c>
      <c r="C18" s="10" t="s">
        <v>63</v>
      </c>
      <c r="D18" s="11" t="str">
        <f>IFERROR(__xludf.DUMMYFUNCTION("SPLIT(C18,"" -"")"),"Genius")</f>
        <v>Genius</v>
      </c>
      <c r="E18" s="11">
        <f>IFERROR(__xludf.DUMMYFUNCTION("""COMPUTED_VALUE"""),48.0)</f>
        <v>48</v>
      </c>
      <c r="F18" s="11" t="str">
        <f>IFERROR(__xludf.DUMMYFUNCTION("JOIN("" "",UNIQUE(FLATTEN(SPLIT(B18, "" ""))))"),"Mohith Nakka")</f>
        <v>Mohith Nakka</v>
      </c>
      <c r="G18" s="7" t="str">
        <f>'EMI Data'!F18</f>
        <v>Mohith</v>
      </c>
      <c r="H18" s="11" t="str">
        <f>IFERROR(__xludf.DUMMYFUNCTION("INDEX(SPLIT('Student Data'!F18, "" ""),1,1)"),"Mohith")</f>
        <v>Mohith</v>
      </c>
      <c r="I18" s="11">
        <f t="array" ref="I18">INDEX('Pricing Table'!$C$2:$C$13, MATCH(LEFT(C18, FIND(" - ", C18) - 1), 'Pricing Table'!$A$2:$A$13, 0))+25000
</f>
        <v>250000</v>
      </c>
      <c r="J18" s="11">
        <f t="shared" si="1"/>
        <v>5104</v>
      </c>
      <c r="K18" s="12" t="str">
        <f>'EMI Data'!D18</f>
        <v>3612</v>
      </c>
      <c r="L18" s="13">
        <f t="shared" si="2"/>
        <v>-1492</v>
      </c>
    </row>
    <row r="19">
      <c r="A19" s="9" t="s">
        <v>64</v>
      </c>
      <c r="B19" s="14" t="s">
        <v>65</v>
      </c>
      <c r="C19" s="10" t="s">
        <v>66</v>
      </c>
      <c r="D19" s="11" t="str">
        <f>IFERROR(__xludf.DUMMYFUNCTION("SPLIT(C19,"" -"")"),"Smart")</f>
        <v>Smart</v>
      </c>
      <c r="E19" s="11">
        <f>IFERROR(__xludf.DUMMYFUNCTION("""COMPUTED_VALUE"""),36.0)</f>
        <v>36</v>
      </c>
      <c r="F19" s="11" t="str">
        <f>IFERROR(__xludf.DUMMYFUNCTION("JOIN("" "",UNIQUE(FLATTEN(SPLIT(B19, "" ""))))"),"Navya Laxmi K")</f>
        <v>Navya Laxmi K</v>
      </c>
      <c r="G19" s="7" t="str">
        <f>'EMI Data'!F19</f>
        <v>Navya</v>
      </c>
      <c r="H19" s="11" t="str">
        <f>IFERROR(__xludf.DUMMYFUNCTION("INDEX(SPLIT('Student Data'!F19, "" ""),1,1)"),"Navya")</f>
        <v>Navya</v>
      </c>
      <c r="I19" s="15">
        <f t="array" ref="I19">INDEX('Pricing Table'!$C$2:$C$13, MATCH(LEFT(C19, FIND(" - ", C19) - 1), 'Pricing Table'!$A$2:$A$13, 0))+25000
</f>
        <v>150000</v>
      </c>
      <c r="J19" s="11">
        <f t="shared" si="1"/>
        <v>4028</v>
      </c>
      <c r="K19" s="12" t="str">
        <f>'EMI Data'!D19</f>
        <v>3750</v>
      </c>
      <c r="L19" s="13">
        <f t="shared" si="2"/>
        <v>-278</v>
      </c>
    </row>
    <row r="20">
      <c r="A20" s="9" t="s">
        <v>67</v>
      </c>
      <c r="B20" s="9" t="s">
        <v>68</v>
      </c>
      <c r="C20" s="10" t="s">
        <v>66</v>
      </c>
      <c r="D20" s="11" t="str">
        <f>IFERROR(__xludf.DUMMYFUNCTION("SPLIT(C20,"" -"")"),"Smart")</f>
        <v>Smart</v>
      </c>
      <c r="E20" s="11">
        <f>IFERROR(__xludf.DUMMYFUNCTION("""COMPUTED_VALUE"""),36.0)</f>
        <v>36</v>
      </c>
      <c r="F20" s="11" t="str">
        <f>IFERROR(__xludf.DUMMYFUNCTION("JOIN("" "",UNIQUE(FLATTEN(SPLIT(B20, "" ""))))"),"Karreti Hari Chandana")</f>
        <v>Karreti Hari Chandana</v>
      </c>
      <c r="G20" s="7" t="str">
        <f>'EMI Data'!F20</f>
        <v>Karreti</v>
      </c>
      <c r="H20" s="11" t="str">
        <f>IFERROR(__xludf.DUMMYFUNCTION("INDEX(SPLIT('Student Data'!F20, "" ""),1,1)"),"Karreti")</f>
        <v>Karreti</v>
      </c>
      <c r="I20" s="15">
        <f t="array" ref="I20">INDEX('Pricing Table'!$C$2:$C$13, MATCH(LEFT(C20, FIND(" - ", C20) - 1), 'Pricing Table'!$A$2:$A$13, 0))+25000
</f>
        <v>150000</v>
      </c>
      <c r="J20" s="11">
        <f t="shared" si="1"/>
        <v>4028</v>
      </c>
      <c r="K20" s="12" t="str">
        <f>'EMI Data'!D20</f>
        <v>3750</v>
      </c>
      <c r="L20" s="13">
        <f t="shared" si="2"/>
        <v>-278</v>
      </c>
    </row>
    <row r="21">
      <c r="A21" s="9" t="s">
        <v>69</v>
      </c>
      <c r="B21" s="9" t="s">
        <v>70</v>
      </c>
      <c r="C21" s="10" t="s">
        <v>30</v>
      </c>
      <c r="D21" s="11" t="str">
        <f>IFERROR(__xludf.DUMMYFUNCTION("SPLIT(C21,"" -"")"),"Smart")</f>
        <v>Smart</v>
      </c>
      <c r="E21" s="11">
        <f>IFERROR(__xludf.DUMMYFUNCTION("""COMPUTED_VALUE"""),48.0)</f>
        <v>48</v>
      </c>
      <c r="F21" s="11" t="str">
        <f>IFERROR(__xludf.DUMMYFUNCTION("JOIN("" "",UNIQUE(FLATTEN(SPLIT(B21, "" ""))))"),"Vignesh Ramamoorthy")</f>
        <v>Vignesh Ramamoorthy</v>
      </c>
      <c r="G21" s="7" t="str">
        <f>'EMI Data'!F21</f>
        <v>Vignesh</v>
      </c>
      <c r="H21" s="11" t="str">
        <f>IFERROR(__xludf.DUMMYFUNCTION("INDEX(SPLIT('Student Data'!F21, "" ""),1,1)"),"Vignesh")</f>
        <v>Vignesh</v>
      </c>
      <c r="I21" s="15">
        <f t="array" ref="I21">INDEX('Pricing Table'!$C$2:$C$13, MATCH(LEFT(C21, FIND(" - ", C21) - 1), 'Pricing Table'!$A$2:$A$13, 0))+25000
</f>
        <v>150000</v>
      </c>
      <c r="J21" s="11">
        <f t="shared" si="1"/>
        <v>3021</v>
      </c>
      <c r="K21" s="12" t="str">
        <f>'EMI Data'!D21</f>
        <v>12500</v>
      </c>
      <c r="L21" s="13">
        <f t="shared" si="2"/>
        <v>9479</v>
      </c>
    </row>
    <row r="22">
      <c r="A22" s="9" t="s">
        <v>71</v>
      </c>
      <c r="B22" s="9" t="s">
        <v>72</v>
      </c>
      <c r="C22" s="10" t="s">
        <v>30</v>
      </c>
      <c r="D22" s="11" t="str">
        <f>IFERROR(__xludf.DUMMYFUNCTION("SPLIT(C22,"" -"")"),"Smart")</f>
        <v>Smart</v>
      </c>
      <c r="E22" s="11">
        <f>IFERROR(__xludf.DUMMYFUNCTION("""COMPUTED_VALUE"""),48.0)</f>
        <v>48</v>
      </c>
      <c r="F22" s="11" t="str">
        <f>IFERROR(__xludf.DUMMYFUNCTION("JOIN("" "",UNIQUE(FLATTEN(SPLIT(B22, "" ""))))"),"Rinki Chauhan")</f>
        <v>Rinki Chauhan</v>
      </c>
      <c r="G22" s="7" t="str">
        <f>'EMI Data'!F22</f>
        <v>Rinki</v>
      </c>
      <c r="H22" s="11" t="str">
        <f>IFERROR(__xludf.DUMMYFUNCTION("INDEX(SPLIT('Student Data'!F22, "" ""),1,1)"),"Rinki")</f>
        <v>Rinki</v>
      </c>
      <c r="I22" s="15">
        <f t="array" ref="I22">INDEX('Pricing Table'!$C$2:$C$13, MATCH(LEFT(C22, FIND(" - ", C22) - 1), 'Pricing Table'!$A$2:$A$13, 0))+25000
</f>
        <v>150000</v>
      </c>
      <c r="J22" s="11">
        <f t="shared" si="1"/>
        <v>3021</v>
      </c>
      <c r="K22" s="12" t="str">
        <f>'EMI Data'!D22</f>
        <v>12500</v>
      </c>
      <c r="L22" s="13">
        <f t="shared" si="2"/>
        <v>9479</v>
      </c>
    </row>
    <row r="23">
      <c r="A23" s="9" t="s">
        <v>73</v>
      </c>
      <c r="B23" s="14" t="s">
        <v>74</v>
      </c>
      <c r="C23" s="10" t="s">
        <v>63</v>
      </c>
      <c r="D23" s="11" t="str">
        <f>IFERROR(__xludf.DUMMYFUNCTION("SPLIT(C23,"" -"")"),"Genius")</f>
        <v>Genius</v>
      </c>
      <c r="E23" s="11">
        <f>IFERROR(__xludf.DUMMYFUNCTION("""COMPUTED_VALUE"""),48.0)</f>
        <v>48</v>
      </c>
      <c r="F23" s="11" t="str">
        <f>IFERROR(__xludf.DUMMYFUNCTION("JOIN("" "",UNIQUE(FLATTEN(SPLIT(B23, "" ""))))"),"Tony S")</f>
        <v>Tony S</v>
      </c>
      <c r="G23" s="7" t="str">
        <f>'EMI Data'!F23</f>
        <v>Tony</v>
      </c>
      <c r="H23" s="11" t="str">
        <f>IFERROR(__xludf.DUMMYFUNCTION("INDEX(SPLIT('Student Data'!F23, "" ""),1,1)"),"Tony")</f>
        <v>Tony</v>
      </c>
      <c r="I23" s="11">
        <f t="array" ref="I23">INDEX('Pricing Table'!$C$2:$C$13, MATCH(LEFT(C23, FIND(" - ", C23) - 1), 'Pricing Table'!$A$2:$A$13, 0))+25000
</f>
        <v>250000</v>
      </c>
      <c r="J23" s="11">
        <f t="shared" si="1"/>
        <v>5104</v>
      </c>
      <c r="K23" s="12" t="str">
        <f>'EMI Data'!D23</f>
        <v/>
      </c>
      <c r="L23" s="13">
        <f t="shared" si="2"/>
        <v>-5104</v>
      </c>
    </row>
    <row r="24">
      <c r="A24" s="9" t="s">
        <v>75</v>
      </c>
      <c r="B24" s="9" t="s">
        <v>76</v>
      </c>
      <c r="C24" s="10" t="s">
        <v>30</v>
      </c>
      <c r="D24" s="11" t="str">
        <f>IFERROR(__xludf.DUMMYFUNCTION("SPLIT(C24,"" -"")"),"Smart")</f>
        <v>Smart</v>
      </c>
      <c r="E24" s="11">
        <f>IFERROR(__xludf.DUMMYFUNCTION("""COMPUTED_VALUE"""),48.0)</f>
        <v>48</v>
      </c>
      <c r="F24" s="11" t="str">
        <f>IFERROR(__xludf.DUMMYFUNCTION("JOIN("" "",UNIQUE(FLATTEN(SPLIT(B24, "" ""))))"),"Mahesh P")</f>
        <v>Mahesh P</v>
      </c>
      <c r="G24" s="7" t="str">
        <f>'EMI Data'!F24</f>
        <v>Mahesh</v>
      </c>
      <c r="H24" s="11" t="str">
        <f>IFERROR(__xludf.DUMMYFUNCTION("INDEX(SPLIT('Student Data'!F24, "" ""),1,1)"),"Mahesh")</f>
        <v>Mahesh</v>
      </c>
      <c r="I24" s="15">
        <f t="array" ref="I24">INDEX('Pricing Table'!$C$2:$C$13, MATCH(LEFT(C24, FIND(" - ", C24) - 1), 'Pricing Table'!$A$2:$A$13, 0))+25000
</f>
        <v>150000</v>
      </c>
      <c r="J24" s="11">
        <f t="shared" si="1"/>
        <v>3021</v>
      </c>
      <c r="K24" s="12" t="str">
        <f>'EMI Data'!D24</f>
        <v>10000</v>
      </c>
      <c r="L24" s="13">
        <f t="shared" si="2"/>
        <v>6979</v>
      </c>
    </row>
    <row r="25">
      <c r="A25" s="9" t="s">
        <v>77</v>
      </c>
      <c r="B25" s="14" t="s">
        <v>78</v>
      </c>
      <c r="C25" s="10" t="s">
        <v>79</v>
      </c>
      <c r="D25" s="11" t="str">
        <f>IFERROR(__xludf.DUMMYFUNCTION("SPLIT(C25,"" -"")"),"Genius")</f>
        <v>Genius</v>
      </c>
      <c r="E25" s="11">
        <f>IFERROR(__xludf.DUMMYFUNCTION("""COMPUTED_VALUE"""),36.0)</f>
        <v>36</v>
      </c>
      <c r="F25" s="11" t="str">
        <f>IFERROR(__xludf.DUMMYFUNCTION("JOIN("" "",UNIQUE(FLATTEN(SPLIT(B25, "" ""))))"),"Bala G")</f>
        <v>Bala G</v>
      </c>
      <c r="G25" s="7" t="str">
        <f>'EMI Data'!F25</f>
        <v>Bala</v>
      </c>
      <c r="H25" s="11" t="str">
        <f>IFERROR(__xludf.DUMMYFUNCTION("INDEX(SPLIT('Student Data'!F25, "" ""),1,1)"),"Bala")</f>
        <v>Bala</v>
      </c>
      <c r="I25" s="11">
        <f t="array" ref="I25">INDEX('Pricing Table'!$C$2:$C$13, MATCH(LEFT(C25, FIND(" - ", C25) - 1), 'Pricing Table'!$A$2:$A$13, 0))+25000
</f>
        <v>250000</v>
      </c>
      <c r="J25" s="11">
        <f t="shared" si="1"/>
        <v>6806</v>
      </c>
      <c r="K25" s="12" t="str">
        <f>'EMI Data'!D25</f>
        <v>7292</v>
      </c>
      <c r="L25" s="13">
        <f t="shared" si="2"/>
        <v>486</v>
      </c>
    </row>
    <row r="26">
      <c r="A26" s="9" t="s">
        <v>80</v>
      </c>
      <c r="B26" s="14" t="s">
        <v>81</v>
      </c>
      <c r="C26" s="10" t="s">
        <v>82</v>
      </c>
      <c r="D26" s="11" t="str">
        <f>IFERROR(__xludf.DUMMYFUNCTION("SPLIT(C26,"" -"")"),"Smart")</f>
        <v>Smart</v>
      </c>
      <c r="E26" s="11">
        <f>IFERROR(__xludf.DUMMYFUNCTION("""COMPUTED_VALUE"""),48.0)</f>
        <v>48</v>
      </c>
      <c r="F26" s="11" t="str">
        <f>IFERROR(__xludf.DUMMYFUNCTION("JOIN("" "",UNIQUE(FLATTEN(SPLIT(B26, "" ""))))"),"Suma S")</f>
        <v>Suma S</v>
      </c>
      <c r="G26" s="7" t="str">
        <f>'EMI Data'!F26</f>
        <v>Suma</v>
      </c>
      <c r="H26" s="11" t="str">
        <f>IFERROR(__xludf.DUMMYFUNCTION("INDEX(SPLIT('Student Data'!F26, "" ""),1,1)"),"Suma")</f>
        <v>Suma</v>
      </c>
      <c r="I26" s="15">
        <f t="array" ref="I26">INDEX('Pricing Table'!$C$2:$C$13, MATCH(LEFT(C26, FIND(" - ", C26) - 1), 'Pricing Table'!$A$2:$A$13, 0))+25000
</f>
        <v>150000</v>
      </c>
      <c r="J26" s="11">
        <f t="shared" si="1"/>
        <v>3021</v>
      </c>
      <c r="K26" s="12" t="str">
        <f>'EMI Data'!D26</f>
        <v>3750</v>
      </c>
      <c r="L26" s="13">
        <f t="shared" si="2"/>
        <v>729</v>
      </c>
    </row>
    <row r="27">
      <c r="A27" s="9" t="s">
        <v>83</v>
      </c>
      <c r="B27" s="9" t="s">
        <v>84</v>
      </c>
      <c r="C27" s="10" t="s">
        <v>63</v>
      </c>
      <c r="D27" s="11" t="str">
        <f>IFERROR(__xludf.DUMMYFUNCTION("SPLIT(C27,"" -"")"),"Genius")</f>
        <v>Genius</v>
      </c>
      <c r="E27" s="11">
        <f>IFERROR(__xludf.DUMMYFUNCTION("""COMPUTED_VALUE"""),48.0)</f>
        <v>48</v>
      </c>
      <c r="F27" s="11" t="str">
        <f>IFERROR(__xludf.DUMMYFUNCTION("JOIN("" "",UNIQUE(FLATTEN(SPLIT(B27, "" ""))))"),"Bharathi Surapureddy")</f>
        <v>Bharathi Surapureddy</v>
      </c>
      <c r="G27" s="7" t="str">
        <f>'EMI Data'!F27</f>
        <v>Bharathi</v>
      </c>
      <c r="H27" s="11" t="str">
        <f>IFERROR(__xludf.DUMMYFUNCTION("INDEX(SPLIT('Student Data'!F27, "" ""),1,1)"),"Bharathi")</f>
        <v>Bharathi</v>
      </c>
      <c r="I27" s="11">
        <f t="array" ref="I27">INDEX('Pricing Table'!$C$2:$C$13, MATCH(LEFT(C27, FIND(" - ", C27) - 1), 'Pricing Table'!$A$2:$A$13, 0))+25000
</f>
        <v>250000</v>
      </c>
      <c r="J27" s="11">
        <f t="shared" si="1"/>
        <v>5104</v>
      </c>
      <c r="K27" s="12" t="str">
        <f>'EMI Data'!D27</f>
        <v>3021</v>
      </c>
      <c r="L27" s="13">
        <f t="shared" si="2"/>
        <v>-2083</v>
      </c>
    </row>
    <row r="28">
      <c r="A28" s="9" t="s">
        <v>85</v>
      </c>
      <c r="B28" s="9" t="s">
        <v>86</v>
      </c>
      <c r="C28" s="10" t="s">
        <v>30</v>
      </c>
      <c r="D28" s="11" t="str">
        <f>IFERROR(__xludf.DUMMYFUNCTION("SPLIT(C28,"" -"")"),"Smart")</f>
        <v>Smart</v>
      </c>
      <c r="E28" s="11">
        <f>IFERROR(__xludf.DUMMYFUNCTION("""COMPUTED_VALUE"""),48.0)</f>
        <v>48</v>
      </c>
      <c r="F28" s="11" t="str">
        <f>IFERROR(__xludf.DUMMYFUNCTION("JOIN("" "",UNIQUE(FLATTEN(SPLIT(B28, "" ""))))"),"Suryakanth Shinde")</f>
        <v>Suryakanth Shinde</v>
      </c>
      <c r="G28" s="7" t="str">
        <f>'EMI Data'!F28</f>
        <v>Suryakanth</v>
      </c>
      <c r="H28" s="11" t="str">
        <f>IFERROR(__xludf.DUMMYFUNCTION("INDEX(SPLIT('Student Data'!F28, "" ""),1,1)"),"Suryakanth")</f>
        <v>Suryakanth</v>
      </c>
      <c r="I28" s="15">
        <f t="array" ref="I28">INDEX('Pricing Table'!$C$2:$C$13, MATCH(LEFT(C28, FIND(" - ", C28) - 1), 'Pricing Table'!$A$2:$A$13, 0))+25000
</f>
        <v>150000</v>
      </c>
      <c r="J28" s="11">
        <f t="shared" si="1"/>
        <v>3021</v>
      </c>
      <c r="K28" s="12" t="str">
        <f>'EMI Data'!D28</f>
        <v>12500</v>
      </c>
      <c r="L28" s="13">
        <f t="shared" si="2"/>
        <v>9479</v>
      </c>
    </row>
    <row r="29">
      <c r="A29" s="9" t="s">
        <v>87</v>
      </c>
      <c r="B29" s="9" t="s">
        <v>88</v>
      </c>
      <c r="C29" s="10" t="s">
        <v>41</v>
      </c>
      <c r="D29" s="11" t="str">
        <f>IFERROR(__xludf.DUMMYFUNCTION("SPLIT(C29,"" -"")"),"Genius")</f>
        <v>Genius</v>
      </c>
      <c r="E29" s="11">
        <f>IFERROR(__xludf.DUMMYFUNCTION("""COMPUTED_VALUE"""),48.0)</f>
        <v>48</v>
      </c>
      <c r="F29" s="11" t="str">
        <f>IFERROR(__xludf.DUMMYFUNCTION("JOIN("" "",UNIQUE(FLATTEN(SPLIT(B29, "" ""))))"),"Santhana Mahalingam Santa")</f>
        <v>Santhana Mahalingam Santa</v>
      </c>
      <c r="G29" s="7" t="str">
        <f>'EMI Data'!F29</f>
        <v>Santhana</v>
      </c>
      <c r="H29" s="11" t="str">
        <f>IFERROR(__xludf.DUMMYFUNCTION("INDEX(SPLIT('Student Data'!F29, "" ""),1,1)"),"Santhana")</f>
        <v>Santhana</v>
      </c>
      <c r="I29" s="11">
        <f t="array" ref="I29">INDEX('Pricing Table'!$C$2:$C$13, MATCH(LEFT(C29, FIND(" - ", C29) - 1), 'Pricing Table'!$A$2:$A$13, 0))+25000
</f>
        <v>250000</v>
      </c>
      <c r="J29" s="11">
        <f t="shared" si="1"/>
        <v>5104</v>
      </c>
      <c r="K29" s="12" t="str">
        <f>'EMI Data'!D29</f>
        <v>12500</v>
      </c>
      <c r="L29" s="13">
        <f t="shared" si="2"/>
        <v>7396</v>
      </c>
    </row>
    <row r="30">
      <c r="A30" s="9" t="s">
        <v>89</v>
      </c>
      <c r="B30" s="9" t="s">
        <v>90</v>
      </c>
      <c r="C30" s="10" t="s">
        <v>30</v>
      </c>
      <c r="D30" s="11" t="str">
        <f>IFERROR(__xludf.DUMMYFUNCTION("SPLIT(C30,"" -"")"),"Smart")</f>
        <v>Smart</v>
      </c>
      <c r="E30" s="11">
        <f>IFERROR(__xludf.DUMMYFUNCTION("""COMPUTED_VALUE"""),48.0)</f>
        <v>48</v>
      </c>
      <c r="F30" s="11" t="str">
        <f>IFERROR(__xludf.DUMMYFUNCTION("JOIN("" "",UNIQUE(FLATTEN(SPLIT(B30, "" ""))))"),"Praveen .M")</f>
        <v>Praveen .M</v>
      </c>
      <c r="G30" s="7" t="str">
        <f>'EMI Data'!F30</f>
        <v>Praveen</v>
      </c>
      <c r="H30" s="11" t="str">
        <f>IFERROR(__xludf.DUMMYFUNCTION("INDEX(SPLIT('Student Data'!F30, "" ""),1,1)"),"Praveen")</f>
        <v>Praveen</v>
      </c>
      <c r="I30" s="15">
        <f t="array" ref="I30">INDEX('Pricing Table'!$C$2:$C$13, MATCH(LEFT(C30, FIND(" - ", C30) - 1), 'Pricing Table'!$A$2:$A$13, 0))+25000
</f>
        <v>150000</v>
      </c>
      <c r="J30" s="11">
        <f t="shared" si="1"/>
        <v>3021</v>
      </c>
      <c r="K30" s="12" t="str">
        <f>'EMI Data'!D30</f>
        <v>10000</v>
      </c>
      <c r="L30" s="13">
        <f t="shared" si="2"/>
        <v>6979</v>
      </c>
    </row>
    <row r="31">
      <c r="A31" s="9" t="s">
        <v>91</v>
      </c>
      <c r="B31" s="9" t="s">
        <v>92</v>
      </c>
      <c r="C31" s="10" t="s">
        <v>41</v>
      </c>
      <c r="D31" s="11" t="str">
        <f>IFERROR(__xludf.DUMMYFUNCTION("SPLIT(C31,"" -"")"),"Genius")</f>
        <v>Genius</v>
      </c>
      <c r="E31" s="11">
        <f>IFERROR(__xludf.DUMMYFUNCTION("""COMPUTED_VALUE"""),48.0)</f>
        <v>48</v>
      </c>
      <c r="F31" s="11" t="str">
        <f>IFERROR(__xludf.DUMMYFUNCTION("JOIN("" "",UNIQUE(FLATTEN(SPLIT(B31, "" ""))))"),"Pravallika Pacha")</f>
        <v>Pravallika Pacha</v>
      </c>
      <c r="G31" s="7" t="str">
        <f>'EMI Data'!F31</f>
        <v>Pravallika</v>
      </c>
      <c r="H31" s="11" t="str">
        <f>IFERROR(__xludf.DUMMYFUNCTION("INDEX(SPLIT('Student Data'!F31, "" ""),1,1)"),"Pravallika")</f>
        <v>Pravallika</v>
      </c>
      <c r="I31" s="11">
        <f t="array" ref="I31">INDEX('Pricing Table'!$C$2:$C$13, MATCH(LEFT(C31, FIND(" - ", C31) - 1), 'Pricing Table'!$A$2:$A$13, 0))+25000
</f>
        <v>250000</v>
      </c>
      <c r="J31" s="11">
        <f t="shared" si="1"/>
        <v>5104</v>
      </c>
      <c r="K31" s="12" t="str">
        <f>'EMI Data'!D31</f>
        <v>5417</v>
      </c>
      <c r="L31" s="13">
        <f t="shared" si="2"/>
        <v>313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</cols>
  <sheetData>
    <row r="1">
      <c r="A1" s="16" t="s">
        <v>93</v>
      </c>
      <c r="B1" s="6" t="s">
        <v>94</v>
      </c>
    </row>
    <row r="2">
      <c r="A2" s="14" t="s">
        <v>95</v>
      </c>
      <c r="B2" s="17" t="s">
        <v>96</v>
      </c>
    </row>
    <row r="3">
      <c r="A3" s="14" t="s">
        <v>97</v>
      </c>
      <c r="B3" s="10" t="s">
        <v>98</v>
      </c>
    </row>
    <row r="4">
      <c r="A4" s="14" t="s">
        <v>99</v>
      </c>
      <c r="B4" s="10" t="s">
        <v>100</v>
      </c>
    </row>
    <row r="5">
      <c r="A5" s="14" t="s">
        <v>101</v>
      </c>
      <c r="B5" s="10" t="s">
        <v>102</v>
      </c>
    </row>
    <row r="6">
      <c r="A6" s="14" t="s">
        <v>103</v>
      </c>
      <c r="B6" s="17" t="s">
        <v>96</v>
      </c>
    </row>
    <row r="7">
      <c r="A7" s="14" t="s">
        <v>104</v>
      </c>
      <c r="B7" s="17" t="s">
        <v>96</v>
      </c>
    </row>
    <row r="8">
      <c r="A8" s="14" t="s">
        <v>105</v>
      </c>
      <c r="B8" s="17" t="s">
        <v>96</v>
      </c>
    </row>
    <row r="9">
      <c r="A9" s="14" t="s">
        <v>106</v>
      </c>
      <c r="B9" s="17" t="s">
        <v>107</v>
      </c>
    </row>
    <row r="10">
      <c r="A10" s="14" t="s">
        <v>108</v>
      </c>
      <c r="B10" s="17" t="s">
        <v>96</v>
      </c>
    </row>
    <row r="11">
      <c r="A11" s="14" t="s">
        <v>109</v>
      </c>
      <c r="B11" s="17" t="s">
        <v>96</v>
      </c>
    </row>
    <row r="12">
      <c r="A12" s="14" t="s">
        <v>110</v>
      </c>
      <c r="B12" s="17" t="s">
        <v>96</v>
      </c>
    </row>
    <row r="13">
      <c r="A13" s="14" t="s">
        <v>111</v>
      </c>
      <c r="B13" s="17" t="s">
        <v>96</v>
      </c>
    </row>
    <row r="14">
      <c r="A14" s="14" t="s">
        <v>112</v>
      </c>
      <c r="B14" s="17" t="s">
        <v>113</v>
      </c>
    </row>
    <row r="15">
      <c r="A15" s="14" t="s">
        <v>114</v>
      </c>
      <c r="B15" s="17" t="s">
        <v>96</v>
      </c>
    </row>
    <row r="16">
      <c r="A16" s="14" t="s">
        <v>115</v>
      </c>
      <c r="B16" s="17" t="s">
        <v>96</v>
      </c>
    </row>
    <row r="17">
      <c r="A17" s="14" t="s">
        <v>116</v>
      </c>
      <c r="B17" s="17" t="s">
        <v>117</v>
      </c>
    </row>
    <row r="18">
      <c r="A18" s="14" t="s">
        <v>118</v>
      </c>
      <c r="B18" s="17" t="s">
        <v>96</v>
      </c>
    </row>
    <row r="19">
      <c r="A19" s="14" t="s">
        <v>119</v>
      </c>
      <c r="B19" s="17" t="s">
        <v>96</v>
      </c>
    </row>
    <row r="20">
      <c r="A20" s="14" t="s">
        <v>120</v>
      </c>
      <c r="B20" s="17" t="s">
        <v>117</v>
      </c>
    </row>
    <row r="21">
      <c r="A21" s="14" t="s">
        <v>121</v>
      </c>
      <c r="B21" s="17" t="s">
        <v>96</v>
      </c>
    </row>
    <row r="22">
      <c r="A22" s="14" t="s">
        <v>122</v>
      </c>
      <c r="B22" s="17" t="s">
        <v>117</v>
      </c>
    </row>
    <row r="23">
      <c r="A23" s="14" t="s">
        <v>123</v>
      </c>
      <c r="B23" s="10" t="s">
        <v>124</v>
      </c>
    </row>
    <row r="24">
      <c r="A24" s="14" t="s">
        <v>125</v>
      </c>
      <c r="B24" s="17" t="s">
        <v>126</v>
      </c>
    </row>
    <row r="25">
      <c r="A25" s="14" t="s">
        <v>127</v>
      </c>
      <c r="B25" s="17" t="s">
        <v>107</v>
      </c>
    </row>
    <row r="26">
      <c r="A26" s="14" t="s">
        <v>128</v>
      </c>
      <c r="B26" s="17" t="s">
        <v>129</v>
      </c>
    </row>
    <row r="27">
      <c r="A27" s="14" t="s">
        <v>130</v>
      </c>
      <c r="B27" s="17" t="s">
        <v>117</v>
      </c>
    </row>
    <row r="28">
      <c r="A28" s="14" t="s">
        <v>131</v>
      </c>
      <c r="B28" s="17" t="s">
        <v>126</v>
      </c>
    </row>
    <row r="29">
      <c r="A29" s="14" t="s">
        <v>132</v>
      </c>
      <c r="B29" s="17" t="s">
        <v>126</v>
      </c>
    </row>
    <row r="30">
      <c r="A30" s="14" t="s">
        <v>133</v>
      </c>
      <c r="B30" s="17" t="s">
        <v>96</v>
      </c>
    </row>
    <row r="31">
      <c r="A31" s="14" t="s">
        <v>134</v>
      </c>
      <c r="B31" s="17" t="s">
        <v>96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75"/>
    <col customWidth="1" min="5" max="5" width="22.5"/>
    <col customWidth="1" min="6" max="6" width="18.13"/>
  </cols>
  <sheetData>
    <row r="1">
      <c r="A1" s="16" t="s">
        <v>15</v>
      </c>
      <c r="B1" s="16" t="s">
        <v>135</v>
      </c>
      <c r="C1" s="18" t="s">
        <v>136</v>
      </c>
      <c r="D1" s="19" t="s">
        <v>137</v>
      </c>
      <c r="E1" s="7" t="s">
        <v>20</v>
      </c>
      <c r="F1" s="7" t="s">
        <v>138</v>
      </c>
    </row>
    <row r="2">
      <c r="A2" s="9" t="s">
        <v>25</v>
      </c>
      <c r="B2" s="9" t="s">
        <v>26</v>
      </c>
      <c r="C2" s="20" t="s">
        <v>139</v>
      </c>
      <c r="D2" s="20" t="s">
        <v>140</v>
      </c>
      <c r="E2" s="11" t="str">
        <f>IFERROR(__xludf.DUMMYFUNCTION("JOIN("" "", UNIQUE(FLATTEN(SPLIT(B2, "" ""))))
"),"Abhishek Erugadindla")</f>
        <v>Abhishek Erugadindla</v>
      </c>
      <c r="F2" s="11" t="str">
        <f>IFERROR(__xludf.DUMMYFUNCTION("INDEX(SPLIT('EMI Data'!E2, "" ""), 1, 1)
"),"Abhishek")</f>
        <v>Abhishek</v>
      </c>
    </row>
    <row r="3">
      <c r="A3" s="9" t="s">
        <v>28</v>
      </c>
      <c r="B3" s="14" t="s">
        <v>29</v>
      </c>
      <c r="C3" s="20" t="s">
        <v>139</v>
      </c>
      <c r="D3" s="20" t="s">
        <v>141</v>
      </c>
      <c r="E3" s="11" t="str">
        <f>IFERROR(__xludf.DUMMYFUNCTION("JOIN("" "", UNIQUE(FLATTEN(SPLIT(B3, "" ""))))
"),"Anbalagan Neelayathatchi")</f>
        <v>Anbalagan Neelayathatchi</v>
      </c>
      <c r="F3" s="11" t="str">
        <f>IFERROR(__xludf.DUMMYFUNCTION("INDEX(SPLIT('EMI Data'!E3, "" ""), 1, 1)
"),"Anbalagan")</f>
        <v>Anbalagan</v>
      </c>
    </row>
    <row r="4">
      <c r="A4" s="9" t="s">
        <v>31</v>
      </c>
      <c r="B4" s="9" t="s">
        <v>32</v>
      </c>
      <c r="C4" s="20" t="s">
        <v>139</v>
      </c>
      <c r="D4" s="20" t="s">
        <v>142</v>
      </c>
      <c r="E4" s="11" t="str">
        <f>IFERROR(__xludf.DUMMYFUNCTION("JOIN("" "", UNIQUE(FLATTEN(SPLIT(B4, "" ""))))
"),"Naveen Reddy Kothakapu")</f>
        <v>Naveen Reddy Kothakapu</v>
      </c>
      <c r="F4" s="11" t="str">
        <f>IFERROR(__xludf.DUMMYFUNCTION("INDEX(SPLIT('EMI Data'!E4, "" ""), 1, 1)
"),"Naveen")</f>
        <v>Naveen</v>
      </c>
    </row>
    <row r="5">
      <c r="A5" s="9" t="s">
        <v>33</v>
      </c>
      <c r="B5" s="9" t="s">
        <v>34</v>
      </c>
      <c r="C5" s="20" t="s">
        <v>139</v>
      </c>
      <c r="D5" s="20" t="s">
        <v>143</v>
      </c>
      <c r="E5" s="11" t="str">
        <f>IFERROR(__xludf.DUMMYFUNCTION("JOIN("" "", UNIQUE(FLATTEN(SPLIT(B5, "" ""))))
"),"Deepthi Priya Boini")</f>
        <v>Deepthi Priya Boini</v>
      </c>
      <c r="F5" s="11" t="str">
        <f>IFERROR(__xludf.DUMMYFUNCTION("INDEX(SPLIT('EMI Data'!E5, "" ""), 1, 1)
"),"Deepthi")</f>
        <v>Deepthi</v>
      </c>
    </row>
    <row r="6">
      <c r="A6" s="9" t="s">
        <v>35</v>
      </c>
      <c r="B6" s="9" t="s">
        <v>36</v>
      </c>
      <c r="C6" s="20" t="s">
        <v>139</v>
      </c>
      <c r="D6" s="20" t="s">
        <v>144</v>
      </c>
      <c r="E6" s="11" t="str">
        <f>IFERROR(__xludf.DUMMYFUNCTION("JOIN("" "", UNIQUE(FLATTEN(SPLIT(B6, "" ""))))
"),"Parthiban J")</f>
        <v>Parthiban J</v>
      </c>
      <c r="F6" s="11" t="str">
        <f>IFERROR(__xludf.DUMMYFUNCTION("INDEX(SPLIT('EMI Data'!E6, "" ""), 1, 1)
"),"Parthiban")</f>
        <v>Parthiban</v>
      </c>
    </row>
    <row r="7">
      <c r="A7" s="9" t="s">
        <v>37</v>
      </c>
      <c r="B7" s="9" t="s">
        <v>38</v>
      </c>
      <c r="C7" s="20" t="s">
        <v>139</v>
      </c>
      <c r="D7" s="20" t="s">
        <v>145</v>
      </c>
      <c r="E7" s="11" t="str">
        <f>IFERROR(__xludf.DUMMYFUNCTION("JOIN("" "", UNIQUE(FLATTEN(SPLIT(B7, "" ""))))
"),"Lokesh Chethula")</f>
        <v>Lokesh Chethula</v>
      </c>
      <c r="F7" s="11" t="str">
        <f>IFERROR(__xludf.DUMMYFUNCTION("INDEX(SPLIT('EMI Data'!E7, "" ""), 1, 1)
"),"Lokesh")</f>
        <v>Lokesh</v>
      </c>
    </row>
    <row r="8">
      <c r="A8" s="9" t="s">
        <v>39</v>
      </c>
      <c r="B8" s="9" t="s">
        <v>40</v>
      </c>
      <c r="C8" s="20" t="s">
        <v>139</v>
      </c>
      <c r="D8" s="20" t="s">
        <v>144</v>
      </c>
      <c r="E8" s="11" t="str">
        <f>IFERROR(__xludf.DUMMYFUNCTION("JOIN("" "", UNIQUE(FLATTEN(SPLIT(B8, "" ""))))
"),"Chandu Thalluri")</f>
        <v>Chandu Thalluri</v>
      </c>
      <c r="F8" s="11" t="str">
        <f>IFERROR(__xludf.DUMMYFUNCTION("INDEX(SPLIT('EMI Data'!E8, "" ""), 1, 1)
"),"Chandu")</f>
        <v>Chandu</v>
      </c>
    </row>
    <row r="9">
      <c r="A9" s="9" t="s">
        <v>42</v>
      </c>
      <c r="B9" s="9" t="s">
        <v>43</v>
      </c>
      <c r="C9" s="20" t="s">
        <v>139</v>
      </c>
      <c r="D9" s="20" t="s">
        <v>142</v>
      </c>
      <c r="E9" s="11" t="str">
        <f>IFERROR(__xludf.DUMMYFUNCTION("JOIN("" "", UNIQUE(FLATTEN(SPLIT(B9, "" ""))))
"),"Nithya Ganesh M")</f>
        <v>Nithya Ganesh M</v>
      </c>
      <c r="F9" s="11" t="str">
        <f>IFERROR(__xludf.DUMMYFUNCTION("INDEX(SPLIT('EMI Data'!E9, "" ""), 1, 1)
"),"Nithya")</f>
        <v>Nithya</v>
      </c>
    </row>
    <row r="10">
      <c r="A10" s="9" t="s">
        <v>44</v>
      </c>
      <c r="B10" s="14" t="s">
        <v>45</v>
      </c>
      <c r="C10" s="20" t="s">
        <v>139</v>
      </c>
      <c r="D10" s="20" t="s">
        <v>146</v>
      </c>
      <c r="E10" s="11" t="str">
        <f>IFERROR(__xludf.DUMMYFUNCTION("JOIN("" "", UNIQUE(FLATTEN(SPLIT(B10, "" ""))))
"),"Sudalai Muthu M")</f>
        <v>Sudalai Muthu M</v>
      </c>
      <c r="F10" s="11" t="str">
        <f>IFERROR(__xludf.DUMMYFUNCTION("INDEX(SPLIT('EMI Data'!E10, "" ""), 1, 1)
"),"Sudalai")</f>
        <v>Sudalai</v>
      </c>
    </row>
    <row r="11">
      <c r="A11" s="9" t="s">
        <v>46</v>
      </c>
      <c r="B11" s="9" t="s">
        <v>47</v>
      </c>
      <c r="C11" s="20" t="s">
        <v>139</v>
      </c>
      <c r="D11" s="20" t="s">
        <v>142</v>
      </c>
      <c r="E11" s="11" t="str">
        <f>IFERROR(__xludf.DUMMYFUNCTION("JOIN("" "", UNIQUE(FLATTEN(SPLIT(B11, "" ""))))
"),"Kannadhasan S")</f>
        <v>Kannadhasan S</v>
      </c>
      <c r="F11" s="11" t="str">
        <f>IFERROR(__xludf.DUMMYFUNCTION("INDEX(SPLIT('EMI Data'!E11, "" ""), 1, 1)
"),"Kannadhasan")</f>
        <v>Kannadhasan</v>
      </c>
    </row>
    <row r="12">
      <c r="A12" s="9" t="s">
        <v>48</v>
      </c>
      <c r="B12" s="9" t="s">
        <v>49</v>
      </c>
      <c r="C12" s="20" t="s">
        <v>139</v>
      </c>
      <c r="D12" s="20" t="s">
        <v>142</v>
      </c>
      <c r="E12" s="11" t="str">
        <f>IFERROR(__xludf.DUMMYFUNCTION("JOIN("" "", UNIQUE(FLATTEN(SPLIT(B12, "" ""))))
"),"Venkatesh Gyadanaveni")</f>
        <v>Venkatesh Gyadanaveni</v>
      </c>
      <c r="F12" s="11" t="str">
        <f>IFERROR(__xludf.DUMMYFUNCTION("INDEX(SPLIT('EMI Data'!E12, "" ""), 1, 1)
"),"Venkatesh")</f>
        <v>Venkatesh</v>
      </c>
    </row>
    <row r="13">
      <c r="A13" s="9" t="s">
        <v>50</v>
      </c>
      <c r="B13" s="9" t="s">
        <v>51</v>
      </c>
      <c r="C13" s="20" t="s">
        <v>139</v>
      </c>
      <c r="D13" s="20" t="s">
        <v>142</v>
      </c>
      <c r="E13" s="11" t="str">
        <f>IFERROR(__xludf.DUMMYFUNCTION("JOIN("" "", UNIQUE(FLATTEN(SPLIT(B13, "" ""))))
"),"Sai Ram Naraboina")</f>
        <v>Sai Ram Naraboina</v>
      </c>
      <c r="F13" s="11" t="str">
        <f>IFERROR(__xludf.DUMMYFUNCTION("INDEX(SPLIT('EMI Data'!E13, "" ""), 1, 1)
"),"Sai")</f>
        <v>Sai</v>
      </c>
    </row>
    <row r="14">
      <c r="A14" s="9" t="s">
        <v>52</v>
      </c>
      <c r="B14" s="9" t="s">
        <v>53</v>
      </c>
      <c r="C14" s="20" t="s">
        <v>139</v>
      </c>
      <c r="D14" s="20" t="s">
        <v>142</v>
      </c>
      <c r="E14" s="11" t="str">
        <f>IFERROR(__xludf.DUMMYFUNCTION("JOIN("" "", UNIQUE(FLATTEN(SPLIT(B14, "" ""))))
"),"Prabhakaran S")</f>
        <v>Prabhakaran S</v>
      </c>
      <c r="F14" s="11" t="str">
        <f>IFERROR(__xludf.DUMMYFUNCTION("INDEX(SPLIT('EMI Data'!E14, "" ""), 1, 1)
"),"Prabhakaran")</f>
        <v>Prabhakaran</v>
      </c>
    </row>
    <row r="15">
      <c r="A15" s="9" t="s">
        <v>54</v>
      </c>
      <c r="B15" s="9" t="s">
        <v>55</v>
      </c>
      <c r="C15" s="20" t="s">
        <v>139</v>
      </c>
      <c r="D15" s="20" t="s">
        <v>147</v>
      </c>
      <c r="E15" s="11" t="str">
        <f>IFERROR(__xludf.DUMMYFUNCTION("JOIN("" "", UNIQUE(FLATTEN(SPLIT(B15, "" ""))))
"),"Pavan Mutyala")</f>
        <v>Pavan Mutyala</v>
      </c>
      <c r="F15" s="11" t="str">
        <f>IFERROR(__xludf.DUMMYFUNCTION("INDEX(SPLIT('EMI Data'!E15, "" ""), 1, 1)
"),"Pavan")</f>
        <v>Pavan</v>
      </c>
    </row>
    <row r="16">
      <c r="A16" s="9" t="s">
        <v>57</v>
      </c>
      <c r="B16" s="9" t="s">
        <v>58</v>
      </c>
      <c r="C16" s="20" t="s">
        <v>148</v>
      </c>
      <c r="D16" s="20" t="s">
        <v>149</v>
      </c>
      <c r="E16" s="11" t="str">
        <f>IFERROR(__xludf.DUMMYFUNCTION("JOIN("" "", UNIQUE(FLATTEN(SPLIT(B16, "" ""))))
"),"Rakesh Thodeti")</f>
        <v>Rakesh Thodeti</v>
      </c>
      <c r="F16" s="11" t="str">
        <f>IFERROR(__xludf.DUMMYFUNCTION("INDEX(SPLIT('EMI Data'!E16, "" ""), 1, 1)
"),"Rakesh")</f>
        <v>Rakesh</v>
      </c>
    </row>
    <row r="17">
      <c r="A17" s="9" t="s">
        <v>59</v>
      </c>
      <c r="B17" s="9" t="s">
        <v>60</v>
      </c>
      <c r="C17" s="20" t="s">
        <v>139</v>
      </c>
      <c r="D17" s="20" t="s">
        <v>150</v>
      </c>
      <c r="E17" s="11" t="str">
        <f>IFERROR(__xludf.DUMMYFUNCTION("JOIN("" "", UNIQUE(FLATTEN(SPLIT(B17, "" ""))))
"),"Ravindar Gangula")</f>
        <v>Ravindar Gangula</v>
      </c>
      <c r="F17" s="11" t="str">
        <f>IFERROR(__xludf.DUMMYFUNCTION("INDEX(SPLIT('EMI Data'!E17, "" ""), 1, 1)
"),"Ravindar")</f>
        <v>Ravindar</v>
      </c>
    </row>
    <row r="18">
      <c r="A18" s="9" t="s">
        <v>61</v>
      </c>
      <c r="B18" s="9" t="s">
        <v>62</v>
      </c>
      <c r="C18" s="21" t="s">
        <v>151</v>
      </c>
      <c r="D18" s="20" t="s">
        <v>146</v>
      </c>
      <c r="E18" s="11" t="str">
        <f>IFERROR(__xludf.DUMMYFUNCTION("JOIN("" "", UNIQUE(FLATTEN(SPLIT(B18, "" ""))))
"),"Mohith Nakka")</f>
        <v>Mohith Nakka</v>
      </c>
      <c r="F18" s="11" t="str">
        <f>IFERROR(__xludf.DUMMYFUNCTION("INDEX(SPLIT('EMI Data'!E18, "" ""), 1, 1)
"),"Mohith")</f>
        <v>Mohith</v>
      </c>
    </row>
    <row r="19">
      <c r="A19" s="9" t="s">
        <v>64</v>
      </c>
      <c r="B19" s="14" t="s">
        <v>65</v>
      </c>
      <c r="C19" s="21" t="s">
        <v>151</v>
      </c>
      <c r="D19" s="20" t="s">
        <v>152</v>
      </c>
      <c r="E19" s="11" t="str">
        <f>IFERROR(__xludf.DUMMYFUNCTION("JOIN("" "", UNIQUE(FLATTEN(SPLIT(B19, "" ""))))
"),"Navya Laxmi K")</f>
        <v>Navya Laxmi K</v>
      </c>
      <c r="F19" s="11" t="str">
        <f>IFERROR(__xludf.DUMMYFUNCTION("INDEX(SPLIT('EMI Data'!E19, "" ""), 1, 1)
"),"Navya")</f>
        <v>Navya</v>
      </c>
    </row>
    <row r="20">
      <c r="A20" s="9" t="s">
        <v>67</v>
      </c>
      <c r="B20" s="9" t="s">
        <v>68</v>
      </c>
      <c r="C20" s="21" t="s">
        <v>151</v>
      </c>
      <c r="D20" s="20" t="s">
        <v>152</v>
      </c>
      <c r="E20" s="11" t="str">
        <f>IFERROR(__xludf.DUMMYFUNCTION("JOIN("" "", UNIQUE(FLATTEN(SPLIT(B20, "" ""))))
"),"Karreti Hari Chandana")</f>
        <v>Karreti Hari Chandana</v>
      </c>
      <c r="F20" s="11" t="str">
        <f>IFERROR(__xludf.DUMMYFUNCTION("INDEX(SPLIT('EMI Data'!E20, "" ""), 1, 1)
"),"Karreti")</f>
        <v>Karreti</v>
      </c>
    </row>
    <row r="21">
      <c r="A21" s="9" t="s">
        <v>69</v>
      </c>
      <c r="B21" s="9" t="s">
        <v>70</v>
      </c>
      <c r="C21" s="21" t="s">
        <v>151</v>
      </c>
      <c r="D21" s="20" t="s">
        <v>142</v>
      </c>
      <c r="E21" s="11" t="str">
        <f>IFERROR(__xludf.DUMMYFUNCTION("JOIN("" "", UNIQUE(FLATTEN(SPLIT(B21, "" ""))))
"),"Vignesh Ramamoorthy")</f>
        <v>Vignesh Ramamoorthy</v>
      </c>
      <c r="F21" s="11" t="str">
        <f>IFERROR(__xludf.DUMMYFUNCTION("INDEX(SPLIT('EMI Data'!E21, "" ""), 1, 1)
"),"Vignesh")</f>
        <v>Vignesh</v>
      </c>
    </row>
    <row r="22">
      <c r="A22" s="9" t="s">
        <v>71</v>
      </c>
      <c r="B22" s="9" t="s">
        <v>72</v>
      </c>
      <c r="C22" s="21" t="s">
        <v>151</v>
      </c>
      <c r="D22" s="20" t="s">
        <v>142</v>
      </c>
      <c r="E22" s="11" t="str">
        <f>IFERROR(__xludf.DUMMYFUNCTION("JOIN("" "", UNIQUE(FLATTEN(SPLIT(B22, "" ""))))
"),"Rinki Chauhan")</f>
        <v>Rinki Chauhan</v>
      </c>
      <c r="F22" s="11" t="str">
        <f>IFERROR(__xludf.DUMMYFUNCTION("INDEX(SPLIT('EMI Data'!E22, "" ""), 1, 1)
"),"Rinki")</f>
        <v>Rinki</v>
      </c>
    </row>
    <row r="23">
      <c r="A23" s="9" t="s">
        <v>73</v>
      </c>
      <c r="B23" s="14" t="s">
        <v>74</v>
      </c>
      <c r="C23" s="21" t="s">
        <v>151</v>
      </c>
      <c r="D23" s="20"/>
      <c r="E23" s="11" t="str">
        <f>IFERROR(__xludf.DUMMYFUNCTION("JOIN("" "", UNIQUE(FLATTEN(SPLIT(B23, "" ""))))
"),"Tony S")</f>
        <v>Tony S</v>
      </c>
      <c r="F23" s="11" t="str">
        <f>IFERROR(__xludf.DUMMYFUNCTION("INDEX(SPLIT('EMI Data'!E23, "" ""), 1, 1)
"),"Tony")</f>
        <v>Tony</v>
      </c>
    </row>
    <row r="24">
      <c r="A24" s="9" t="s">
        <v>75</v>
      </c>
      <c r="B24" s="9" t="s">
        <v>76</v>
      </c>
      <c r="C24" s="21" t="s">
        <v>151</v>
      </c>
      <c r="D24" s="20" t="s">
        <v>143</v>
      </c>
      <c r="E24" s="11" t="str">
        <f>IFERROR(__xludf.DUMMYFUNCTION("JOIN("" "", UNIQUE(FLATTEN(SPLIT(B24, "" ""))))
"),"Mahesh P")</f>
        <v>Mahesh P</v>
      </c>
      <c r="F24" s="11" t="str">
        <f>IFERROR(__xludf.DUMMYFUNCTION("INDEX(SPLIT('EMI Data'!E24, "" ""), 1, 1)
"),"Mahesh")</f>
        <v>Mahesh</v>
      </c>
    </row>
    <row r="25">
      <c r="A25" s="9" t="s">
        <v>77</v>
      </c>
      <c r="B25" s="14" t="s">
        <v>78</v>
      </c>
      <c r="C25" s="21" t="s">
        <v>151</v>
      </c>
      <c r="D25" s="20" t="s">
        <v>153</v>
      </c>
      <c r="E25" s="11" t="str">
        <f>IFERROR(__xludf.DUMMYFUNCTION("JOIN("" "", UNIQUE(FLATTEN(SPLIT(B25, "" ""))))
"),"Bala G")</f>
        <v>Bala G</v>
      </c>
      <c r="F25" s="11" t="str">
        <f>IFERROR(__xludf.DUMMYFUNCTION("INDEX(SPLIT('EMI Data'!E25, "" ""), 1, 1)
"),"Bala")</f>
        <v>Bala</v>
      </c>
    </row>
    <row r="26">
      <c r="A26" s="9" t="s">
        <v>80</v>
      </c>
      <c r="B26" s="14" t="s">
        <v>81</v>
      </c>
      <c r="C26" s="21" t="s">
        <v>151</v>
      </c>
      <c r="D26" s="20" t="s">
        <v>152</v>
      </c>
      <c r="E26" s="11" t="str">
        <f>IFERROR(__xludf.DUMMYFUNCTION("JOIN("" "", UNIQUE(FLATTEN(SPLIT(B26, "" ""))))
"),"Suma S")</f>
        <v>Suma S</v>
      </c>
      <c r="F26" s="11" t="str">
        <f>IFERROR(__xludf.DUMMYFUNCTION("INDEX(SPLIT('EMI Data'!E26, "" ""), 1, 1)
"),"Suma")</f>
        <v>Suma</v>
      </c>
    </row>
    <row r="27">
      <c r="A27" s="9" t="s">
        <v>83</v>
      </c>
      <c r="B27" s="9" t="s">
        <v>84</v>
      </c>
      <c r="C27" s="21" t="s">
        <v>151</v>
      </c>
      <c r="D27" s="20" t="s">
        <v>144</v>
      </c>
      <c r="E27" s="11" t="str">
        <f>IFERROR(__xludf.DUMMYFUNCTION("JOIN("" "", UNIQUE(FLATTEN(SPLIT(B27, "" ""))))
"),"Bharathi Surapureddy")</f>
        <v>Bharathi Surapureddy</v>
      </c>
      <c r="F27" s="11" t="str">
        <f>IFERROR(__xludf.DUMMYFUNCTION("INDEX(SPLIT('EMI Data'!E27, "" ""), 1, 1)
"),"Bharathi")</f>
        <v>Bharathi</v>
      </c>
    </row>
    <row r="28">
      <c r="A28" s="9" t="s">
        <v>85</v>
      </c>
      <c r="B28" s="9" t="s">
        <v>86</v>
      </c>
      <c r="C28" s="21" t="s">
        <v>151</v>
      </c>
      <c r="D28" s="20" t="s">
        <v>142</v>
      </c>
      <c r="E28" s="11" t="str">
        <f>IFERROR(__xludf.DUMMYFUNCTION("JOIN("" "", UNIQUE(FLATTEN(SPLIT(B28, "" ""))))
"),"Suryakanth Shinde")</f>
        <v>Suryakanth Shinde</v>
      </c>
      <c r="F28" s="11" t="str">
        <f>IFERROR(__xludf.DUMMYFUNCTION("INDEX(SPLIT('EMI Data'!E28, "" ""), 1, 1)
"),"Suryakanth")</f>
        <v>Suryakanth</v>
      </c>
    </row>
    <row r="29">
      <c r="A29" s="9" t="s">
        <v>87</v>
      </c>
      <c r="B29" s="9" t="s">
        <v>88</v>
      </c>
      <c r="C29" s="21" t="s">
        <v>151</v>
      </c>
      <c r="D29" s="20" t="s">
        <v>142</v>
      </c>
      <c r="E29" s="11" t="str">
        <f>IFERROR(__xludf.DUMMYFUNCTION("JOIN("" "", UNIQUE(FLATTEN(SPLIT(B29, "" ""))))
"),"Santhana Mahalingam Santa")</f>
        <v>Santhana Mahalingam Santa</v>
      </c>
      <c r="F29" s="11" t="str">
        <f>IFERROR(__xludf.DUMMYFUNCTION("INDEX(SPLIT('EMI Data'!E29, "" ""), 1, 1)
"),"Santhana")</f>
        <v>Santhana</v>
      </c>
    </row>
    <row r="30">
      <c r="A30" s="9" t="s">
        <v>89</v>
      </c>
      <c r="B30" s="9" t="s">
        <v>90</v>
      </c>
      <c r="C30" s="21" t="s">
        <v>151</v>
      </c>
      <c r="D30" s="20" t="s">
        <v>143</v>
      </c>
      <c r="E30" s="11" t="str">
        <f>IFERROR(__xludf.DUMMYFUNCTION("JOIN("" "", UNIQUE(FLATTEN(SPLIT(B30, "" ""))))
"),"Praveen .M")</f>
        <v>Praveen .M</v>
      </c>
      <c r="F30" s="11" t="str">
        <f>IFERROR(__xludf.DUMMYFUNCTION("INDEX(SPLIT('EMI Data'!E30, "" ""), 1, 1)
"),"Praveen")</f>
        <v>Praveen</v>
      </c>
    </row>
    <row r="31">
      <c r="A31" s="9" t="s">
        <v>91</v>
      </c>
      <c r="B31" s="9" t="s">
        <v>92</v>
      </c>
      <c r="C31" s="21" t="s">
        <v>151</v>
      </c>
      <c r="D31" s="20" t="s">
        <v>154</v>
      </c>
      <c r="E31" s="11" t="str">
        <f>IFERROR(__xludf.DUMMYFUNCTION("JOIN("" "", UNIQUE(FLATTEN(SPLIT(B31, "" ""))))
"),"Pravallika Pacha")</f>
        <v>Pravallika Pacha</v>
      </c>
      <c r="F31" s="11" t="str">
        <f>IFERROR(__xludf.DUMMYFUNCTION("INDEX(SPLIT('EMI Data'!E31, "" ""), 1, 1)
"),"Pravallika")</f>
        <v>Pravallika</v>
      </c>
    </row>
    <row r="32">
      <c r="C32" s="22"/>
      <c r="D32" s="22"/>
    </row>
    <row r="33">
      <c r="C33" s="22"/>
      <c r="D33" s="22"/>
    </row>
    <row r="34">
      <c r="C34" s="22"/>
      <c r="D34" s="22"/>
    </row>
    <row r="35">
      <c r="C35" s="22"/>
      <c r="D35" s="22"/>
    </row>
    <row r="36">
      <c r="C36" s="22"/>
      <c r="D36" s="22"/>
    </row>
    <row r="37">
      <c r="C37" s="22"/>
      <c r="D37" s="22"/>
    </row>
    <row r="38">
      <c r="C38" s="22"/>
      <c r="D38" s="22"/>
    </row>
    <row r="39">
      <c r="C39" s="22"/>
      <c r="D39" s="22"/>
    </row>
    <row r="40">
      <c r="C40" s="22"/>
      <c r="D40" s="22"/>
    </row>
    <row r="41">
      <c r="C41" s="22"/>
      <c r="D41" s="22"/>
    </row>
    <row r="42">
      <c r="C42" s="22"/>
      <c r="D42" s="22"/>
    </row>
    <row r="43">
      <c r="C43" s="22"/>
      <c r="D43" s="22"/>
    </row>
    <row r="44">
      <c r="C44" s="22"/>
      <c r="D44" s="22"/>
    </row>
    <row r="45">
      <c r="C45" s="22"/>
      <c r="D45" s="22"/>
    </row>
    <row r="46">
      <c r="C46" s="22"/>
      <c r="D46" s="22"/>
    </row>
    <row r="47">
      <c r="C47" s="22"/>
      <c r="D47" s="22"/>
    </row>
    <row r="48">
      <c r="C48" s="22"/>
      <c r="D48" s="22"/>
    </row>
    <row r="49">
      <c r="C49" s="22"/>
      <c r="D49" s="22"/>
    </row>
    <row r="50">
      <c r="C50" s="22"/>
      <c r="D50" s="22"/>
    </row>
    <row r="51">
      <c r="C51" s="22"/>
      <c r="D51" s="22"/>
    </row>
    <row r="52">
      <c r="C52" s="22"/>
      <c r="D52" s="22"/>
    </row>
    <row r="53">
      <c r="C53" s="22"/>
      <c r="D53" s="22"/>
    </row>
    <row r="54">
      <c r="C54" s="22"/>
      <c r="D54" s="22"/>
    </row>
    <row r="55">
      <c r="C55" s="22"/>
      <c r="D55" s="22"/>
    </row>
    <row r="56">
      <c r="C56" s="22"/>
      <c r="D56" s="22"/>
    </row>
    <row r="57">
      <c r="C57" s="22"/>
      <c r="D57" s="22"/>
    </row>
    <row r="58">
      <c r="C58" s="22"/>
      <c r="D58" s="22"/>
    </row>
    <row r="59">
      <c r="C59" s="22"/>
      <c r="D59" s="22"/>
    </row>
    <row r="60">
      <c r="C60" s="22"/>
      <c r="D60" s="22"/>
    </row>
    <row r="61">
      <c r="C61" s="22"/>
      <c r="D61" s="22"/>
    </row>
    <row r="62">
      <c r="C62" s="22"/>
      <c r="D62" s="22"/>
    </row>
    <row r="63">
      <c r="C63" s="22"/>
      <c r="D63" s="22"/>
    </row>
    <row r="64">
      <c r="C64" s="22"/>
      <c r="D64" s="22"/>
    </row>
    <row r="65">
      <c r="C65" s="22"/>
      <c r="D65" s="22"/>
    </row>
    <row r="66">
      <c r="C66" s="22"/>
      <c r="D66" s="22"/>
    </row>
    <row r="67">
      <c r="C67" s="22"/>
      <c r="D67" s="22"/>
    </row>
    <row r="68">
      <c r="C68" s="22"/>
      <c r="D68" s="22"/>
    </row>
    <row r="69">
      <c r="C69" s="22"/>
      <c r="D69" s="22"/>
    </row>
    <row r="70">
      <c r="C70" s="22"/>
      <c r="D70" s="22"/>
    </row>
    <row r="71">
      <c r="C71" s="22"/>
      <c r="D71" s="22"/>
    </row>
    <row r="72">
      <c r="C72" s="22"/>
      <c r="D72" s="22"/>
    </row>
    <row r="73">
      <c r="C73" s="22"/>
      <c r="D73" s="22"/>
    </row>
    <row r="74">
      <c r="C74" s="22"/>
      <c r="D74" s="22"/>
    </row>
    <row r="75">
      <c r="C75" s="22"/>
      <c r="D75" s="22"/>
    </row>
    <row r="76">
      <c r="C76" s="22"/>
      <c r="D76" s="22"/>
    </row>
    <row r="77">
      <c r="C77" s="22"/>
      <c r="D77" s="22"/>
    </row>
    <row r="78">
      <c r="C78" s="22"/>
      <c r="D78" s="22"/>
    </row>
    <row r="79">
      <c r="C79" s="22"/>
      <c r="D79" s="22"/>
    </row>
    <row r="80">
      <c r="C80" s="22"/>
      <c r="D80" s="22"/>
    </row>
    <row r="81">
      <c r="C81" s="22"/>
      <c r="D81" s="22"/>
    </row>
    <row r="82">
      <c r="C82" s="22"/>
      <c r="D82" s="22"/>
    </row>
    <row r="83">
      <c r="C83" s="22"/>
      <c r="D83" s="22"/>
    </row>
    <row r="84">
      <c r="C84" s="22"/>
      <c r="D84" s="22"/>
    </row>
    <row r="85">
      <c r="C85" s="22"/>
      <c r="D85" s="22"/>
    </row>
    <row r="86">
      <c r="C86" s="22"/>
      <c r="D86" s="22"/>
    </row>
    <row r="87">
      <c r="C87" s="22"/>
      <c r="D87" s="22"/>
    </row>
    <row r="88">
      <c r="C88" s="22"/>
      <c r="D88" s="22"/>
    </row>
    <row r="89">
      <c r="C89" s="22"/>
      <c r="D89" s="22"/>
    </row>
    <row r="90">
      <c r="C90" s="22"/>
      <c r="D90" s="22"/>
    </row>
    <row r="91">
      <c r="C91" s="22"/>
      <c r="D91" s="22"/>
    </row>
    <row r="92">
      <c r="C92" s="22"/>
      <c r="D92" s="22"/>
    </row>
    <row r="93">
      <c r="C93" s="22"/>
      <c r="D93" s="22"/>
    </row>
    <row r="94">
      <c r="C94" s="22"/>
      <c r="D94" s="22"/>
    </row>
    <row r="95">
      <c r="C95" s="22"/>
      <c r="D95" s="22"/>
    </row>
    <row r="96">
      <c r="C96" s="22"/>
      <c r="D96" s="22"/>
    </row>
    <row r="97">
      <c r="C97" s="22"/>
      <c r="D97" s="22"/>
    </row>
    <row r="98">
      <c r="C98" s="22"/>
      <c r="D98" s="22"/>
    </row>
    <row r="99">
      <c r="C99" s="22"/>
      <c r="D99" s="22"/>
    </row>
    <row r="100">
      <c r="C100" s="22"/>
      <c r="D100" s="22"/>
    </row>
    <row r="101">
      <c r="C101" s="22"/>
      <c r="D101" s="22"/>
    </row>
    <row r="102">
      <c r="C102" s="22"/>
      <c r="D102" s="22"/>
    </row>
    <row r="103">
      <c r="C103" s="22"/>
      <c r="D103" s="22"/>
    </row>
    <row r="104">
      <c r="C104" s="22"/>
      <c r="D104" s="22"/>
    </row>
    <row r="105">
      <c r="C105" s="22"/>
      <c r="D105" s="22"/>
    </row>
    <row r="106">
      <c r="C106" s="22"/>
      <c r="D106" s="22"/>
    </row>
    <row r="107">
      <c r="C107" s="22"/>
      <c r="D107" s="22"/>
    </row>
    <row r="108">
      <c r="C108" s="22"/>
      <c r="D108" s="22"/>
    </row>
    <row r="109">
      <c r="C109" s="22"/>
      <c r="D109" s="22"/>
    </row>
    <row r="110">
      <c r="C110" s="22"/>
      <c r="D110" s="22"/>
    </row>
    <row r="111">
      <c r="C111" s="22"/>
      <c r="D111" s="22"/>
    </row>
    <row r="112">
      <c r="C112" s="22"/>
      <c r="D112" s="22"/>
    </row>
    <row r="113">
      <c r="C113" s="22"/>
      <c r="D113" s="22"/>
    </row>
    <row r="114">
      <c r="C114" s="22"/>
      <c r="D114" s="22"/>
    </row>
    <row r="115">
      <c r="C115" s="22"/>
      <c r="D115" s="22"/>
    </row>
    <row r="116">
      <c r="C116" s="22"/>
      <c r="D116" s="22"/>
    </row>
    <row r="117">
      <c r="C117" s="22"/>
      <c r="D117" s="22"/>
    </row>
    <row r="118">
      <c r="C118" s="22"/>
      <c r="D118" s="22"/>
    </row>
    <row r="119">
      <c r="C119" s="22"/>
      <c r="D119" s="22"/>
    </row>
    <row r="120">
      <c r="C120" s="22"/>
      <c r="D120" s="22"/>
    </row>
    <row r="121">
      <c r="C121" s="22"/>
      <c r="D121" s="22"/>
    </row>
    <row r="122">
      <c r="C122" s="22"/>
      <c r="D122" s="22"/>
    </row>
    <row r="123">
      <c r="C123" s="22"/>
      <c r="D123" s="22"/>
    </row>
    <row r="124">
      <c r="C124" s="22"/>
      <c r="D124" s="22"/>
    </row>
    <row r="125">
      <c r="C125" s="22"/>
      <c r="D125" s="22"/>
    </row>
    <row r="126">
      <c r="C126" s="22"/>
      <c r="D126" s="22"/>
    </row>
    <row r="127">
      <c r="C127" s="22"/>
      <c r="D127" s="22"/>
    </row>
    <row r="128">
      <c r="C128" s="22"/>
      <c r="D128" s="22"/>
    </row>
    <row r="129">
      <c r="C129" s="22"/>
      <c r="D129" s="22"/>
    </row>
    <row r="130">
      <c r="C130" s="22"/>
      <c r="D130" s="22"/>
    </row>
    <row r="131">
      <c r="C131" s="22"/>
      <c r="D131" s="22"/>
    </row>
    <row r="132">
      <c r="C132" s="22"/>
      <c r="D132" s="22"/>
    </row>
    <row r="133">
      <c r="C133" s="22"/>
      <c r="D133" s="22"/>
    </row>
    <row r="134">
      <c r="C134" s="22"/>
      <c r="D134" s="22"/>
    </row>
    <row r="135">
      <c r="C135" s="22"/>
      <c r="D135" s="22"/>
    </row>
    <row r="136">
      <c r="C136" s="22"/>
      <c r="D136" s="22"/>
    </row>
    <row r="137">
      <c r="C137" s="22"/>
      <c r="D137" s="22"/>
    </row>
    <row r="138">
      <c r="C138" s="22"/>
      <c r="D138" s="22"/>
    </row>
    <row r="139">
      <c r="C139" s="22"/>
      <c r="D139" s="22"/>
    </row>
    <row r="140">
      <c r="C140" s="22"/>
      <c r="D140" s="22"/>
    </row>
    <row r="141">
      <c r="C141" s="22"/>
      <c r="D141" s="22"/>
    </row>
    <row r="142">
      <c r="C142" s="22"/>
      <c r="D142" s="22"/>
    </row>
    <row r="143">
      <c r="C143" s="22"/>
      <c r="D143" s="22"/>
    </row>
    <row r="144">
      <c r="C144" s="22"/>
      <c r="D144" s="22"/>
    </row>
    <row r="145">
      <c r="C145" s="22"/>
      <c r="D145" s="22"/>
    </row>
    <row r="146">
      <c r="C146" s="22"/>
      <c r="D146" s="22"/>
    </row>
    <row r="147">
      <c r="C147" s="22"/>
      <c r="D147" s="22"/>
    </row>
    <row r="148">
      <c r="C148" s="22"/>
      <c r="D148" s="22"/>
    </row>
    <row r="149">
      <c r="C149" s="22"/>
      <c r="D149" s="22"/>
    </row>
    <row r="150">
      <c r="C150" s="22"/>
      <c r="D150" s="22"/>
    </row>
    <row r="151">
      <c r="C151" s="22"/>
      <c r="D151" s="22"/>
    </row>
    <row r="152">
      <c r="C152" s="22"/>
      <c r="D152" s="22"/>
    </row>
    <row r="153">
      <c r="C153" s="22"/>
      <c r="D153" s="22"/>
    </row>
    <row r="154">
      <c r="C154" s="22"/>
      <c r="D154" s="22"/>
    </row>
    <row r="155">
      <c r="C155" s="22"/>
      <c r="D155" s="22"/>
    </row>
    <row r="156">
      <c r="C156" s="22"/>
      <c r="D156" s="22"/>
    </row>
    <row r="157">
      <c r="C157" s="22"/>
      <c r="D157" s="22"/>
    </row>
    <row r="158">
      <c r="C158" s="22"/>
      <c r="D158" s="22"/>
    </row>
    <row r="159">
      <c r="C159" s="22"/>
      <c r="D159" s="22"/>
    </row>
    <row r="160">
      <c r="C160" s="22"/>
      <c r="D160" s="22"/>
    </row>
    <row r="161">
      <c r="C161" s="22"/>
      <c r="D161" s="22"/>
    </row>
    <row r="162">
      <c r="C162" s="22"/>
      <c r="D162" s="22"/>
    </row>
    <row r="163">
      <c r="C163" s="22"/>
      <c r="D163" s="22"/>
    </row>
    <row r="164">
      <c r="C164" s="22"/>
      <c r="D164" s="22"/>
    </row>
    <row r="165">
      <c r="C165" s="22"/>
      <c r="D165" s="22"/>
    </row>
    <row r="166">
      <c r="C166" s="22"/>
      <c r="D166" s="22"/>
    </row>
    <row r="167">
      <c r="C167" s="22"/>
      <c r="D167" s="22"/>
    </row>
    <row r="168">
      <c r="C168" s="22"/>
      <c r="D168" s="22"/>
    </row>
    <row r="169">
      <c r="C169" s="22"/>
      <c r="D169" s="22"/>
    </row>
    <row r="170">
      <c r="C170" s="22"/>
      <c r="D170" s="22"/>
    </row>
    <row r="171">
      <c r="C171" s="22"/>
      <c r="D171" s="22"/>
    </row>
    <row r="172">
      <c r="C172" s="22"/>
      <c r="D172" s="22"/>
    </row>
    <row r="173">
      <c r="C173" s="22"/>
      <c r="D173" s="22"/>
    </row>
    <row r="174">
      <c r="C174" s="22"/>
      <c r="D174" s="22"/>
    </row>
    <row r="175">
      <c r="C175" s="22"/>
      <c r="D175" s="22"/>
    </row>
    <row r="176">
      <c r="C176" s="22"/>
      <c r="D176" s="22"/>
    </row>
    <row r="177">
      <c r="C177" s="22"/>
      <c r="D177" s="22"/>
    </row>
    <row r="178">
      <c r="C178" s="22"/>
      <c r="D178" s="22"/>
    </row>
    <row r="179">
      <c r="C179" s="22"/>
      <c r="D179" s="22"/>
    </row>
    <row r="180">
      <c r="C180" s="22"/>
      <c r="D180" s="22"/>
    </row>
    <row r="181">
      <c r="C181" s="22"/>
      <c r="D181" s="22"/>
    </row>
    <row r="182">
      <c r="C182" s="22"/>
      <c r="D182" s="22"/>
    </row>
    <row r="183">
      <c r="C183" s="22"/>
      <c r="D183" s="22"/>
    </row>
    <row r="184">
      <c r="C184" s="22"/>
      <c r="D184" s="22"/>
    </row>
    <row r="185">
      <c r="C185" s="22"/>
      <c r="D185" s="22"/>
    </row>
    <row r="186">
      <c r="C186" s="22"/>
      <c r="D186" s="22"/>
    </row>
    <row r="187">
      <c r="C187" s="22"/>
      <c r="D187" s="22"/>
    </row>
    <row r="188">
      <c r="C188" s="22"/>
      <c r="D188" s="22"/>
    </row>
    <row r="189">
      <c r="C189" s="22"/>
      <c r="D189" s="22"/>
    </row>
    <row r="190">
      <c r="C190" s="22"/>
      <c r="D190" s="22"/>
    </row>
    <row r="191">
      <c r="C191" s="22"/>
      <c r="D191" s="22"/>
    </row>
    <row r="192">
      <c r="C192" s="22"/>
      <c r="D192" s="22"/>
    </row>
    <row r="193">
      <c r="C193" s="22"/>
      <c r="D193" s="22"/>
    </row>
    <row r="194">
      <c r="C194" s="22"/>
      <c r="D194" s="22"/>
    </row>
    <row r="195">
      <c r="C195" s="22"/>
      <c r="D195" s="22"/>
    </row>
    <row r="196">
      <c r="C196" s="22"/>
      <c r="D196" s="22"/>
    </row>
    <row r="197">
      <c r="C197" s="22"/>
      <c r="D197" s="22"/>
    </row>
    <row r="198">
      <c r="C198" s="22"/>
      <c r="D198" s="22"/>
    </row>
    <row r="199">
      <c r="C199" s="22"/>
      <c r="D199" s="22"/>
    </row>
    <row r="200">
      <c r="C200" s="22"/>
      <c r="D200" s="22"/>
    </row>
    <row r="201">
      <c r="C201" s="22"/>
      <c r="D201" s="22"/>
    </row>
    <row r="202">
      <c r="C202" s="22"/>
      <c r="D202" s="22"/>
    </row>
    <row r="203">
      <c r="C203" s="22"/>
      <c r="D203" s="22"/>
    </row>
    <row r="204">
      <c r="C204" s="22"/>
      <c r="D204" s="22"/>
    </row>
    <row r="205">
      <c r="C205" s="22"/>
      <c r="D205" s="22"/>
    </row>
    <row r="206">
      <c r="C206" s="22"/>
      <c r="D206" s="22"/>
    </row>
    <row r="207">
      <c r="C207" s="22"/>
      <c r="D207" s="22"/>
    </row>
    <row r="208">
      <c r="C208" s="22"/>
      <c r="D208" s="22"/>
    </row>
    <row r="209">
      <c r="C209" s="22"/>
      <c r="D209" s="22"/>
    </row>
    <row r="210">
      <c r="C210" s="22"/>
      <c r="D210" s="22"/>
    </row>
    <row r="211">
      <c r="C211" s="22"/>
      <c r="D211" s="22"/>
    </row>
    <row r="212">
      <c r="C212" s="22"/>
      <c r="D212" s="22"/>
    </row>
    <row r="213">
      <c r="C213" s="22"/>
      <c r="D213" s="22"/>
    </row>
    <row r="214">
      <c r="C214" s="22"/>
      <c r="D214" s="22"/>
    </row>
    <row r="215">
      <c r="C215" s="22"/>
      <c r="D215" s="22"/>
    </row>
    <row r="216">
      <c r="C216" s="22"/>
      <c r="D216" s="22"/>
    </row>
    <row r="217">
      <c r="C217" s="22"/>
      <c r="D217" s="22"/>
    </row>
    <row r="218">
      <c r="C218" s="22"/>
      <c r="D218" s="22"/>
    </row>
    <row r="219">
      <c r="C219" s="22"/>
      <c r="D219" s="22"/>
    </row>
    <row r="220">
      <c r="C220" s="22"/>
      <c r="D220" s="22"/>
    </row>
    <row r="221">
      <c r="C221" s="22"/>
      <c r="D221" s="22"/>
    </row>
    <row r="222">
      <c r="C222" s="22"/>
      <c r="D222" s="22"/>
    </row>
    <row r="223">
      <c r="C223" s="22"/>
      <c r="D223" s="22"/>
    </row>
    <row r="224">
      <c r="C224" s="22"/>
      <c r="D224" s="22"/>
    </row>
    <row r="225">
      <c r="C225" s="22"/>
      <c r="D225" s="22"/>
    </row>
    <row r="226">
      <c r="C226" s="22"/>
      <c r="D226" s="22"/>
    </row>
    <row r="227">
      <c r="C227" s="22"/>
      <c r="D227" s="22"/>
    </row>
    <row r="228">
      <c r="C228" s="22"/>
      <c r="D228" s="22"/>
    </row>
    <row r="229">
      <c r="C229" s="22"/>
      <c r="D229" s="22"/>
    </row>
    <row r="230">
      <c r="C230" s="22"/>
      <c r="D230" s="22"/>
    </row>
    <row r="231">
      <c r="C231" s="22"/>
      <c r="D231" s="22"/>
    </row>
    <row r="232">
      <c r="C232" s="22"/>
      <c r="D232" s="22"/>
    </row>
    <row r="233">
      <c r="C233" s="22"/>
      <c r="D233" s="22"/>
    </row>
    <row r="234">
      <c r="C234" s="22"/>
      <c r="D234" s="22"/>
    </row>
    <row r="235">
      <c r="C235" s="22"/>
      <c r="D235" s="22"/>
    </row>
    <row r="236">
      <c r="C236" s="22"/>
      <c r="D236" s="22"/>
    </row>
    <row r="237">
      <c r="C237" s="22"/>
      <c r="D237" s="22"/>
    </row>
    <row r="238">
      <c r="C238" s="22"/>
      <c r="D238" s="22"/>
    </row>
    <row r="239">
      <c r="C239" s="22"/>
      <c r="D239" s="22"/>
    </row>
    <row r="240">
      <c r="C240" s="22"/>
      <c r="D240" s="22"/>
    </row>
    <row r="241">
      <c r="C241" s="22"/>
      <c r="D241" s="22"/>
    </row>
    <row r="242">
      <c r="C242" s="22"/>
      <c r="D242" s="22"/>
    </row>
    <row r="243">
      <c r="C243" s="22"/>
      <c r="D243" s="22"/>
    </row>
    <row r="244">
      <c r="C244" s="22"/>
      <c r="D244" s="22"/>
    </row>
    <row r="245">
      <c r="C245" s="22"/>
      <c r="D245" s="22"/>
    </row>
    <row r="246">
      <c r="C246" s="22"/>
      <c r="D246" s="22"/>
    </row>
    <row r="247">
      <c r="C247" s="22"/>
      <c r="D247" s="22"/>
    </row>
    <row r="248">
      <c r="C248" s="22"/>
      <c r="D248" s="22"/>
    </row>
    <row r="249">
      <c r="C249" s="22"/>
      <c r="D249" s="22"/>
    </row>
    <row r="250">
      <c r="C250" s="22"/>
      <c r="D250" s="22"/>
    </row>
    <row r="251">
      <c r="C251" s="22"/>
      <c r="D251" s="22"/>
    </row>
    <row r="252">
      <c r="C252" s="22"/>
      <c r="D252" s="22"/>
    </row>
    <row r="253">
      <c r="C253" s="22"/>
      <c r="D253" s="22"/>
    </row>
    <row r="254">
      <c r="C254" s="22"/>
      <c r="D254" s="22"/>
    </row>
    <row r="255">
      <c r="C255" s="22"/>
      <c r="D255" s="22"/>
    </row>
    <row r="256">
      <c r="C256" s="22"/>
      <c r="D256" s="22"/>
    </row>
    <row r="257">
      <c r="C257" s="22"/>
      <c r="D257" s="22"/>
    </row>
    <row r="258">
      <c r="C258" s="22"/>
      <c r="D258" s="22"/>
    </row>
    <row r="259">
      <c r="C259" s="22"/>
      <c r="D259" s="22"/>
    </row>
    <row r="260">
      <c r="C260" s="22"/>
      <c r="D260" s="22"/>
    </row>
    <row r="261">
      <c r="C261" s="22"/>
      <c r="D261" s="22"/>
    </row>
    <row r="262">
      <c r="C262" s="22"/>
      <c r="D262" s="22"/>
    </row>
    <row r="263">
      <c r="C263" s="22"/>
      <c r="D263" s="22"/>
    </row>
    <row r="264">
      <c r="C264" s="22"/>
      <c r="D264" s="22"/>
    </row>
    <row r="265">
      <c r="C265" s="22"/>
      <c r="D265" s="22"/>
    </row>
    <row r="266">
      <c r="C266" s="22"/>
      <c r="D266" s="22"/>
    </row>
    <row r="267">
      <c r="C267" s="22"/>
      <c r="D267" s="22"/>
    </row>
    <row r="268">
      <c r="C268" s="22"/>
      <c r="D268" s="22"/>
    </row>
    <row r="269">
      <c r="C269" s="22"/>
      <c r="D269" s="22"/>
    </row>
    <row r="270">
      <c r="C270" s="22"/>
      <c r="D270" s="22"/>
    </row>
    <row r="271">
      <c r="C271" s="22"/>
      <c r="D271" s="22"/>
    </row>
    <row r="272">
      <c r="C272" s="22"/>
      <c r="D272" s="22"/>
    </row>
    <row r="273">
      <c r="C273" s="22"/>
      <c r="D273" s="22"/>
    </row>
    <row r="274">
      <c r="C274" s="22"/>
      <c r="D274" s="22"/>
    </row>
    <row r="275">
      <c r="C275" s="22"/>
      <c r="D275" s="22"/>
    </row>
    <row r="276">
      <c r="C276" s="22"/>
      <c r="D276" s="22"/>
    </row>
    <row r="277">
      <c r="C277" s="22"/>
      <c r="D277" s="22"/>
    </row>
    <row r="278">
      <c r="C278" s="22"/>
      <c r="D278" s="22"/>
    </row>
    <row r="279">
      <c r="C279" s="22"/>
      <c r="D279" s="22"/>
    </row>
    <row r="280">
      <c r="C280" s="22"/>
      <c r="D280" s="22"/>
    </row>
    <row r="281">
      <c r="C281" s="22"/>
      <c r="D281" s="22"/>
    </row>
    <row r="282">
      <c r="C282" s="22"/>
      <c r="D282" s="22"/>
    </row>
    <row r="283">
      <c r="C283" s="22"/>
      <c r="D283" s="22"/>
    </row>
    <row r="284">
      <c r="C284" s="22"/>
      <c r="D284" s="22"/>
    </row>
    <row r="285">
      <c r="C285" s="22"/>
      <c r="D285" s="22"/>
    </row>
    <row r="286">
      <c r="C286" s="22"/>
      <c r="D286" s="22"/>
    </row>
    <row r="287">
      <c r="C287" s="22"/>
      <c r="D287" s="22"/>
    </row>
    <row r="288">
      <c r="C288" s="22"/>
      <c r="D288" s="22"/>
    </row>
    <row r="289">
      <c r="C289" s="22"/>
      <c r="D289" s="22"/>
    </row>
    <row r="290">
      <c r="C290" s="22"/>
      <c r="D290" s="22"/>
    </row>
    <row r="291">
      <c r="C291" s="22"/>
      <c r="D291" s="22"/>
    </row>
    <row r="292">
      <c r="C292" s="22"/>
      <c r="D292" s="22"/>
    </row>
    <row r="293">
      <c r="C293" s="22"/>
      <c r="D293" s="22"/>
    </row>
    <row r="294">
      <c r="C294" s="22"/>
      <c r="D294" s="22"/>
    </row>
    <row r="295">
      <c r="C295" s="22"/>
      <c r="D295" s="22"/>
    </row>
    <row r="296">
      <c r="C296" s="22"/>
      <c r="D296" s="22"/>
    </row>
    <row r="297">
      <c r="C297" s="22"/>
      <c r="D297" s="22"/>
    </row>
    <row r="298">
      <c r="C298" s="22"/>
      <c r="D298" s="22"/>
    </row>
    <row r="299">
      <c r="C299" s="22"/>
      <c r="D299" s="22"/>
    </row>
    <row r="300">
      <c r="C300" s="22"/>
      <c r="D300" s="22"/>
    </row>
    <row r="301">
      <c r="C301" s="22"/>
      <c r="D301" s="22"/>
    </row>
    <row r="302">
      <c r="C302" s="22"/>
      <c r="D302" s="22"/>
    </row>
    <row r="303">
      <c r="C303" s="22"/>
      <c r="D303" s="22"/>
    </row>
    <row r="304">
      <c r="C304" s="22"/>
      <c r="D304" s="22"/>
    </row>
    <row r="305">
      <c r="C305" s="22"/>
      <c r="D305" s="22"/>
    </row>
    <row r="306">
      <c r="C306" s="22"/>
      <c r="D306" s="22"/>
    </row>
    <row r="307">
      <c r="C307" s="22"/>
      <c r="D307" s="22"/>
    </row>
    <row r="308">
      <c r="C308" s="22"/>
      <c r="D308" s="22"/>
    </row>
    <row r="309">
      <c r="C309" s="22"/>
      <c r="D309" s="22"/>
    </row>
    <row r="310">
      <c r="C310" s="22"/>
      <c r="D310" s="22"/>
    </row>
    <row r="311">
      <c r="C311" s="22"/>
      <c r="D311" s="22"/>
    </row>
    <row r="312">
      <c r="C312" s="22"/>
      <c r="D312" s="22"/>
    </row>
    <row r="313">
      <c r="C313" s="22"/>
      <c r="D313" s="22"/>
    </row>
    <row r="314">
      <c r="C314" s="22"/>
      <c r="D314" s="22"/>
    </row>
    <row r="315">
      <c r="C315" s="22"/>
      <c r="D315" s="22"/>
    </row>
    <row r="316">
      <c r="C316" s="22"/>
      <c r="D316" s="22"/>
    </row>
    <row r="317">
      <c r="C317" s="22"/>
      <c r="D317" s="22"/>
    </row>
    <row r="318">
      <c r="C318" s="22"/>
      <c r="D318" s="22"/>
    </row>
    <row r="319">
      <c r="C319" s="22"/>
      <c r="D319" s="22"/>
    </row>
    <row r="320">
      <c r="C320" s="22"/>
      <c r="D320" s="22"/>
    </row>
    <row r="321">
      <c r="C321" s="22"/>
      <c r="D321" s="22"/>
    </row>
    <row r="322">
      <c r="C322" s="22"/>
      <c r="D322" s="22"/>
    </row>
    <row r="323">
      <c r="C323" s="22"/>
      <c r="D323" s="22"/>
    </row>
    <row r="324">
      <c r="C324" s="22"/>
      <c r="D324" s="22"/>
    </row>
    <row r="325">
      <c r="C325" s="22"/>
      <c r="D325" s="22"/>
    </row>
    <row r="326">
      <c r="C326" s="22"/>
      <c r="D326" s="22"/>
    </row>
    <row r="327">
      <c r="C327" s="22"/>
      <c r="D327" s="22"/>
    </row>
    <row r="328">
      <c r="C328" s="22"/>
      <c r="D328" s="22"/>
    </row>
    <row r="329">
      <c r="C329" s="22"/>
      <c r="D329" s="22"/>
    </row>
    <row r="330">
      <c r="C330" s="22"/>
      <c r="D330" s="22"/>
    </row>
    <row r="331">
      <c r="C331" s="22"/>
      <c r="D331" s="22"/>
    </row>
    <row r="332">
      <c r="C332" s="22"/>
      <c r="D332" s="22"/>
    </row>
    <row r="333">
      <c r="C333" s="22"/>
      <c r="D333" s="22"/>
    </row>
    <row r="334">
      <c r="C334" s="22"/>
      <c r="D334" s="22"/>
    </row>
    <row r="335">
      <c r="C335" s="22"/>
      <c r="D335" s="22"/>
    </row>
    <row r="336">
      <c r="C336" s="22"/>
      <c r="D336" s="22"/>
    </row>
    <row r="337">
      <c r="C337" s="22"/>
      <c r="D337" s="22"/>
    </row>
    <row r="338">
      <c r="C338" s="22"/>
      <c r="D338" s="22"/>
    </row>
    <row r="339">
      <c r="C339" s="22"/>
      <c r="D339" s="22"/>
    </row>
    <row r="340">
      <c r="C340" s="22"/>
      <c r="D340" s="22"/>
    </row>
    <row r="341">
      <c r="C341" s="22"/>
      <c r="D341" s="22"/>
    </row>
    <row r="342">
      <c r="C342" s="22"/>
      <c r="D342" s="22"/>
    </row>
    <row r="343">
      <c r="C343" s="22"/>
      <c r="D343" s="22"/>
    </row>
    <row r="344">
      <c r="C344" s="22"/>
      <c r="D344" s="22"/>
    </row>
    <row r="345">
      <c r="C345" s="22"/>
      <c r="D345" s="22"/>
    </row>
    <row r="346">
      <c r="C346" s="22"/>
      <c r="D346" s="22"/>
    </row>
    <row r="347">
      <c r="C347" s="22"/>
      <c r="D347" s="22"/>
    </row>
    <row r="348">
      <c r="C348" s="22"/>
      <c r="D348" s="22"/>
    </row>
    <row r="349">
      <c r="C349" s="22"/>
      <c r="D349" s="22"/>
    </row>
    <row r="350">
      <c r="C350" s="22"/>
      <c r="D350" s="22"/>
    </row>
    <row r="351">
      <c r="C351" s="22"/>
      <c r="D351" s="22"/>
    </row>
    <row r="352">
      <c r="C352" s="22"/>
      <c r="D352" s="22"/>
    </row>
    <row r="353">
      <c r="C353" s="22"/>
      <c r="D353" s="22"/>
    </row>
    <row r="354">
      <c r="C354" s="22"/>
      <c r="D354" s="22"/>
    </row>
    <row r="355">
      <c r="C355" s="22"/>
      <c r="D355" s="22"/>
    </row>
    <row r="356">
      <c r="C356" s="22"/>
      <c r="D356" s="22"/>
    </row>
    <row r="357">
      <c r="C357" s="22"/>
      <c r="D357" s="22"/>
    </row>
    <row r="358">
      <c r="C358" s="22"/>
      <c r="D358" s="22"/>
    </row>
    <row r="359">
      <c r="C359" s="22"/>
      <c r="D359" s="22"/>
    </row>
    <row r="360">
      <c r="C360" s="22"/>
      <c r="D360" s="22"/>
    </row>
    <row r="361">
      <c r="C361" s="22"/>
      <c r="D361" s="22"/>
    </row>
    <row r="362">
      <c r="C362" s="22"/>
      <c r="D362" s="22"/>
    </row>
    <row r="363">
      <c r="C363" s="22"/>
      <c r="D363" s="22"/>
    </row>
    <row r="364">
      <c r="C364" s="22"/>
      <c r="D364" s="22"/>
    </row>
    <row r="365">
      <c r="C365" s="22"/>
      <c r="D365" s="22"/>
    </row>
    <row r="366">
      <c r="C366" s="22"/>
      <c r="D366" s="22"/>
    </row>
    <row r="367">
      <c r="C367" s="22"/>
      <c r="D367" s="22"/>
    </row>
    <row r="368">
      <c r="C368" s="22"/>
      <c r="D368" s="22"/>
    </row>
    <row r="369">
      <c r="C369" s="22"/>
      <c r="D369" s="22"/>
    </row>
    <row r="370">
      <c r="C370" s="22"/>
      <c r="D370" s="22"/>
    </row>
    <row r="371">
      <c r="C371" s="22"/>
      <c r="D371" s="22"/>
    </row>
    <row r="372">
      <c r="C372" s="22"/>
      <c r="D372" s="22"/>
    </row>
    <row r="373">
      <c r="C373" s="22"/>
      <c r="D373" s="22"/>
    </row>
    <row r="374">
      <c r="C374" s="22"/>
      <c r="D374" s="22"/>
    </row>
    <row r="375">
      <c r="C375" s="22"/>
      <c r="D375" s="22"/>
    </row>
    <row r="376">
      <c r="C376" s="22"/>
      <c r="D376" s="22"/>
    </row>
    <row r="377">
      <c r="C377" s="22"/>
      <c r="D377" s="22"/>
    </row>
    <row r="378">
      <c r="C378" s="22"/>
      <c r="D378" s="22"/>
    </row>
    <row r="379">
      <c r="C379" s="22"/>
      <c r="D379" s="22"/>
    </row>
    <row r="380">
      <c r="C380" s="22"/>
      <c r="D380" s="22"/>
    </row>
    <row r="381">
      <c r="C381" s="22"/>
      <c r="D381" s="22"/>
    </row>
    <row r="382">
      <c r="C382" s="22"/>
      <c r="D382" s="22"/>
    </row>
    <row r="383">
      <c r="C383" s="22"/>
      <c r="D383" s="22"/>
    </row>
    <row r="384">
      <c r="C384" s="22"/>
      <c r="D384" s="22"/>
    </row>
    <row r="385">
      <c r="C385" s="22"/>
      <c r="D385" s="22"/>
    </row>
    <row r="386">
      <c r="C386" s="22"/>
      <c r="D386" s="22"/>
    </row>
    <row r="387">
      <c r="C387" s="22"/>
      <c r="D387" s="22"/>
    </row>
    <row r="388">
      <c r="C388" s="22"/>
      <c r="D388" s="22"/>
    </row>
    <row r="389">
      <c r="C389" s="22"/>
      <c r="D389" s="22"/>
    </row>
    <row r="390">
      <c r="C390" s="22"/>
      <c r="D390" s="22"/>
    </row>
    <row r="391">
      <c r="C391" s="22"/>
      <c r="D391" s="22"/>
    </row>
    <row r="392">
      <c r="C392" s="22"/>
      <c r="D392" s="22"/>
    </row>
    <row r="393">
      <c r="C393" s="22"/>
      <c r="D393" s="22"/>
    </row>
    <row r="394">
      <c r="C394" s="22"/>
      <c r="D394" s="22"/>
    </row>
    <row r="395">
      <c r="C395" s="22"/>
      <c r="D395" s="22"/>
    </row>
    <row r="396">
      <c r="C396" s="22"/>
      <c r="D396" s="22"/>
    </row>
    <row r="397">
      <c r="C397" s="22"/>
      <c r="D397" s="22"/>
    </row>
    <row r="398">
      <c r="C398" s="22"/>
      <c r="D398" s="22"/>
    </row>
    <row r="399">
      <c r="C399" s="22"/>
      <c r="D399" s="22"/>
    </row>
    <row r="400">
      <c r="C400" s="22"/>
      <c r="D400" s="22"/>
    </row>
    <row r="401">
      <c r="C401" s="22"/>
      <c r="D401" s="22"/>
    </row>
    <row r="402">
      <c r="C402" s="22"/>
      <c r="D402" s="22"/>
    </row>
    <row r="403">
      <c r="C403" s="22"/>
      <c r="D403" s="22"/>
    </row>
    <row r="404">
      <c r="C404" s="22"/>
      <c r="D404" s="22"/>
    </row>
    <row r="405">
      <c r="C405" s="22"/>
      <c r="D405" s="22"/>
    </row>
    <row r="406">
      <c r="C406" s="22"/>
      <c r="D406" s="22"/>
    </row>
    <row r="407">
      <c r="C407" s="22"/>
      <c r="D407" s="22"/>
    </row>
    <row r="408">
      <c r="C408" s="22"/>
      <c r="D408" s="22"/>
    </row>
    <row r="409">
      <c r="C409" s="22"/>
      <c r="D409" s="22"/>
    </row>
    <row r="410">
      <c r="C410" s="22"/>
      <c r="D410" s="22"/>
    </row>
    <row r="411">
      <c r="C411" s="22"/>
      <c r="D411" s="22"/>
    </row>
    <row r="412">
      <c r="C412" s="22"/>
      <c r="D412" s="22"/>
    </row>
    <row r="413">
      <c r="C413" s="22"/>
      <c r="D413" s="22"/>
    </row>
    <row r="414">
      <c r="C414" s="22"/>
      <c r="D414" s="22"/>
    </row>
    <row r="415">
      <c r="C415" s="22"/>
      <c r="D415" s="22"/>
    </row>
    <row r="416">
      <c r="C416" s="22"/>
      <c r="D416" s="22"/>
    </row>
    <row r="417">
      <c r="C417" s="22"/>
      <c r="D417" s="22"/>
    </row>
    <row r="418">
      <c r="C418" s="22"/>
      <c r="D418" s="22"/>
    </row>
    <row r="419">
      <c r="C419" s="22"/>
      <c r="D419" s="22"/>
    </row>
    <row r="420">
      <c r="C420" s="22"/>
      <c r="D420" s="22"/>
    </row>
    <row r="421">
      <c r="C421" s="22"/>
      <c r="D421" s="22"/>
    </row>
    <row r="422">
      <c r="C422" s="22"/>
      <c r="D422" s="22"/>
    </row>
    <row r="423">
      <c r="C423" s="22"/>
      <c r="D423" s="22"/>
    </row>
    <row r="424">
      <c r="C424" s="22"/>
      <c r="D424" s="22"/>
    </row>
    <row r="425">
      <c r="C425" s="22"/>
      <c r="D425" s="22"/>
    </row>
    <row r="426">
      <c r="C426" s="22"/>
      <c r="D426" s="22"/>
    </row>
    <row r="427">
      <c r="C427" s="22"/>
      <c r="D427" s="22"/>
    </row>
    <row r="428">
      <c r="C428" s="22"/>
      <c r="D428" s="22"/>
    </row>
    <row r="429">
      <c r="C429" s="22"/>
      <c r="D429" s="22"/>
    </row>
    <row r="430">
      <c r="C430" s="22"/>
      <c r="D430" s="22"/>
    </row>
    <row r="431">
      <c r="C431" s="22"/>
      <c r="D431" s="22"/>
    </row>
    <row r="432">
      <c r="C432" s="22"/>
      <c r="D432" s="22"/>
    </row>
    <row r="433">
      <c r="C433" s="22"/>
      <c r="D433" s="22"/>
    </row>
    <row r="434">
      <c r="C434" s="22"/>
      <c r="D434" s="22"/>
    </row>
    <row r="435">
      <c r="C435" s="22"/>
      <c r="D435" s="22"/>
    </row>
    <row r="436">
      <c r="C436" s="22"/>
      <c r="D436" s="22"/>
    </row>
    <row r="437">
      <c r="C437" s="22"/>
      <c r="D437" s="22"/>
    </row>
    <row r="438">
      <c r="C438" s="22"/>
      <c r="D438" s="22"/>
    </row>
    <row r="439">
      <c r="C439" s="22"/>
      <c r="D439" s="22"/>
    </row>
    <row r="440">
      <c r="C440" s="22"/>
      <c r="D440" s="22"/>
    </row>
    <row r="441">
      <c r="C441" s="22"/>
      <c r="D441" s="22"/>
    </row>
    <row r="442">
      <c r="C442" s="22"/>
      <c r="D442" s="22"/>
    </row>
    <row r="443">
      <c r="C443" s="22"/>
      <c r="D443" s="22"/>
    </row>
    <row r="444">
      <c r="C444" s="22"/>
      <c r="D444" s="22"/>
    </row>
    <row r="445">
      <c r="C445" s="22"/>
      <c r="D445" s="22"/>
    </row>
    <row r="446">
      <c r="C446" s="22"/>
      <c r="D446" s="22"/>
    </row>
    <row r="447">
      <c r="C447" s="22"/>
      <c r="D447" s="22"/>
    </row>
    <row r="448">
      <c r="C448" s="22"/>
      <c r="D448" s="22"/>
    </row>
    <row r="449">
      <c r="C449" s="22"/>
      <c r="D449" s="22"/>
    </row>
    <row r="450">
      <c r="C450" s="22"/>
      <c r="D450" s="22"/>
    </row>
    <row r="451">
      <c r="C451" s="22"/>
      <c r="D451" s="22"/>
    </row>
    <row r="452">
      <c r="C452" s="22"/>
      <c r="D452" s="22"/>
    </row>
    <row r="453">
      <c r="C453" s="22"/>
      <c r="D453" s="22"/>
    </row>
    <row r="454">
      <c r="C454" s="22"/>
      <c r="D454" s="22"/>
    </row>
    <row r="455">
      <c r="C455" s="22"/>
      <c r="D455" s="22"/>
    </row>
    <row r="456">
      <c r="C456" s="22"/>
      <c r="D456" s="22"/>
    </row>
    <row r="457">
      <c r="C457" s="22"/>
      <c r="D457" s="22"/>
    </row>
    <row r="458">
      <c r="C458" s="22"/>
      <c r="D458" s="22"/>
    </row>
    <row r="459">
      <c r="C459" s="22"/>
      <c r="D459" s="22"/>
    </row>
    <row r="460">
      <c r="C460" s="22"/>
      <c r="D460" s="22"/>
    </row>
    <row r="461">
      <c r="C461" s="22"/>
      <c r="D461" s="22"/>
    </row>
    <row r="462">
      <c r="C462" s="22"/>
      <c r="D462" s="22"/>
    </row>
    <row r="463">
      <c r="C463" s="22"/>
      <c r="D463" s="22"/>
    </row>
    <row r="464">
      <c r="C464" s="22"/>
      <c r="D464" s="22"/>
    </row>
    <row r="465">
      <c r="C465" s="22"/>
      <c r="D465" s="22"/>
    </row>
    <row r="466">
      <c r="C466" s="22"/>
      <c r="D466" s="22"/>
    </row>
    <row r="467">
      <c r="C467" s="22"/>
      <c r="D467" s="22"/>
    </row>
    <row r="468">
      <c r="C468" s="22"/>
      <c r="D468" s="22"/>
    </row>
    <row r="469">
      <c r="C469" s="22"/>
      <c r="D469" s="22"/>
    </row>
    <row r="470">
      <c r="C470" s="22"/>
      <c r="D470" s="22"/>
    </row>
    <row r="471">
      <c r="C471" s="22"/>
      <c r="D471" s="22"/>
    </row>
    <row r="472">
      <c r="C472" s="22"/>
      <c r="D472" s="22"/>
    </row>
    <row r="473">
      <c r="C473" s="22"/>
      <c r="D473" s="22"/>
    </row>
    <row r="474">
      <c r="C474" s="22"/>
      <c r="D474" s="22"/>
    </row>
    <row r="475">
      <c r="C475" s="22"/>
      <c r="D475" s="22"/>
    </row>
    <row r="476">
      <c r="C476" s="22"/>
      <c r="D476" s="22"/>
    </row>
    <row r="477">
      <c r="C477" s="22"/>
      <c r="D477" s="22"/>
    </row>
    <row r="478">
      <c r="C478" s="22"/>
      <c r="D478" s="22"/>
    </row>
    <row r="479">
      <c r="C479" s="22"/>
      <c r="D479" s="22"/>
    </row>
    <row r="480">
      <c r="C480" s="22"/>
      <c r="D480" s="22"/>
    </row>
    <row r="481">
      <c r="C481" s="22"/>
      <c r="D481" s="22"/>
    </row>
    <row r="482">
      <c r="C482" s="22"/>
      <c r="D482" s="22"/>
    </row>
    <row r="483">
      <c r="C483" s="22"/>
      <c r="D483" s="22"/>
    </row>
    <row r="484">
      <c r="C484" s="22"/>
      <c r="D484" s="22"/>
    </row>
    <row r="485">
      <c r="C485" s="22"/>
      <c r="D485" s="22"/>
    </row>
    <row r="486">
      <c r="C486" s="22"/>
      <c r="D486" s="22"/>
    </row>
    <row r="487">
      <c r="C487" s="22"/>
      <c r="D487" s="22"/>
    </row>
    <row r="488">
      <c r="C488" s="22"/>
      <c r="D488" s="22"/>
    </row>
    <row r="489">
      <c r="C489" s="22"/>
      <c r="D489" s="22"/>
    </row>
    <row r="490">
      <c r="C490" s="22"/>
      <c r="D490" s="22"/>
    </row>
    <row r="491">
      <c r="C491" s="22"/>
      <c r="D491" s="22"/>
    </row>
    <row r="492">
      <c r="C492" s="22"/>
      <c r="D492" s="22"/>
    </row>
    <row r="493">
      <c r="C493" s="22"/>
      <c r="D493" s="22"/>
    </row>
    <row r="494">
      <c r="C494" s="22"/>
      <c r="D494" s="22"/>
    </row>
    <row r="495">
      <c r="C495" s="22"/>
      <c r="D495" s="22"/>
    </row>
    <row r="496">
      <c r="C496" s="22"/>
      <c r="D496" s="22"/>
    </row>
    <row r="497">
      <c r="C497" s="22"/>
      <c r="D497" s="22"/>
    </row>
    <row r="498">
      <c r="C498" s="22"/>
      <c r="D498" s="22"/>
    </row>
    <row r="499">
      <c r="C499" s="22"/>
      <c r="D499" s="22"/>
    </row>
    <row r="500">
      <c r="C500" s="22"/>
      <c r="D500" s="22"/>
    </row>
    <row r="501">
      <c r="C501" s="22"/>
      <c r="D501" s="22"/>
    </row>
    <row r="502">
      <c r="C502" s="22"/>
      <c r="D502" s="22"/>
    </row>
    <row r="503">
      <c r="C503" s="22"/>
      <c r="D503" s="22"/>
    </row>
    <row r="504">
      <c r="C504" s="22"/>
      <c r="D504" s="22"/>
    </row>
    <row r="505">
      <c r="C505" s="22"/>
      <c r="D505" s="22"/>
    </row>
    <row r="506">
      <c r="C506" s="22"/>
      <c r="D506" s="22"/>
    </row>
    <row r="507">
      <c r="C507" s="22"/>
      <c r="D507" s="22"/>
    </row>
    <row r="508">
      <c r="C508" s="22"/>
      <c r="D508" s="22"/>
    </row>
    <row r="509">
      <c r="C509" s="22"/>
      <c r="D509" s="22"/>
    </row>
    <row r="510">
      <c r="C510" s="22"/>
      <c r="D510" s="22"/>
    </row>
    <row r="511">
      <c r="C511" s="22"/>
      <c r="D511" s="22"/>
    </row>
    <row r="512">
      <c r="C512" s="22"/>
      <c r="D512" s="22"/>
    </row>
    <row r="513">
      <c r="C513" s="22"/>
      <c r="D513" s="22"/>
    </row>
    <row r="514">
      <c r="C514" s="22"/>
      <c r="D514" s="22"/>
    </row>
    <row r="515">
      <c r="C515" s="22"/>
      <c r="D515" s="22"/>
    </row>
    <row r="516">
      <c r="C516" s="22"/>
      <c r="D516" s="22"/>
    </row>
    <row r="517">
      <c r="C517" s="22"/>
      <c r="D517" s="22"/>
    </row>
    <row r="518">
      <c r="C518" s="22"/>
      <c r="D518" s="22"/>
    </row>
    <row r="519">
      <c r="C519" s="22"/>
      <c r="D519" s="22"/>
    </row>
    <row r="520">
      <c r="C520" s="22"/>
      <c r="D520" s="22"/>
    </row>
    <row r="521">
      <c r="C521" s="22"/>
      <c r="D521" s="22"/>
    </row>
    <row r="522">
      <c r="C522" s="22"/>
      <c r="D522" s="22"/>
    </row>
    <row r="523">
      <c r="C523" s="22"/>
      <c r="D523" s="22"/>
    </row>
    <row r="524">
      <c r="C524" s="22"/>
      <c r="D524" s="22"/>
    </row>
    <row r="525">
      <c r="C525" s="22"/>
      <c r="D525" s="22"/>
    </row>
    <row r="526">
      <c r="C526" s="22"/>
      <c r="D526" s="22"/>
    </row>
    <row r="527">
      <c r="C527" s="22"/>
      <c r="D527" s="22"/>
    </row>
    <row r="528">
      <c r="C528" s="22"/>
      <c r="D528" s="22"/>
    </row>
    <row r="529">
      <c r="C529" s="22"/>
      <c r="D529" s="22"/>
    </row>
    <row r="530">
      <c r="C530" s="22"/>
      <c r="D530" s="22"/>
    </row>
    <row r="531">
      <c r="C531" s="22"/>
      <c r="D531" s="22"/>
    </row>
    <row r="532">
      <c r="C532" s="22"/>
      <c r="D532" s="22"/>
    </row>
    <row r="533">
      <c r="C533" s="22"/>
      <c r="D533" s="22"/>
    </row>
    <row r="534">
      <c r="C534" s="22"/>
      <c r="D534" s="22"/>
    </row>
    <row r="535">
      <c r="C535" s="22"/>
      <c r="D535" s="22"/>
    </row>
    <row r="536">
      <c r="C536" s="22"/>
      <c r="D536" s="22"/>
    </row>
    <row r="537">
      <c r="C537" s="22"/>
      <c r="D537" s="22"/>
    </row>
    <row r="538">
      <c r="C538" s="22"/>
      <c r="D538" s="22"/>
    </row>
    <row r="539">
      <c r="C539" s="22"/>
      <c r="D539" s="22"/>
    </row>
    <row r="540">
      <c r="C540" s="22"/>
      <c r="D540" s="22"/>
    </row>
    <row r="541">
      <c r="C541" s="22"/>
      <c r="D541" s="22"/>
    </row>
    <row r="542">
      <c r="C542" s="22"/>
      <c r="D542" s="22"/>
    </row>
    <row r="543">
      <c r="C543" s="22"/>
      <c r="D543" s="22"/>
    </row>
    <row r="544">
      <c r="C544" s="22"/>
      <c r="D544" s="22"/>
    </row>
    <row r="545">
      <c r="C545" s="22"/>
      <c r="D545" s="22"/>
    </row>
    <row r="546">
      <c r="C546" s="22"/>
      <c r="D546" s="22"/>
    </row>
    <row r="547">
      <c r="C547" s="22"/>
      <c r="D547" s="22"/>
    </row>
    <row r="548">
      <c r="C548" s="22"/>
      <c r="D548" s="22"/>
    </row>
    <row r="549">
      <c r="C549" s="22"/>
      <c r="D549" s="22"/>
    </row>
    <row r="550">
      <c r="C550" s="22"/>
      <c r="D550" s="22"/>
    </row>
    <row r="551">
      <c r="C551" s="22"/>
      <c r="D551" s="22"/>
    </row>
    <row r="552">
      <c r="C552" s="22"/>
      <c r="D552" s="22"/>
    </row>
    <row r="553">
      <c r="C553" s="22"/>
      <c r="D553" s="22"/>
    </row>
    <row r="554">
      <c r="C554" s="22"/>
      <c r="D554" s="22"/>
    </row>
    <row r="555">
      <c r="C555" s="22"/>
      <c r="D555" s="22"/>
    </row>
    <row r="556">
      <c r="C556" s="22"/>
      <c r="D556" s="22"/>
    </row>
    <row r="557">
      <c r="C557" s="22"/>
      <c r="D557" s="22"/>
    </row>
    <row r="558">
      <c r="C558" s="22"/>
      <c r="D558" s="22"/>
    </row>
    <row r="559">
      <c r="C559" s="22"/>
      <c r="D559" s="22"/>
    </row>
    <row r="560">
      <c r="C560" s="22"/>
      <c r="D560" s="22"/>
    </row>
    <row r="561">
      <c r="C561" s="22"/>
      <c r="D561" s="22"/>
    </row>
    <row r="562">
      <c r="C562" s="22"/>
      <c r="D562" s="22"/>
    </row>
    <row r="563">
      <c r="C563" s="22"/>
      <c r="D563" s="22"/>
    </row>
    <row r="564">
      <c r="C564" s="22"/>
      <c r="D564" s="22"/>
    </row>
    <row r="565">
      <c r="C565" s="22"/>
      <c r="D565" s="22"/>
    </row>
    <row r="566">
      <c r="C566" s="22"/>
      <c r="D566" s="22"/>
    </row>
    <row r="567">
      <c r="C567" s="22"/>
      <c r="D567" s="22"/>
    </row>
    <row r="568">
      <c r="C568" s="22"/>
      <c r="D568" s="22"/>
    </row>
    <row r="569">
      <c r="C569" s="22"/>
      <c r="D569" s="22"/>
    </row>
    <row r="570">
      <c r="C570" s="22"/>
      <c r="D570" s="22"/>
    </row>
    <row r="571">
      <c r="C571" s="22"/>
      <c r="D571" s="22"/>
    </row>
    <row r="572">
      <c r="C572" s="22"/>
      <c r="D572" s="22"/>
    </row>
    <row r="573">
      <c r="C573" s="22"/>
      <c r="D573" s="22"/>
    </row>
    <row r="574">
      <c r="C574" s="22"/>
      <c r="D574" s="22"/>
    </row>
    <row r="575">
      <c r="C575" s="22"/>
      <c r="D575" s="22"/>
    </row>
    <row r="576">
      <c r="C576" s="22"/>
      <c r="D576" s="22"/>
    </row>
    <row r="577">
      <c r="C577" s="22"/>
      <c r="D577" s="22"/>
    </row>
    <row r="578">
      <c r="C578" s="22"/>
      <c r="D578" s="22"/>
    </row>
    <row r="579">
      <c r="C579" s="22"/>
      <c r="D579" s="22"/>
    </row>
    <row r="580">
      <c r="C580" s="22"/>
      <c r="D580" s="22"/>
    </row>
    <row r="581">
      <c r="C581" s="22"/>
      <c r="D581" s="22"/>
    </row>
    <row r="582">
      <c r="C582" s="22"/>
      <c r="D582" s="22"/>
    </row>
    <row r="583">
      <c r="C583" s="22"/>
      <c r="D583" s="22"/>
    </row>
    <row r="584">
      <c r="C584" s="22"/>
      <c r="D584" s="22"/>
    </row>
    <row r="585">
      <c r="C585" s="22"/>
      <c r="D585" s="22"/>
    </row>
    <row r="586">
      <c r="C586" s="22"/>
      <c r="D586" s="22"/>
    </row>
    <row r="587">
      <c r="C587" s="22"/>
      <c r="D587" s="22"/>
    </row>
    <row r="588">
      <c r="C588" s="22"/>
      <c r="D588" s="22"/>
    </row>
    <row r="589">
      <c r="C589" s="22"/>
      <c r="D589" s="22"/>
    </row>
    <row r="590">
      <c r="C590" s="22"/>
      <c r="D590" s="22"/>
    </row>
    <row r="591">
      <c r="C591" s="22"/>
      <c r="D591" s="22"/>
    </row>
    <row r="592">
      <c r="C592" s="22"/>
      <c r="D592" s="22"/>
    </row>
    <row r="593">
      <c r="C593" s="22"/>
      <c r="D593" s="22"/>
    </row>
    <row r="594">
      <c r="C594" s="22"/>
      <c r="D594" s="22"/>
    </row>
    <row r="595">
      <c r="C595" s="22"/>
      <c r="D595" s="22"/>
    </row>
    <row r="596">
      <c r="C596" s="22"/>
      <c r="D596" s="22"/>
    </row>
    <row r="597">
      <c r="C597" s="22"/>
      <c r="D597" s="22"/>
    </row>
    <row r="598">
      <c r="C598" s="22"/>
      <c r="D598" s="22"/>
    </row>
    <row r="599">
      <c r="C599" s="22"/>
      <c r="D599" s="22"/>
    </row>
    <row r="600">
      <c r="C600" s="22"/>
      <c r="D600" s="22"/>
    </row>
    <row r="601">
      <c r="C601" s="22"/>
      <c r="D601" s="22"/>
    </row>
    <row r="602">
      <c r="C602" s="22"/>
      <c r="D602" s="22"/>
    </row>
    <row r="603">
      <c r="C603" s="22"/>
      <c r="D603" s="22"/>
    </row>
    <row r="604">
      <c r="C604" s="22"/>
      <c r="D604" s="22"/>
    </row>
    <row r="605">
      <c r="C605" s="22"/>
      <c r="D605" s="22"/>
    </row>
    <row r="606">
      <c r="C606" s="22"/>
      <c r="D606" s="22"/>
    </row>
    <row r="607">
      <c r="C607" s="22"/>
      <c r="D607" s="22"/>
    </row>
    <row r="608">
      <c r="C608" s="22"/>
      <c r="D608" s="22"/>
    </row>
    <row r="609">
      <c r="C609" s="22"/>
      <c r="D609" s="22"/>
    </row>
    <row r="610">
      <c r="C610" s="22"/>
      <c r="D610" s="22"/>
    </row>
    <row r="611">
      <c r="C611" s="22"/>
      <c r="D611" s="22"/>
    </row>
    <row r="612">
      <c r="C612" s="22"/>
      <c r="D612" s="22"/>
    </row>
    <row r="613">
      <c r="C613" s="22"/>
      <c r="D613" s="22"/>
    </row>
    <row r="614">
      <c r="C614" s="22"/>
      <c r="D614" s="22"/>
    </row>
    <row r="615">
      <c r="C615" s="22"/>
      <c r="D615" s="22"/>
    </row>
    <row r="616">
      <c r="C616" s="22"/>
      <c r="D616" s="22"/>
    </row>
    <row r="617">
      <c r="C617" s="22"/>
      <c r="D617" s="22"/>
    </row>
    <row r="618">
      <c r="C618" s="22"/>
      <c r="D618" s="22"/>
    </row>
    <row r="619">
      <c r="C619" s="22"/>
      <c r="D619" s="22"/>
    </row>
    <row r="620">
      <c r="C620" s="22"/>
      <c r="D620" s="22"/>
    </row>
    <row r="621">
      <c r="C621" s="22"/>
      <c r="D621" s="22"/>
    </row>
    <row r="622">
      <c r="C622" s="22"/>
      <c r="D622" s="22"/>
    </row>
    <row r="623">
      <c r="C623" s="22"/>
      <c r="D623" s="22"/>
    </row>
    <row r="624">
      <c r="C624" s="22"/>
      <c r="D624" s="22"/>
    </row>
    <row r="625">
      <c r="C625" s="22"/>
      <c r="D625" s="22"/>
    </row>
    <row r="626">
      <c r="C626" s="22"/>
      <c r="D626" s="22"/>
    </row>
    <row r="627">
      <c r="C627" s="22"/>
      <c r="D627" s="22"/>
    </row>
    <row r="628">
      <c r="C628" s="22"/>
      <c r="D628" s="22"/>
    </row>
    <row r="629">
      <c r="C629" s="22"/>
      <c r="D629" s="22"/>
    </row>
    <row r="630">
      <c r="C630" s="22"/>
      <c r="D630" s="22"/>
    </row>
    <row r="631">
      <c r="C631" s="22"/>
      <c r="D631" s="22"/>
    </row>
    <row r="632">
      <c r="C632" s="22"/>
      <c r="D632" s="22"/>
    </row>
    <row r="633">
      <c r="C633" s="22"/>
      <c r="D633" s="22"/>
    </row>
    <row r="634">
      <c r="C634" s="22"/>
      <c r="D634" s="22"/>
    </row>
    <row r="635">
      <c r="C635" s="22"/>
      <c r="D635" s="22"/>
    </row>
    <row r="636">
      <c r="C636" s="22"/>
      <c r="D636" s="22"/>
    </row>
    <row r="637">
      <c r="C637" s="22"/>
      <c r="D637" s="22"/>
    </row>
    <row r="638">
      <c r="C638" s="22"/>
      <c r="D638" s="22"/>
    </row>
    <row r="639">
      <c r="C639" s="22"/>
      <c r="D639" s="22"/>
    </row>
    <row r="640">
      <c r="C640" s="22"/>
      <c r="D640" s="22"/>
    </row>
    <row r="641">
      <c r="C641" s="22"/>
      <c r="D641" s="22"/>
    </row>
    <row r="642">
      <c r="C642" s="22"/>
      <c r="D642" s="22"/>
    </row>
    <row r="643">
      <c r="C643" s="22"/>
      <c r="D643" s="22"/>
    </row>
    <row r="644">
      <c r="C644" s="22"/>
      <c r="D644" s="22"/>
    </row>
    <row r="645">
      <c r="C645" s="22"/>
      <c r="D645" s="22"/>
    </row>
    <row r="646">
      <c r="C646" s="22"/>
      <c r="D646" s="22"/>
    </row>
    <row r="647">
      <c r="C647" s="22"/>
      <c r="D647" s="22"/>
    </row>
    <row r="648">
      <c r="C648" s="22"/>
      <c r="D648" s="22"/>
    </row>
    <row r="649">
      <c r="C649" s="22"/>
      <c r="D649" s="22"/>
    </row>
    <row r="650">
      <c r="C650" s="22"/>
      <c r="D650" s="22"/>
    </row>
    <row r="651">
      <c r="C651" s="22"/>
      <c r="D651" s="22"/>
    </row>
    <row r="652">
      <c r="C652" s="22"/>
      <c r="D652" s="22"/>
    </row>
    <row r="653">
      <c r="C653" s="22"/>
      <c r="D653" s="22"/>
    </row>
    <row r="654">
      <c r="C654" s="22"/>
      <c r="D654" s="22"/>
    </row>
    <row r="655">
      <c r="C655" s="22"/>
      <c r="D655" s="22"/>
    </row>
    <row r="656">
      <c r="C656" s="22"/>
      <c r="D656" s="22"/>
    </row>
    <row r="657">
      <c r="C657" s="22"/>
      <c r="D657" s="22"/>
    </row>
    <row r="658">
      <c r="C658" s="22"/>
      <c r="D658" s="22"/>
    </row>
    <row r="659">
      <c r="C659" s="22"/>
      <c r="D659" s="22"/>
    </row>
    <row r="660">
      <c r="C660" s="22"/>
      <c r="D660" s="22"/>
    </row>
    <row r="661">
      <c r="C661" s="22"/>
      <c r="D661" s="22"/>
    </row>
    <row r="662">
      <c r="C662" s="22"/>
      <c r="D662" s="22"/>
    </row>
    <row r="663">
      <c r="C663" s="22"/>
      <c r="D663" s="22"/>
    </row>
    <row r="664">
      <c r="C664" s="22"/>
      <c r="D664" s="22"/>
    </row>
    <row r="665">
      <c r="C665" s="22"/>
      <c r="D665" s="22"/>
    </row>
    <row r="666">
      <c r="C666" s="22"/>
      <c r="D666" s="22"/>
    </row>
    <row r="667">
      <c r="C667" s="22"/>
      <c r="D667" s="22"/>
    </row>
    <row r="668">
      <c r="C668" s="22"/>
      <c r="D668" s="22"/>
    </row>
    <row r="669">
      <c r="C669" s="22"/>
      <c r="D669" s="22"/>
    </row>
    <row r="670">
      <c r="C670" s="22"/>
      <c r="D670" s="22"/>
    </row>
    <row r="671">
      <c r="C671" s="22"/>
      <c r="D671" s="22"/>
    </row>
    <row r="672">
      <c r="C672" s="22"/>
      <c r="D672" s="22"/>
    </row>
    <row r="673">
      <c r="C673" s="22"/>
      <c r="D673" s="22"/>
    </row>
    <row r="674">
      <c r="C674" s="22"/>
      <c r="D674" s="22"/>
    </row>
    <row r="675">
      <c r="C675" s="22"/>
      <c r="D675" s="22"/>
    </row>
    <row r="676">
      <c r="C676" s="22"/>
      <c r="D676" s="22"/>
    </row>
    <row r="677">
      <c r="C677" s="22"/>
      <c r="D677" s="22"/>
    </row>
    <row r="678">
      <c r="C678" s="22"/>
      <c r="D678" s="22"/>
    </row>
    <row r="679">
      <c r="C679" s="22"/>
      <c r="D679" s="22"/>
    </row>
    <row r="680">
      <c r="C680" s="22"/>
      <c r="D680" s="22"/>
    </row>
    <row r="681">
      <c r="C681" s="22"/>
      <c r="D681" s="22"/>
    </row>
    <row r="682">
      <c r="C682" s="22"/>
      <c r="D682" s="22"/>
    </row>
    <row r="683">
      <c r="C683" s="22"/>
      <c r="D683" s="22"/>
    </row>
    <row r="684">
      <c r="C684" s="22"/>
      <c r="D684" s="22"/>
    </row>
    <row r="685">
      <c r="C685" s="22"/>
      <c r="D685" s="22"/>
    </row>
    <row r="686">
      <c r="C686" s="22"/>
      <c r="D686" s="22"/>
    </row>
    <row r="687">
      <c r="C687" s="22"/>
      <c r="D687" s="22"/>
    </row>
    <row r="688">
      <c r="C688" s="22"/>
      <c r="D688" s="22"/>
    </row>
    <row r="689">
      <c r="C689" s="22"/>
      <c r="D689" s="22"/>
    </row>
    <row r="690">
      <c r="C690" s="22"/>
      <c r="D690" s="22"/>
    </row>
    <row r="691">
      <c r="C691" s="22"/>
      <c r="D691" s="22"/>
    </row>
    <row r="692">
      <c r="C692" s="22"/>
      <c r="D692" s="22"/>
    </row>
    <row r="693">
      <c r="C693" s="22"/>
      <c r="D693" s="22"/>
    </row>
    <row r="694">
      <c r="C694" s="22"/>
      <c r="D694" s="22"/>
    </row>
    <row r="695">
      <c r="C695" s="22"/>
      <c r="D695" s="22"/>
    </row>
    <row r="696">
      <c r="C696" s="22"/>
      <c r="D696" s="22"/>
    </row>
    <row r="697">
      <c r="C697" s="22"/>
      <c r="D697" s="22"/>
    </row>
    <row r="698">
      <c r="C698" s="22"/>
      <c r="D698" s="22"/>
    </row>
    <row r="699">
      <c r="C699" s="22"/>
      <c r="D699" s="22"/>
    </row>
    <row r="700">
      <c r="C700" s="22"/>
      <c r="D700" s="22"/>
    </row>
    <row r="701">
      <c r="C701" s="22"/>
      <c r="D701" s="22"/>
    </row>
    <row r="702">
      <c r="C702" s="22"/>
      <c r="D702" s="22"/>
    </row>
    <row r="703">
      <c r="C703" s="22"/>
      <c r="D703" s="22"/>
    </row>
    <row r="704">
      <c r="C704" s="22"/>
      <c r="D704" s="22"/>
    </row>
    <row r="705">
      <c r="C705" s="22"/>
      <c r="D705" s="22"/>
    </row>
    <row r="706">
      <c r="C706" s="22"/>
      <c r="D706" s="22"/>
    </row>
    <row r="707">
      <c r="C707" s="22"/>
      <c r="D707" s="22"/>
    </row>
    <row r="708">
      <c r="C708" s="22"/>
      <c r="D708" s="22"/>
    </row>
    <row r="709">
      <c r="C709" s="22"/>
      <c r="D709" s="22"/>
    </row>
    <row r="710">
      <c r="C710" s="22"/>
      <c r="D710" s="22"/>
    </row>
    <row r="711">
      <c r="C711" s="22"/>
      <c r="D711" s="22"/>
    </row>
    <row r="712">
      <c r="C712" s="22"/>
      <c r="D712" s="22"/>
    </row>
    <row r="713">
      <c r="C713" s="22"/>
      <c r="D713" s="22"/>
    </row>
    <row r="714">
      <c r="C714" s="22"/>
      <c r="D714" s="22"/>
    </row>
    <row r="715">
      <c r="C715" s="22"/>
      <c r="D715" s="22"/>
    </row>
    <row r="716">
      <c r="C716" s="22"/>
      <c r="D716" s="22"/>
    </row>
    <row r="717">
      <c r="C717" s="22"/>
      <c r="D717" s="22"/>
    </row>
    <row r="718">
      <c r="C718" s="22"/>
      <c r="D718" s="22"/>
    </row>
    <row r="719">
      <c r="C719" s="22"/>
      <c r="D719" s="22"/>
    </row>
    <row r="720">
      <c r="C720" s="22"/>
      <c r="D720" s="22"/>
    </row>
    <row r="721">
      <c r="C721" s="22"/>
      <c r="D721" s="22"/>
    </row>
    <row r="722">
      <c r="C722" s="22"/>
      <c r="D722" s="22"/>
    </row>
    <row r="723">
      <c r="C723" s="22"/>
      <c r="D723" s="22"/>
    </row>
    <row r="724">
      <c r="C724" s="22"/>
      <c r="D724" s="22"/>
    </row>
    <row r="725">
      <c r="C725" s="22"/>
      <c r="D725" s="22"/>
    </row>
    <row r="726">
      <c r="C726" s="22"/>
      <c r="D726" s="22"/>
    </row>
    <row r="727">
      <c r="C727" s="22"/>
      <c r="D727" s="22"/>
    </row>
    <row r="728">
      <c r="C728" s="22"/>
      <c r="D728" s="22"/>
    </row>
    <row r="729">
      <c r="C729" s="22"/>
      <c r="D729" s="22"/>
    </row>
    <row r="730">
      <c r="C730" s="22"/>
      <c r="D730" s="22"/>
    </row>
    <row r="731">
      <c r="C731" s="22"/>
      <c r="D731" s="22"/>
    </row>
    <row r="732">
      <c r="C732" s="22"/>
      <c r="D732" s="22"/>
    </row>
    <row r="733">
      <c r="C733" s="22"/>
      <c r="D733" s="22"/>
    </row>
    <row r="734">
      <c r="C734" s="22"/>
      <c r="D734" s="22"/>
    </row>
    <row r="735">
      <c r="C735" s="22"/>
      <c r="D735" s="22"/>
    </row>
    <row r="736">
      <c r="C736" s="22"/>
      <c r="D736" s="22"/>
    </row>
    <row r="737">
      <c r="C737" s="22"/>
      <c r="D737" s="22"/>
    </row>
    <row r="738">
      <c r="C738" s="22"/>
      <c r="D738" s="22"/>
    </row>
    <row r="739">
      <c r="C739" s="22"/>
      <c r="D739" s="22"/>
    </row>
    <row r="740">
      <c r="C740" s="22"/>
      <c r="D740" s="22"/>
    </row>
    <row r="741">
      <c r="C741" s="22"/>
      <c r="D741" s="22"/>
    </row>
    <row r="742">
      <c r="C742" s="22"/>
      <c r="D742" s="22"/>
    </row>
    <row r="743">
      <c r="C743" s="22"/>
      <c r="D743" s="22"/>
    </row>
    <row r="744">
      <c r="C744" s="22"/>
      <c r="D744" s="22"/>
    </row>
    <row r="745">
      <c r="C745" s="22"/>
      <c r="D745" s="22"/>
    </row>
    <row r="746">
      <c r="C746" s="22"/>
      <c r="D746" s="22"/>
    </row>
    <row r="747">
      <c r="C747" s="22"/>
      <c r="D747" s="22"/>
    </row>
    <row r="748">
      <c r="C748" s="22"/>
      <c r="D748" s="22"/>
    </row>
    <row r="749">
      <c r="C749" s="22"/>
      <c r="D749" s="22"/>
    </row>
    <row r="750">
      <c r="C750" s="22"/>
      <c r="D750" s="22"/>
    </row>
    <row r="751">
      <c r="C751" s="22"/>
      <c r="D751" s="22"/>
    </row>
    <row r="752">
      <c r="C752" s="22"/>
      <c r="D752" s="22"/>
    </row>
    <row r="753">
      <c r="C753" s="22"/>
      <c r="D753" s="22"/>
    </row>
    <row r="754">
      <c r="C754" s="22"/>
      <c r="D754" s="22"/>
    </row>
    <row r="755">
      <c r="C755" s="22"/>
      <c r="D755" s="22"/>
    </row>
    <row r="756">
      <c r="C756" s="22"/>
      <c r="D756" s="22"/>
    </row>
    <row r="757">
      <c r="C757" s="22"/>
      <c r="D757" s="22"/>
    </row>
    <row r="758">
      <c r="C758" s="22"/>
      <c r="D758" s="22"/>
    </row>
    <row r="759">
      <c r="C759" s="22"/>
      <c r="D759" s="22"/>
    </row>
    <row r="760">
      <c r="C760" s="22"/>
      <c r="D760" s="22"/>
    </row>
    <row r="761">
      <c r="C761" s="22"/>
      <c r="D761" s="22"/>
    </row>
    <row r="762">
      <c r="C762" s="22"/>
      <c r="D762" s="22"/>
    </row>
    <row r="763">
      <c r="C763" s="22"/>
      <c r="D763" s="22"/>
    </row>
    <row r="764">
      <c r="C764" s="22"/>
      <c r="D764" s="22"/>
    </row>
    <row r="765">
      <c r="C765" s="22"/>
      <c r="D765" s="22"/>
    </row>
    <row r="766">
      <c r="C766" s="22"/>
      <c r="D766" s="22"/>
    </row>
    <row r="767">
      <c r="C767" s="22"/>
      <c r="D767" s="22"/>
    </row>
    <row r="768">
      <c r="C768" s="22"/>
      <c r="D768" s="22"/>
    </row>
    <row r="769">
      <c r="C769" s="22"/>
      <c r="D769" s="22"/>
    </row>
    <row r="770">
      <c r="C770" s="22"/>
      <c r="D770" s="22"/>
    </row>
    <row r="771">
      <c r="C771" s="22"/>
      <c r="D771" s="22"/>
    </row>
    <row r="772">
      <c r="C772" s="22"/>
      <c r="D772" s="22"/>
    </row>
    <row r="773">
      <c r="C773" s="22"/>
      <c r="D773" s="22"/>
    </row>
    <row r="774">
      <c r="C774" s="22"/>
      <c r="D774" s="22"/>
    </row>
    <row r="775">
      <c r="C775" s="22"/>
      <c r="D775" s="22"/>
    </row>
    <row r="776">
      <c r="C776" s="22"/>
      <c r="D776" s="22"/>
    </row>
    <row r="777">
      <c r="C777" s="22"/>
      <c r="D777" s="22"/>
    </row>
    <row r="778">
      <c r="C778" s="22"/>
      <c r="D778" s="22"/>
    </row>
    <row r="779">
      <c r="C779" s="22"/>
      <c r="D779" s="22"/>
    </row>
    <row r="780">
      <c r="C780" s="22"/>
      <c r="D780" s="22"/>
    </row>
    <row r="781">
      <c r="C781" s="22"/>
      <c r="D781" s="22"/>
    </row>
    <row r="782">
      <c r="C782" s="22"/>
      <c r="D782" s="22"/>
    </row>
    <row r="783">
      <c r="C783" s="22"/>
      <c r="D783" s="22"/>
    </row>
    <row r="784">
      <c r="C784" s="22"/>
      <c r="D784" s="22"/>
    </row>
    <row r="785">
      <c r="C785" s="22"/>
      <c r="D785" s="22"/>
    </row>
    <row r="786">
      <c r="C786" s="22"/>
      <c r="D786" s="22"/>
    </row>
    <row r="787">
      <c r="C787" s="22"/>
      <c r="D787" s="22"/>
    </row>
    <row r="788">
      <c r="C788" s="22"/>
      <c r="D788" s="22"/>
    </row>
    <row r="789">
      <c r="C789" s="22"/>
      <c r="D789" s="22"/>
    </row>
    <row r="790">
      <c r="C790" s="22"/>
      <c r="D790" s="22"/>
    </row>
    <row r="791">
      <c r="C791" s="22"/>
      <c r="D791" s="22"/>
    </row>
    <row r="792">
      <c r="C792" s="22"/>
      <c r="D792" s="22"/>
    </row>
    <row r="793">
      <c r="C793" s="22"/>
      <c r="D793" s="22"/>
    </row>
    <row r="794">
      <c r="C794" s="22"/>
      <c r="D794" s="22"/>
    </row>
    <row r="795">
      <c r="C795" s="22"/>
      <c r="D795" s="22"/>
    </row>
    <row r="796">
      <c r="C796" s="22"/>
      <c r="D796" s="22"/>
    </row>
    <row r="797">
      <c r="C797" s="22"/>
      <c r="D797" s="22"/>
    </row>
    <row r="798">
      <c r="C798" s="22"/>
      <c r="D798" s="22"/>
    </row>
    <row r="799">
      <c r="C799" s="22"/>
      <c r="D799" s="22"/>
    </row>
    <row r="800">
      <c r="C800" s="22"/>
      <c r="D800" s="22"/>
    </row>
    <row r="801">
      <c r="C801" s="22"/>
      <c r="D801" s="22"/>
    </row>
    <row r="802">
      <c r="C802" s="22"/>
      <c r="D802" s="22"/>
    </row>
    <row r="803">
      <c r="C803" s="22"/>
      <c r="D803" s="22"/>
    </row>
    <row r="804">
      <c r="C804" s="22"/>
      <c r="D804" s="22"/>
    </row>
    <row r="805">
      <c r="C805" s="22"/>
      <c r="D805" s="22"/>
    </row>
    <row r="806">
      <c r="C806" s="22"/>
      <c r="D806" s="22"/>
    </row>
    <row r="807">
      <c r="C807" s="22"/>
      <c r="D807" s="22"/>
    </row>
    <row r="808">
      <c r="C808" s="22"/>
      <c r="D808" s="22"/>
    </row>
    <row r="809">
      <c r="C809" s="22"/>
      <c r="D809" s="22"/>
    </row>
    <row r="810">
      <c r="C810" s="22"/>
      <c r="D810" s="22"/>
    </row>
    <row r="811">
      <c r="C811" s="22"/>
      <c r="D811" s="22"/>
    </row>
    <row r="812">
      <c r="C812" s="22"/>
      <c r="D812" s="22"/>
    </row>
    <row r="813">
      <c r="C813" s="22"/>
      <c r="D813" s="22"/>
    </row>
    <row r="814">
      <c r="C814" s="22"/>
      <c r="D814" s="22"/>
    </row>
    <row r="815">
      <c r="C815" s="22"/>
      <c r="D815" s="22"/>
    </row>
    <row r="816">
      <c r="C816" s="22"/>
      <c r="D816" s="22"/>
    </row>
    <row r="817">
      <c r="C817" s="22"/>
      <c r="D817" s="22"/>
    </row>
    <row r="818">
      <c r="C818" s="22"/>
      <c r="D818" s="22"/>
    </row>
    <row r="819">
      <c r="C819" s="22"/>
      <c r="D819" s="22"/>
    </row>
    <row r="820">
      <c r="C820" s="22"/>
      <c r="D820" s="22"/>
    </row>
    <row r="821">
      <c r="C821" s="22"/>
      <c r="D821" s="22"/>
    </row>
    <row r="822">
      <c r="C822" s="22"/>
      <c r="D822" s="22"/>
    </row>
    <row r="823">
      <c r="C823" s="22"/>
      <c r="D823" s="22"/>
    </row>
    <row r="824">
      <c r="C824" s="22"/>
      <c r="D824" s="22"/>
    </row>
    <row r="825">
      <c r="C825" s="22"/>
      <c r="D825" s="22"/>
    </row>
    <row r="826">
      <c r="C826" s="22"/>
      <c r="D826" s="22"/>
    </row>
    <row r="827">
      <c r="C827" s="22"/>
      <c r="D827" s="22"/>
    </row>
    <row r="828">
      <c r="C828" s="22"/>
      <c r="D828" s="22"/>
    </row>
    <row r="829">
      <c r="C829" s="22"/>
      <c r="D829" s="22"/>
    </row>
    <row r="830">
      <c r="C830" s="22"/>
      <c r="D830" s="22"/>
    </row>
    <row r="831">
      <c r="C831" s="22"/>
      <c r="D831" s="22"/>
    </row>
    <row r="832">
      <c r="C832" s="22"/>
      <c r="D832" s="22"/>
    </row>
    <row r="833">
      <c r="C833" s="22"/>
      <c r="D833" s="22"/>
    </row>
    <row r="834">
      <c r="C834" s="22"/>
      <c r="D834" s="22"/>
    </row>
    <row r="835">
      <c r="C835" s="22"/>
      <c r="D835" s="22"/>
    </row>
    <row r="836">
      <c r="C836" s="22"/>
      <c r="D836" s="22"/>
    </row>
    <row r="837">
      <c r="C837" s="22"/>
      <c r="D837" s="22"/>
    </row>
    <row r="838">
      <c r="C838" s="22"/>
      <c r="D838" s="22"/>
    </row>
    <row r="839">
      <c r="C839" s="22"/>
      <c r="D839" s="22"/>
    </row>
    <row r="840">
      <c r="C840" s="22"/>
      <c r="D840" s="22"/>
    </row>
    <row r="841">
      <c r="C841" s="22"/>
      <c r="D841" s="22"/>
    </row>
    <row r="842">
      <c r="C842" s="22"/>
      <c r="D842" s="22"/>
    </row>
    <row r="843">
      <c r="C843" s="22"/>
      <c r="D843" s="22"/>
    </row>
    <row r="844">
      <c r="C844" s="22"/>
      <c r="D844" s="22"/>
    </row>
    <row r="845">
      <c r="C845" s="22"/>
      <c r="D845" s="22"/>
    </row>
    <row r="846">
      <c r="C846" s="22"/>
      <c r="D846" s="22"/>
    </row>
    <row r="847">
      <c r="C847" s="22"/>
      <c r="D847" s="22"/>
    </row>
    <row r="848">
      <c r="C848" s="22"/>
      <c r="D848" s="22"/>
    </row>
    <row r="849">
      <c r="C849" s="22"/>
      <c r="D849" s="22"/>
    </row>
    <row r="850">
      <c r="C850" s="22"/>
      <c r="D850" s="22"/>
    </row>
    <row r="851">
      <c r="C851" s="22"/>
      <c r="D851" s="22"/>
    </row>
    <row r="852">
      <c r="C852" s="22"/>
      <c r="D852" s="22"/>
    </row>
    <row r="853">
      <c r="C853" s="22"/>
      <c r="D853" s="22"/>
    </row>
    <row r="854">
      <c r="C854" s="22"/>
      <c r="D854" s="22"/>
    </row>
    <row r="855">
      <c r="C855" s="22"/>
      <c r="D855" s="22"/>
    </row>
    <row r="856">
      <c r="C856" s="22"/>
      <c r="D856" s="22"/>
    </row>
    <row r="857">
      <c r="C857" s="22"/>
      <c r="D857" s="22"/>
    </row>
    <row r="858">
      <c r="C858" s="22"/>
      <c r="D858" s="22"/>
    </row>
    <row r="859">
      <c r="C859" s="22"/>
      <c r="D859" s="22"/>
    </row>
    <row r="860">
      <c r="C860" s="22"/>
      <c r="D860" s="22"/>
    </row>
    <row r="861">
      <c r="C861" s="22"/>
      <c r="D861" s="22"/>
    </row>
    <row r="862">
      <c r="C862" s="22"/>
      <c r="D862" s="22"/>
    </row>
    <row r="863">
      <c r="C863" s="22"/>
      <c r="D863" s="22"/>
    </row>
    <row r="864">
      <c r="C864" s="22"/>
      <c r="D864" s="22"/>
    </row>
    <row r="865">
      <c r="C865" s="22"/>
      <c r="D865" s="22"/>
    </row>
    <row r="866">
      <c r="C866" s="22"/>
      <c r="D866" s="22"/>
    </row>
    <row r="867">
      <c r="C867" s="22"/>
      <c r="D867" s="22"/>
    </row>
    <row r="868">
      <c r="C868" s="22"/>
      <c r="D868" s="22"/>
    </row>
    <row r="869">
      <c r="C869" s="22"/>
      <c r="D869" s="22"/>
    </row>
    <row r="870">
      <c r="C870" s="22"/>
      <c r="D870" s="22"/>
    </row>
    <row r="871">
      <c r="C871" s="22"/>
      <c r="D871" s="22"/>
    </row>
    <row r="872">
      <c r="C872" s="22"/>
      <c r="D872" s="22"/>
    </row>
    <row r="873">
      <c r="C873" s="22"/>
      <c r="D873" s="22"/>
    </row>
    <row r="874">
      <c r="C874" s="22"/>
      <c r="D874" s="22"/>
    </row>
    <row r="875">
      <c r="C875" s="22"/>
      <c r="D875" s="22"/>
    </row>
    <row r="876">
      <c r="C876" s="22"/>
      <c r="D876" s="22"/>
    </row>
    <row r="877">
      <c r="C877" s="22"/>
      <c r="D877" s="22"/>
    </row>
    <row r="878">
      <c r="C878" s="22"/>
      <c r="D878" s="22"/>
    </row>
    <row r="879">
      <c r="C879" s="22"/>
      <c r="D879" s="22"/>
    </row>
    <row r="880">
      <c r="C880" s="22"/>
      <c r="D880" s="22"/>
    </row>
    <row r="881">
      <c r="C881" s="22"/>
      <c r="D881" s="22"/>
    </row>
    <row r="882">
      <c r="C882" s="22"/>
      <c r="D882" s="22"/>
    </row>
    <row r="883">
      <c r="C883" s="22"/>
      <c r="D883" s="22"/>
    </row>
    <row r="884">
      <c r="C884" s="22"/>
      <c r="D884" s="22"/>
    </row>
    <row r="885">
      <c r="C885" s="22"/>
      <c r="D885" s="22"/>
    </row>
    <row r="886">
      <c r="C886" s="22"/>
      <c r="D886" s="22"/>
    </row>
    <row r="887">
      <c r="C887" s="22"/>
      <c r="D887" s="22"/>
    </row>
    <row r="888">
      <c r="C888" s="22"/>
      <c r="D888" s="22"/>
    </row>
    <row r="889">
      <c r="C889" s="22"/>
      <c r="D889" s="22"/>
    </row>
    <row r="890">
      <c r="C890" s="22"/>
      <c r="D890" s="22"/>
    </row>
    <row r="891">
      <c r="C891" s="22"/>
      <c r="D891" s="22"/>
    </row>
    <row r="892">
      <c r="C892" s="22"/>
      <c r="D892" s="22"/>
    </row>
    <row r="893">
      <c r="C893" s="22"/>
      <c r="D893" s="22"/>
    </row>
    <row r="894">
      <c r="C894" s="22"/>
      <c r="D894" s="22"/>
    </row>
    <row r="895">
      <c r="C895" s="22"/>
      <c r="D895" s="22"/>
    </row>
    <row r="896">
      <c r="C896" s="22"/>
      <c r="D896" s="22"/>
    </row>
    <row r="897">
      <c r="C897" s="22"/>
      <c r="D897" s="22"/>
    </row>
    <row r="898">
      <c r="C898" s="22"/>
      <c r="D898" s="22"/>
    </row>
    <row r="899">
      <c r="C899" s="22"/>
      <c r="D899" s="22"/>
    </row>
    <row r="900">
      <c r="C900" s="22"/>
      <c r="D900" s="22"/>
    </row>
    <row r="901">
      <c r="C901" s="22"/>
      <c r="D901" s="22"/>
    </row>
    <row r="902">
      <c r="C902" s="22"/>
      <c r="D902" s="22"/>
    </row>
    <row r="903">
      <c r="C903" s="22"/>
      <c r="D903" s="22"/>
    </row>
    <row r="904">
      <c r="C904" s="22"/>
      <c r="D904" s="22"/>
    </row>
    <row r="905">
      <c r="C905" s="22"/>
      <c r="D905" s="22"/>
    </row>
    <row r="906">
      <c r="C906" s="22"/>
      <c r="D906" s="22"/>
    </row>
    <row r="907">
      <c r="C907" s="22"/>
      <c r="D907" s="22"/>
    </row>
    <row r="908">
      <c r="C908" s="22"/>
      <c r="D908" s="22"/>
    </row>
    <row r="909">
      <c r="C909" s="22"/>
      <c r="D909" s="22"/>
    </row>
    <row r="910">
      <c r="C910" s="22"/>
      <c r="D910" s="22"/>
    </row>
    <row r="911">
      <c r="C911" s="22"/>
      <c r="D911" s="22"/>
    </row>
    <row r="912">
      <c r="C912" s="22"/>
      <c r="D912" s="22"/>
    </row>
    <row r="913">
      <c r="C913" s="22"/>
      <c r="D913" s="22"/>
    </row>
    <row r="914">
      <c r="C914" s="22"/>
      <c r="D914" s="22"/>
    </row>
    <row r="915">
      <c r="C915" s="22"/>
      <c r="D915" s="22"/>
    </row>
    <row r="916">
      <c r="C916" s="22"/>
      <c r="D916" s="22"/>
    </row>
    <row r="917">
      <c r="C917" s="22"/>
      <c r="D917" s="22"/>
    </row>
    <row r="918">
      <c r="C918" s="22"/>
      <c r="D918" s="22"/>
    </row>
    <row r="919">
      <c r="C919" s="22"/>
      <c r="D919" s="22"/>
    </row>
    <row r="920">
      <c r="C920" s="22"/>
      <c r="D920" s="22"/>
    </row>
    <row r="921">
      <c r="C921" s="22"/>
      <c r="D921" s="22"/>
    </row>
    <row r="922">
      <c r="C922" s="22"/>
      <c r="D922" s="22"/>
    </row>
    <row r="923">
      <c r="C923" s="22"/>
      <c r="D923" s="22"/>
    </row>
    <row r="924">
      <c r="C924" s="22"/>
      <c r="D924" s="22"/>
    </row>
    <row r="925">
      <c r="C925" s="22"/>
      <c r="D925" s="22"/>
    </row>
    <row r="926">
      <c r="C926" s="22"/>
      <c r="D926" s="22"/>
    </row>
    <row r="927">
      <c r="C927" s="22"/>
      <c r="D927" s="22"/>
    </row>
    <row r="928">
      <c r="C928" s="22"/>
      <c r="D928" s="22"/>
    </row>
    <row r="929">
      <c r="C929" s="22"/>
      <c r="D929" s="22"/>
    </row>
    <row r="930">
      <c r="C930" s="22"/>
      <c r="D930" s="22"/>
    </row>
    <row r="931">
      <c r="C931" s="22"/>
      <c r="D931" s="22"/>
    </row>
    <row r="932">
      <c r="C932" s="22"/>
      <c r="D932" s="22"/>
    </row>
    <row r="933">
      <c r="C933" s="22"/>
      <c r="D933" s="22"/>
    </row>
    <row r="934">
      <c r="C934" s="22"/>
      <c r="D934" s="22"/>
    </row>
    <row r="935">
      <c r="C935" s="22"/>
      <c r="D935" s="22"/>
    </row>
    <row r="936">
      <c r="C936" s="22"/>
      <c r="D936" s="22"/>
    </row>
    <row r="937">
      <c r="C937" s="22"/>
      <c r="D937" s="22"/>
    </row>
    <row r="938">
      <c r="C938" s="22"/>
      <c r="D938" s="22"/>
    </row>
    <row r="939">
      <c r="C939" s="22"/>
      <c r="D939" s="22"/>
    </row>
    <row r="940">
      <c r="C940" s="22"/>
      <c r="D940" s="22"/>
    </row>
    <row r="941">
      <c r="C941" s="22"/>
      <c r="D941" s="22"/>
    </row>
    <row r="942">
      <c r="C942" s="22"/>
      <c r="D942" s="22"/>
    </row>
    <row r="943">
      <c r="C943" s="22"/>
      <c r="D943" s="22"/>
    </row>
    <row r="944">
      <c r="C944" s="22"/>
      <c r="D944" s="22"/>
    </row>
    <row r="945">
      <c r="C945" s="22"/>
      <c r="D945" s="22"/>
    </row>
    <row r="946">
      <c r="C946" s="22"/>
      <c r="D946" s="22"/>
    </row>
    <row r="947">
      <c r="C947" s="22"/>
      <c r="D947" s="22"/>
    </row>
    <row r="948">
      <c r="C948" s="22"/>
      <c r="D948" s="22"/>
    </row>
    <row r="949">
      <c r="C949" s="22"/>
      <c r="D949" s="22"/>
    </row>
    <row r="950">
      <c r="C950" s="22"/>
      <c r="D950" s="22"/>
    </row>
    <row r="951">
      <c r="C951" s="22"/>
      <c r="D951" s="22"/>
    </row>
    <row r="952">
      <c r="C952" s="22"/>
      <c r="D952" s="22"/>
    </row>
    <row r="953">
      <c r="C953" s="22"/>
      <c r="D953" s="22"/>
    </row>
    <row r="954">
      <c r="C954" s="22"/>
      <c r="D954" s="22"/>
    </row>
    <row r="955">
      <c r="C955" s="22"/>
      <c r="D955" s="22"/>
    </row>
    <row r="956">
      <c r="C956" s="22"/>
      <c r="D956" s="22"/>
    </row>
    <row r="957">
      <c r="C957" s="22"/>
      <c r="D957" s="22"/>
    </row>
    <row r="958">
      <c r="C958" s="22"/>
      <c r="D958" s="22"/>
    </row>
    <row r="959">
      <c r="C959" s="22"/>
      <c r="D959" s="22"/>
    </row>
    <row r="960">
      <c r="C960" s="22"/>
      <c r="D960" s="22"/>
    </row>
    <row r="961">
      <c r="C961" s="22"/>
      <c r="D961" s="22"/>
    </row>
    <row r="962">
      <c r="C962" s="22"/>
      <c r="D962" s="22"/>
    </row>
    <row r="963">
      <c r="C963" s="22"/>
      <c r="D963" s="22"/>
    </row>
    <row r="964">
      <c r="C964" s="22"/>
      <c r="D964" s="22"/>
    </row>
    <row r="965">
      <c r="C965" s="22"/>
      <c r="D965" s="22"/>
    </row>
    <row r="966">
      <c r="C966" s="22"/>
      <c r="D966" s="22"/>
    </row>
    <row r="967">
      <c r="C967" s="22"/>
      <c r="D967" s="22"/>
    </row>
    <row r="968">
      <c r="C968" s="22"/>
      <c r="D968" s="22"/>
    </row>
    <row r="969">
      <c r="C969" s="22"/>
      <c r="D969" s="22"/>
    </row>
    <row r="970">
      <c r="C970" s="22"/>
      <c r="D970" s="22"/>
    </row>
    <row r="971">
      <c r="C971" s="22"/>
      <c r="D971" s="22"/>
    </row>
    <row r="972">
      <c r="C972" s="22"/>
      <c r="D972" s="22"/>
    </row>
    <row r="973">
      <c r="C973" s="22"/>
      <c r="D973" s="22"/>
    </row>
    <row r="974">
      <c r="C974" s="22"/>
      <c r="D974" s="22"/>
    </row>
    <row r="975">
      <c r="C975" s="22"/>
      <c r="D975" s="22"/>
    </row>
    <row r="976">
      <c r="C976" s="22"/>
      <c r="D976" s="22"/>
    </row>
    <row r="977">
      <c r="C977" s="22"/>
      <c r="D977" s="22"/>
    </row>
    <row r="978">
      <c r="C978" s="22"/>
      <c r="D978" s="22"/>
    </row>
    <row r="979">
      <c r="C979" s="22"/>
      <c r="D979" s="22"/>
    </row>
    <row r="980">
      <c r="C980" s="22"/>
      <c r="D980" s="22"/>
    </row>
    <row r="981">
      <c r="C981" s="22"/>
      <c r="D981" s="22"/>
    </row>
    <row r="982">
      <c r="C982" s="22"/>
      <c r="D982" s="22"/>
    </row>
    <row r="983">
      <c r="C983" s="22"/>
      <c r="D983" s="22"/>
    </row>
    <row r="984">
      <c r="C984" s="22"/>
      <c r="D984" s="22"/>
    </row>
    <row r="985">
      <c r="C985" s="22"/>
      <c r="D985" s="22"/>
    </row>
    <row r="986">
      <c r="C986" s="22"/>
      <c r="D986" s="22"/>
    </row>
    <row r="987">
      <c r="C987" s="22"/>
      <c r="D987" s="22"/>
    </row>
    <row r="988">
      <c r="C988" s="22"/>
      <c r="D988" s="22"/>
    </row>
    <row r="989">
      <c r="C989" s="22"/>
      <c r="D989" s="22"/>
    </row>
    <row r="990">
      <c r="C990" s="22"/>
      <c r="D990" s="22"/>
    </row>
    <row r="991">
      <c r="C991" s="22"/>
      <c r="D991" s="22"/>
    </row>
    <row r="992">
      <c r="C992" s="22"/>
      <c r="D992" s="22"/>
    </row>
    <row r="993">
      <c r="C993" s="22"/>
      <c r="D993" s="22"/>
    </row>
    <row r="994">
      <c r="C994" s="22"/>
      <c r="D994" s="22"/>
    </row>
    <row r="995">
      <c r="C995" s="22"/>
      <c r="D995" s="22"/>
    </row>
    <row r="996">
      <c r="C996" s="22"/>
      <c r="D996" s="22"/>
    </row>
    <row r="997">
      <c r="C997" s="22"/>
      <c r="D997" s="22"/>
    </row>
    <row r="998">
      <c r="C998" s="22"/>
      <c r="D998" s="22"/>
    </row>
    <row r="999">
      <c r="C999" s="22"/>
      <c r="D999" s="22"/>
    </row>
    <row r="1000">
      <c r="C1000" s="22"/>
      <c r="D1000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17.63"/>
  </cols>
  <sheetData>
    <row r="1">
      <c r="A1" s="7" t="s">
        <v>18</v>
      </c>
      <c r="B1" s="7" t="s">
        <v>19</v>
      </c>
      <c r="C1" s="7" t="s">
        <v>155</v>
      </c>
      <c r="D1" s="7" t="s">
        <v>156</v>
      </c>
      <c r="E1" s="23" t="s">
        <v>157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158</v>
      </c>
      <c r="B2" s="26" t="s">
        <v>159</v>
      </c>
      <c r="C2" s="27">
        <v>225000.0</v>
      </c>
      <c r="D2" s="1">
        <v>5000.0</v>
      </c>
      <c r="E2" s="11">
        <f t="shared" ref="E2:E7" si="1">C2-D2</f>
        <v>220000</v>
      </c>
    </row>
    <row r="3">
      <c r="A3" s="25" t="s">
        <v>158</v>
      </c>
      <c r="B3" s="26" t="s">
        <v>160</v>
      </c>
      <c r="C3" s="27">
        <v>235000.0</v>
      </c>
      <c r="D3" s="1">
        <v>5000.0</v>
      </c>
      <c r="E3" s="11">
        <f t="shared" si="1"/>
        <v>230000</v>
      </c>
    </row>
    <row r="4">
      <c r="A4" s="25" t="s">
        <v>158</v>
      </c>
      <c r="B4" s="26" t="s">
        <v>161</v>
      </c>
      <c r="C4" s="27">
        <v>240000.0</v>
      </c>
      <c r="D4" s="1">
        <v>5000.0</v>
      </c>
      <c r="E4" s="11">
        <f t="shared" si="1"/>
        <v>235000</v>
      </c>
    </row>
    <row r="5">
      <c r="A5" s="25" t="s">
        <v>158</v>
      </c>
      <c r="B5" s="26" t="s">
        <v>162</v>
      </c>
      <c r="C5" s="27">
        <v>250000.0</v>
      </c>
      <c r="D5" s="1">
        <v>5000.0</v>
      </c>
      <c r="E5" s="11">
        <f t="shared" si="1"/>
        <v>245000</v>
      </c>
    </row>
    <row r="6">
      <c r="A6" s="25" t="s">
        <v>158</v>
      </c>
      <c r="B6" s="26" t="s">
        <v>163</v>
      </c>
      <c r="C6" s="27">
        <v>275000.0</v>
      </c>
      <c r="D6" s="1">
        <v>5000.0</v>
      </c>
      <c r="E6" s="11">
        <f t="shared" si="1"/>
        <v>270000</v>
      </c>
    </row>
    <row r="7">
      <c r="A7" s="25" t="s">
        <v>158</v>
      </c>
      <c r="B7" s="26" t="s">
        <v>164</v>
      </c>
      <c r="C7" s="27">
        <v>275000.0</v>
      </c>
      <c r="D7" s="1">
        <v>5000.0</v>
      </c>
      <c r="E7" s="11">
        <f t="shared" si="1"/>
        <v>270000</v>
      </c>
    </row>
    <row r="8">
      <c r="A8" s="28"/>
      <c r="B8" s="29"/>
      <c r="C8" s="29"/>
    </row>
    <row r="9">
      <c r="A9" s="25" t="s">
        <v>165</v>
      </c>
      <c r="B9" s="26" t="s">
        <v>159</v>
      </c>
      <c r="C9" s="30">
        <v>125000.0</v>
      </c>
      <c r="D9" s="1">
        <v>5000.0</v>
      </c>
      <c r="E9" s="15">
        <f t="shared" ref="E9:E14" si="2">C9-D9</f>
        <v>120000</v>
      </c>
    </row>
    <row r="10">
      <c r="A10" s="25" t="s">
        <v>165</v>
      </c>
      <c r="B10" s="26" t="s">
        <v>160</v>
      </c>
      <c r="C10" s="30">
        <v>130000.0</v>
      </c>
      <c r="D10" s="1">
        <v>5000.0</v>
      </c>
      <c r="E10" s="15">
        <f t="shared" si="2"/>
        <v>125000</v>
      </c>
    </row>
    <row r="11">
      <c r="A11" s="25" t="s">
        <v>165</v>
      </c>
      <c r="B11" s="26" t="s">
        <v>161</v>
      </c>
      <c r="C11" s="30">
        <v>135000.0</v>
      </c>
      <c r="D11" s="1">
        <v>5000.0</v>
      </c>
      <c r="E11" s="15">
        <f t="shared" si="2"/>
        <v>130000</v>
      </c>
    </row>
    <row r="12">
      <c r="A12" s="25" t="s">
        <v>165</v>
      </c>
      <c r="B12" s="26" t="s">
        <v>162</v>
      </c>
      <c r="C12" s="30">
        <v>140000.0</v>
      </c>
      <c r="D12" s="1">
        <v>5000.0</v>
      </c>
      <c r="E12" s="15">
        <f t="shared" si="2"/>
        <v>135000</v>
      </c>
    </row>
    <row r="13">
      <c r="A13" s="25" t="s">
        <v>165</v>
      </c>
      <c r="B13" s="26" t="s">
        <v>163</v>
      </c>
      <c r="C13" s="30">
        <v>150000.0</v>
      </c>
      <c r="D13" s="1">
        <v>5000.0</v>
      </c>
      <c r="E13" s="15">
        <f t="shared" si="2"/>
        <v>145000</v>
      </c>
    </row>
    <row r="14">
      <c r="A14" s="25" t="s">
        <v>165</v>
      </c>
      <c r="B14" s="26" t="s">
        <v>164</v>
      </c>
      <c r="C14" s="30">
        <v>150000.0</v>
      </c>
      <c r="D14" s="1">
        <v>5000.0</v>
      </c>
      <c r="E14" s="15">
        <f t="shared" si="2"/>
        <v>145000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tr">
        <f>IFERROR(__xludf.DUMMYFUNCTION("QUERY(UNIQUE({ 'Student Data'!A1:L31, 'EMI Data'!C1:C31, 'Learning Data'!B1:B31 }), ""SELECT * WHERE Col1 IS NOT NULL"")
"),"UID")</f>
        <v>UID</v>
      </c>
      <c r="B1" s="11" t="str">
        <f>IFERROR(__xludf.DUMMYFUNCTION("""COMPUTED_VALUE"""),"Student Name")</f>
        <v>Student Name</v>
      </c>
      <c r="C1" s="11" t="str">
        <f>IFERROR(__xludf.DUMMYFUNCTION("""COMPUTED_VALUE"""),"Program - Tenure")</f>
        <v>Program - Tenure</v>
      </c>
      <c r="D1" s="11" t="str">
        <f>IFERROR(__xludf.DUMMYFUNCTION("""COMPUTED_VALUE"""),"Program")</f>
        <v>Program</v>
      </c>
      <c r="E1" s="11" t="str">
        <f>IFERROR(__xludf.DUMMYFUNCTION("""COMPUTED_VALUE"""),"Tenure")</f>
        <v>Tenure</v>
      </c>
      <c r="F1" s="11" t="str">
        <f>IFERROR(__xludf.DUMMYFUNCTION("""COMPUTED_VALUE"""),"New Student Name")</f>
        <v>New Student Name</v>
      </c>
      <c r="G1" s="11" t="str">
        <f>IFERROR(__xludf.DUMMYFUNCTION("""COMPUTED_VALUE"""),"Applicant First Name ")</f>
        <v>Applicant First Name </v>
      </c>
      <c r="H1" s="11" t="str">
        <f>IFERROR(__xludf.DUMMYFUNCTION("""COMPUTED_VALUE"""),"First Name")</f>
        <v>First Name</v>
      </c>
      <c r="I1" s="11" t="str">
        <f>IFERROR(__xludf.DUMMYFUNCTION("""COMPUTED_VALUE"""),"Actual Fee")</f>
        <v>Actual Fee</v>
      </c>
      <c r="J1" s="11" t="str">
        <f>IFERROR(__xludf.DUMMYFUNCTION("""COMPUTED_VALUE"""),"EMI to be paid")</f>
        <v>EMI to be paid</v>
      </c>
      <c r="K1" s="11" t="str">
        <f>IFERROR(__xludf.DUMMYFUNCTION("""COMPUTED_VALUE"""),"EMI Amount")</f>
        <v>EMI Amount</v>
      </c>
      <c r="L1" s="11" t="str">
        <f>IFERROR(__xludf.DUMMYFUNCTION("""COMPUTED_VALUE"""),"EMI  Comparison")</f>
        <v>EMI  Comparison</v>
      </c>
      <c r="M1" s="11" t="str">
        <f>IFERROR(__xludf.DUMMYFUNCTION("""COMPUTED_VALUE"""),"EMI Due Date")</f>
        <v>EMI Due Date</v>
      </c>
      <c r="N1" s="11" t="str">
        <f>IFERROR(__xludf.DUMMYFUNCTION("""COMPUTED_VALUE"""),"Learning % till Oct 10th")</f>
        <v>Learning % till Oct 10th</v>
      </c>
    </row>
    <row r="2">
      <c r="A2" s="11" t="str">
        <f>IFERROR(__xludf.DUMMYFUNCTION("""COMPUTED_VALUE"""),"e6adb35f-360a-4844-a19a-dff001377b53")</f>
        <v>e6adb35f-360a-4844-a19a-dff001377b53</v>
      </c>
      <c r="B2" s="11" t="str">
        <f>IFERROR(__xludf.DUMMYFUNCTION("""COMPUTED_VALUE"""),"Abhishek Erugadindla")</f>
        <v>Abhishek Erugadindla</v>
      </c>
      <c r="C2" s="11" t="str">
        <f>IFERROR(__xludf.DUMMYFUNCTION("""COMPUTED_VALUE"""),"Genius - 36 ")</f>
        <v>Genius - 36 </v>
      </c>
      <c r="D2" s="11" t="str">
        <f>IFERROR(__xludf.DUMMYFUNCTION("""COMPUTED_VALUE"""),"Genius")</f>
        <v>Genius</v>
      </c>
      <c r="E2" s="11">
        <f>IFERROR(__xludf.DUMMYFUNCTION("""COMPUTED_VALUE"""),36.0)</f>
        <v>36</v>
      </c>
      <c r="F2" s="11" t="str">
        <f>IFERROR(__xludf.DUMMYFUNCTION("""COMPUTED_VALUE"""),"Abhishek Erugadindla")</f>
        <v>Abhishek Erugadindla</v>
      </c>
      <c r="G2" s="11" t="str">
        <f>IFERROR(__xludf.DUMMYFUNCTION("""COMPUTED_VALUE"""),"Abhishek")</f>
        <v>Abhishek</v>
      </c>
      <c r="H2" s="11" t="str">
        <f>IFERROR(__xludf.DUMMYFUNCTION("""COMPUTED_VALUE"""),"Abhishek")</f>
        <v>Abhishek</v>
      </c>
      <c r="I2" s="15">
        <f>IFERROR(__xludf.DUMMYFUNCTION("""COMPUTED_VALUE"""),250000.0)</f>
        <v>250000</v>
      </c>
      <c r="J2" s="11">
        <f>IFERROR(__xludf.DUMMYFUNCTION("""COMPUTED_VALUE"""),6806.0)</f>
        <v>6806</v>
      </c>
      <c r="K2" s="11" t="str">
        <f>IFERROR(__xludf.DUMMYFUNCTION("""COMPUTED_VALUE"""),"6806")</f>
        <v>6806</v>
      </c>
      <c r="L2" s="11">
        <f>IFERROR(__xludf.DUMMYFUNCTION("""COMPUTED_VALUE"""),0.0)</f>
        <v>0</v>
      </c>
      <c r="M2" s="11" t="str">
        <f>IFERROR(__xludf.DUMMYFUNCTION("""COMPUTED_VALUE"""),"5-Oct-2022")</f>
        <v>5-Oct-2022</v>
      </c>
      <c r="N2" s="11" t="str">
        <f>IFERROR(__xludf.DUMMYFUNCTION("""COMPUTED_VALUE"""),"100")</f>
        <v>100</v>
      </c>
    </row>
    <row r="3">
      <c r="A3" s="11" t="str">
        <f>IFERROR(__xludf.DUMMYFUNCTION("""COMPUTED_VALUE"""),"e6adb35f-360a-4844-a19a-dff001377b54")</f>
        <v>e6adb35f-360a-4844-a19a-dff001377b54</v>
      </c>
      <c r="B3" s="11" t="str">
        <f>IFERROR(__xludf.DUMMYFUNCTION("""COMPUTED_VALUE"""),"Anbalagan Neelayathatchi")</f>
        <v>Anbalagan Neelayathatchi</v>
      </c>
      <c r="C3" s="11" t="str">
        <f>IFERROR(__xludf.DUMMYFUNCTION("""COMPUTED_VALUE"""),"Smart - 48 ")</f>
        <v>Smart - 48 </v>
      </c>
      <c r="D3" s="11" t="str">
        <f>IFERROR(__xludf.DUMMYFUNCTION("""COMPUTED_VALUE"""),"Smart")</f>
        <v>Smart</v>
      </c>
      <c r="E3" s="11">
        <f>IFERROR(__xludf.DUMMYFUNCTION("""COMPUTED_VALUE"""),48.0)</f>
        <v>48</v>
      </c>
      <c r="F3" s="11" t="str">
        <f>IFERROR(__xludf.DUMMYFUNCTION("""COMPUTED_VALUE"""),"Anbalagan Neelayathatchi")</f>
        <v>Anbalagan Neelayathatchi</v>
      </c>
      <c r="G3" s="11" t="str">
        <f>IFERROR(__xludf.DUMMYFUNCTION("""COMPUTED_VALUE"""),"Anbalagan")</f>
        <v>Anbalagan</v>
      </c>
      <c r="H3" s="11" t="str">
        <f>IFERROR(__xludf.DUMMYFUNCTION("""COMPUTED_VALUE"""),"Anbalagan")</f>
        <v>Anbalagan</v>
      </c>
      <c r="I3" s="15">
        <f>IFERROR(__xludf.DUMMYFUNCTION("""COMPUTED_VALUE"""),150000.0)</f>
        <v>150000</v>
      </c>
      <c r="J3" s="11">
        <f>IFERROR(__xludf.DUMMYFUNCTION("""COMPUTED_VALUE"""),3021.0)</f>
        <v>3021</v>
      </c>
      <c r="K3" s="11" t="str">
        <f>IFERROR(__xludf.DUMMYFUNCTION("""COMPUTED_VALUE"""),"7500")</f>
        <v>7500</v>
      </c>
      <c r="L3" s="11">
        <f>IFERROR(__xludf.DUMMYFUNCTION("""COMPUTED_VALUE"""),4479.0)</f>
        <v>4479</v>
      </c>
      <c r="M3" s="11" t="str">
        <f>IFERROR(__xludf.DUMMYFUNCTION("""COMPUTED_VALUE"""),"5-Oct-2022")</f>
        <v>5-Oct-2022</v>
      </c>
      <c r="N3" s="11" t="str">
        <f>IFERROR(__xludf.DUMMYFUNCTION("""COMPUTED_VALUE"""),"95")</f>
        <v>95</v>
      </c>
    </row>
    <row r="4">
      <c r="A4" s="11" t="str">
        <f>IFERROR(__xludf.DUMMYFUNCTION("""COMPUTED_VALUE"""),"e6adb35f-360a-4844-a19a-dff001377b55")</f>
        <v>e6adb35f-360a-4844-a19a-dff001377b55</v>
      </c>
      <c r="B4" s="11" t="str">
        <f>IFERROR(__xludf.DUMMYFUNCTION("""COMPUTED_VALUE"""),"Naveen Reddy Kothakapu")</f>
        <v>Naveen Reddy Kothakapu</v>
      </c>
      <c r="C4" s="11" t="str">
        <f>IFERROR(__xludf.DUMMYFUNCTION("""COMPUTED_VALUE"""),"Smart - 48 ")</f>
        <v>Smart - 48 </v>
      </c>
      <c r="D4" s="11" t="str">
        <f>IFERROR(__xludf.DUMMYFUNCTION("""COMPUTED_VALUE"""),"Smart")</f>
        <v>Smart</v>
      </c>
      <c r="E4" s="11">
        <f>IFERROR(__xludf.DUMMYFUNCTION("""COMPUTED_VALUE"""),48.0)</f>
        <v>48</v>
      </c>
      <c r="F4" s="11" t="str">
        <f>IFERROR(__xludf.DUMMYFUNCTION("""COMPUTED_VALUE"""),"Naveen Reddy Kothakapu")</f>
        <v>Naveen Reddy Kothakapu</v>
      </c>
      <c r="G4" s="11" t="str">
        <f>IFERROR(__xludf.DUMMYFUNCTION("""COMPUTED_VALUE"""),"Naveen")</f>
        <v>Naveen</v>
      </c>
      <c r="H4" s="11" t="str">
        <f>IFERROR(__xludf.DUMMYFUNCTION("""COMPUTED_VALUE"""),"Naveen")</f>
        <v>Naveen</v>
      </c>
      <c r="I4" s="15">
        <f>IFERROR(__xludf.DUMMYFUNCTION("""COMPUTED_VALUE"""),150000.0)</f>
        <v>150000</v>
      </c>
      <c r="J4" s="11">
        <f>IFERROR(__xludf.DUMMYFUNCTION("""COMPUTED_VALUE"""),3021.0)</f>
        <v>3021</v>
      </c>
      <c r="K4" s="11" t="str">
        <f>IFERROR(__xludf.DUMMYFUNCTION("""COMPUTED_VALUE"""),"12500")</f>
        <v>12500</v>
      </c>
      <c r="L4" s="11">
        <f>IFERROR(__xludf.DUMMYFUNCTION("""COMPUTED_VALUE"""),9479.0)</f>
        <v>9479</v>
      </c>
      <c r="M4" s="11" t="str">
        <f>IFERROR(__xludf.DUMMYFUNCTION("""COMPUTED_VALUE"""),"5-Oct-2022")</f>
        <v>5-Oct-2022</v>
      </c>
      <c r="N4" s="11" t="str">
        <f>IFERROR(__xludf.DUMMYFUNCTION("""COMPUTED_VALUE"""),"85")</f>
        <v>85</v>
      </c>
    </row>
    <row r="5">
      <c r="A5" s="11" t="str">
        <f>IFERROR(__xludf.DUMMYFUNCTION("""COMPUTED_VALUE"""),"e6adb35f-360a-4844-a19a-dff001377b59")</f>
        <v>e6adb35f-360a-4844-a19a-dff001377b59</v>
      </c>
      <c r="B5" s="11" t="str">
        <f>IFERROR(__xludf.DUMMYFUNCTION("""COMPUTED_VALUE"""),"Deepthi Priya Boini")</f>
        <v>Deepthi Priya Boini</v>
      </c>
      <c r="C5" s="11" t="str">
        <f>IFERROR(__xludf.DUMMYFUNCTION("""COMPUTED_VALUE"""),"Smart - 48 ")</f>
        <v>Smart - 48 </v>
      </c>
      <c r="D5" s="11" t="str">
        <f>IFERROR(__xludf.DUMMYFUNCTION("""COMPUTED_VALUE"""),"Smart")</f>
        <v>Smart</v>
      </c>
      <c r="E5" s="11">
        <f>IFERROR(__xludf.DUMMYFUNCTION("""COMPUTED_VALUE"""),48.0)</f>
        <v>48</v>
      </c>
      <c r="F5" s="11" t="str">
        <f>IFERROR(__xludf.DUMMYFUNCTION("""COMPUTED_VALUE"""),"Deepthi Priya Boini")</f>
        <v>Deepthi Priya Boini</v>
      </c>
      <c r="G5" s="11" t="str">
        <f>IFERROR(__xludf.DUMMYFUNCTION("""COMPUTED_VALUE"""),"Deepthi")</f>
        <v>Deepthi</v>
      </c>
      <c r="H5" s="11" t="str">
        <f>IFERROR(__xludf.DUMMYFUNCTION("""COMPUTED_VALUE"""),"Deepthi")</f>
        <v>Deepthi</v>
      </c>
      <c r="I5" s="15">
        <f>IFERROR(__xludf.DUMMYFUNCTION("""COMPUTED_VALUE"""),150000.0)</f>
        <v>150000</v>
      </c>
      <c r="J5" s="11">
        <f>IFERROR(__xludf.DUMMYFUNCTION("""COMPUTED_VALUE"""),3021.0)</f>
        <v>3021</v>
      </c>
      <c r="K5" s="11" t="str">
        <f>IFERROR(__xludf.DUMMYFUNCTION("""COMPUTED_VALUE"""),"10000")</f>
        <v>10000</v>
      </c>
      <c r="L5" s="11">
        <f>IFERROR(__xludf.DUMMYFUNCTION("""COMPUTED_VALUE"""),6979.0)</f>
        <v>6979</v>
      </c>
      <c r="M5" s="11" t="str">
        <f>IFERROR(__xludf.DUMMYFUNCTION("""COMPUTED_VALUE"""),"5-Oct-2022")</f>
        <v>5-Oct-2022</v>
      </c>
      <c r="N5" s="11" t="str">
        <f>IFERROR(__xludf.DUMMYFUNCTION("""COMPUTED_VALUE"""),"88")</f>
        <v>88</v>
      </c>
    </row>
    <row r="6">
      <c r="A6" s="11" t="str">
        <f>IFERROR(__xludf.DUMMYFUNCTION("""COMPUTED_VALUE"""),"e6adb35f-360a-4844-a19a-dff001377b60")</f>
        <v>e6adb35f-360a-4844-a19a-dff001377b60</v>
      </c>
      <c r="B6" s="11" t="str">
        <f>IFERROR(__xludf.DUMMYFUNCTION("""COMPUTED_VALUE"""),"Parthiban J")</f>
        <v>Parthiban J</v>
      </c>
      <c r="C6" s="11" t="str">
        <f>IFERROR(__xludf.DUMMYFUNCTION("""COMPUTED_VALUE"""),"Smart - 48 ")</f>
        <v>Smart - 48 </v>
      </c>
      <c r="D6" s="11" t="str">
        <f>IFERROR(__xludf.DUMMYFUNCTION("""COMPUTED_VALUE"""),"Smart")</f>
        <v>Smart</v>
      </c>
      <c r="E6" s="11">
        <f>IFERROR(__xludf.DUMMYFUNCTION("""COMPUTED_VALUE"""),48.0)</f>
        <v>48</v>
      </c>
      <c r="F6" s="11" t="str">
        <f>IFERROR(__xludf.DUMMYFUNCTION("""COMPUTED_VALUE"""),"Parthiban J")</f>
        <v>Parthiban J</v>
      </c>
      <c r="G6" s="11" t="str">
        <f>IFERROR(__xludf.DUMMYFUNCTION("""COMPUTED_VALUE"""),"Parthiban")</f>
        <v>Parthiban</v>
      </c>
      <c r="H6" s="11" t="str">
        <f>IFERROR(__xludf.DUMMYFUNCTION("""COMPUTED_VALUE"""),"Parthiban")</f>
        <v>Parthiban</v>
      </c>
      <c r="I6" s="15">
        <f>IFERROR(__xludf.DUMMYFUNCTION("""COMPUTED_VALUE"""),150000.0)</f>
        <v>150000</v>
      </c>
      <c r="J6" s="11">
        <f>IFERROR(__xludf.DUMMYFUNCTION("""COMPUTED_VALUE"""),3021.0)</f>
        <v>3021</v>
      </c>
      <c r="K6" s="11" t="str">
        <f>IFERROR(__xludf.DUMMYFUNCTION("""COMPUTED_VALUE"""),"3021")</f>
        <v>3021</v>
      </c>
      <c r="L6" s="11">
        <f>IFERROR(__xludf.DUMMYFUNCTION("""COMPUTED_VALUE"""),0.0)</f>
        <v>0</v>
      </c>
      <c r="M6" s="11" t="str">
        <f>IFERROR(__xludf.DUMMYFUNCTION("""COMPUTED_VALUE"""),"5-Oct-2022")</f>
        <v>5-Oct-2022</v>
      </c>
      <c r="N6" s="11" t="str">
        <f>IFERROR(__xludf.DUMMYFUNCTION("""COMPUTED_VALUE"""),"100")</f>
        <v>100</v>
      </c>
    </row>
    <row r="7">
      <c r="A7" s="11" t="str">
        <f>IFERROR(__xludf.DUMMYFUNCTION("""COMPUTED_VALUE"""),"e6adb35f-360a-4844-a19a-dff001377b61")</f>
        <v>e6adb35f-360a-4844-a19a-dff001377b61</v>
      </c>
      <c r="B7" s="11" t="str">
        <f>IFERROR(__xludf.DUMMYFUNCTION("""COMPUTED_VALUE"""),"Lokesh Chethula")</f>
        <v>Lokesh Chethula</v>
      </c>
      <c r="C7" s="11" t="str">
        <f>IFERROR(__xludf.DUMMYFUNCTION("""COMPUTED_VALUE"""),"Genius - 36 ")</f>
        <v>Genius - 36 </v>
      </c>
      <c r="D7" s="11" t="str">
        <f>IFERROR(__xludf.DUMMYFUNCTION("""COMPUTED_VALUE"""),"Genius")</f>
        <v>Genius</v>
      </c>
      <c r="E7" s="11">
        <f>IFERROR(__xludf.DUMMYFUNCTION("""COMPUTED_VALUE"""),36.0)</f>
        <v>36</v>
      </c>
      <c r="F7" s="11" t="str">
        <f>IFERROR(__xludf.DUMMYFUNCTION("""COMPUTED_VALUE"""),"Lokesh Chethula")</f>
        <v>Lokesh Chethula</v>
      </c>
      <c r="G7" s="11" t="str">
        <f>IFERROR(__xludf.DUMMYFUNCTION("""COMPUTED_VALUE"""),"Lokesh")</f>
        <v>Lokesh</v>
      </c>
      <c r="H7" s="11" t="str">
        <f>IFERROR(__xludf.DUMMYFUNCTION("""COMPUTED_VALUE"""),"Lokesh")</f>
        <v>Lokesh</v>
      </c>
      <c r="I7" s="15">
        <f>IFERROR(__xludf.DUMMYFUNCTION("""COMPUTED_VALUE"""),250000.0)</f>
        <v>250000</v>
      </c>
      <c r="J7" s="11">
        <f>IFERROR(__xludf.DUMMYFUNCTION("""COMPUTED_VALUE"""),6806.0)</f>
        <v>6806</v>
      </c>
      <c r="K7" s="11" t="str">
        <f>IFERROR(__xludf.DUMMYFUNCTION("""COMPUTED_VALUE"""),"2836")</f>
        <v>2836</v>
      </c>
      <c r="L7" s="11">
        <f>IFERROR(__xludf.DUMMYFUNCTION("""COMPUTED_VALUE"""),-3970.0)</f>
        <v>-3970</v>
      </c>
      <c r="M7" s="11" t="str">
        <f>IFERROR(__xludf.DUMMYFUNCTION("""COMPUTED_VALUE"""),"5-Oct-2022")</f>
        <v>5-Oct-2022</v>
      </c>
      <c r="N7" s="11" t="str">
        <f>IFERROR(__xludf.DUMMYFUNCTION("""COMPUTED_VALUE"""),"100")</f>
        <v>100</v>
      </c>
    </row>
    <row r="8">
      <c r="A8" s="11" t="str">
        <f>IFERROR(__xludf.DUMMYFUNCTION("""COMPUTED_VALUE"""),"e6adb35f-360a-4844-a19a-dff001377b62")</f>
        <v>e6adb35f-360a-4844-a19a-dff001377b62</v>
      </c>
      <c r="B8" s="11" t="str">
        <f>IFERROR(__xludf.DUMMYFUNCTION("""COMPUTED_VALUE"""),"Chandu Thalluri")</f>
        <v>Chandu Thalluri</v>
      </c>
      <c r="C8" s="11" t="str">
        <f>IFERROR(__xludf.DUMMYFUNCTION("""COMPUTED_VALUE"""),"Genius - 48 ")</f>
        <v>Genius - 48 </v>
      </c>
      <c r="D8" s="11" t="str">
        <f>IFERROR(__xludf.DUMMYFUNCTION("""COMPUTED_VALUE"""),"Genius")</f>
        <v>Genius</v>
      </c>
      <c r="E8" s="11">
        <f>IFERROR(__xludf.DUMMYFUNCTION("""COMPUTED_VALUE"""),48.0)</f>
        <v>48</v>
      </c>
      <c r="F8" s="11" t="str">
        <f>IFERROR(__xludf.DUMMYFUNCTION("""COMPUTED_VALUE"""),"Chandu Thalluri")</f>
        <v>Chandu Thalluri</v>
      </c>
      <c r="G8" s="11" t="str">
        <f>IFERROR(__xludf.DUMMYFUNCTION("""COMPUTED_VALUE"""),"Chandu")</f>
        <v>Chandu</v>
      </c>
      <c r="H8" s="11" t="str">
        <f>IFERROR(__xludf.DUMMYFUNCTION("""COMPUTED_VALUE"""),"Chandu")</f>
        <v>Chandu</v>
      </c>
      <c r="I8" s="15">
        <f>IFERROR(__xludf.DUMMYFUNCTION("""COMPUTED_VALUE"""),250000.0)</f>
        <v>250000</v>
      </c>
      <c r="J8" s="11">
        <f>IFERROR(__xludf.DUMMYFUNCTION("""COMPUTED_VALUE"""),5104.0)</f>
        <v>5104</v>
      </c>
      <c r="K8" s="11" t="str">
        <f>IFERROR(__xludf.DUMMYFUNCTION("""COMPUTED_VALUE"""),"3021")</f>
        <v>3021</v>
      </c>
      <c r="L8" s="11">
        <f>IFERROR(__xludf.DUMMYFUNCTION("""COMPUTED_VALUE"""),-2083.0)</f>
        <v>-2083</v>
      </c>
      <c r="M8" s="11" t="str">
        <f>IFERROR(__xludf.DUMMYFUNCTION("""COMPUTED_VALUE"""),"5-Oct-2022")</f>
        <v>5-Oct-2022</v>
      </c>
      <c r="N8" s="11" t="str">
        <f>IFERROR(__xludf.DUMMYFUNCTION("""COMPUTED_VALUE"""),"100")</f>
        <v>100</v>
      </c>
    </row>
    <row r="9">
      <c r="A9" s="11" t="str">
        <f>IFERROR(__xludf.DUMMYFUNCTION("""COMPUTED_VALUE"""),"e6adb35f-360a-4844-a19a-dff001377b56")</f>
        <v>e6adb35f-360a-4844-a19a-dff001377b56</v>
      </c>
      <c r="B9" s="11" t="str">
        <f>IFERROR(__xludf.DUMMYFUNCTION("""COMPUTED_VALUE"""),"Nithya Ganesh M")</f>
        <v>Nithya Ganesh M</v>
      </c>
      <c r="C9" s="11" t="str">
        <f>IFERROR(__xludf.DUMMYFUNCTION("""COMPUTED_VALUE"""),"Smart - 48 ")</f>
        <v>Smart - 48 </v>
      </c>
      <c r="D9" s="11" t="str">
        <f>IFERROR(__xludf.DUMMYFUNCTION("""COMPUTED_VALUE"""),"Smart")</f>
        <v>Smart</v>
      </c>
      <c r="E9" s="11">
        <f>IFERROR(__xludf.DUMMYFUNCTION("""COMPUTED_VALUE"""),48.0)</f>
        <v>48</v>
      </c>
      <c r="F9" s="11" t="str">
        <f>IFERROR(__xludf.DUMMYFUNCTION("""COMPUTED_VALUE"""),"Nithya Ganesh M")</f>
        <v>Nithya Ganesh M</v>
      </c>
      <c r="G9" s="11" t="str">
        <f>IFERROR(__xludf.DUMMYFUNCTION("""COMPUTED_VALUE"""),"Nithya")</f>
        <v>Nithya</v>
      </c>
      <c r="H9" s="11" t="str">
        <f>IFERROR(__xludf.DUMMYFUNCTION("""COMPUTED_VALUE"""),"Nithya")</f>
        <v>Nithya</v>
      </c>
      <c r="I9" s="15">
        <f>IFERROR(__xludf.DUMMYFUNCTION("""COMPUTED_VALUE"""),150000.0)</f>
        <v>150000</v>
      </c>
      <c r="J9" s="11">
        <f>IFERROR(__xludf.DUMMYFUNCTION("""COMPUTED_VALUE"""),3021.0)</f>
        <v>3021</v>
      </c>
      <c r="K9" s="11" t="str">
        <f>IFERROR(__xludf.DUMMYFUNCTION("""COMPUTED_VALUE"""),"12500")</f>
        <v>12500</v>
      </c>
      <c r="L9" s="11">
        <f>IFERROR(__xludf.DUMMYFUNCTION("""COMPUTED_VALUE"""),9479.0)</f>
        <v>9479</v>
      </c>
      <c r="M9" s="11" t="str">
        <f>IFERROR(__xludf.DUMMYFUNCTION("""COMPUTED_VALUE"""),"5-Oct-2022")</f>
        <v>5-Oct-2022</v>
      </c>
      <c r="N9" s="11" t="str">
        <f>IFERROR(__xludf.DUMMYFUNCTION("""COMPUTED_VALUE"""),"98")</f>
        <v>98</v>
      </c>
    </row>
    <row r="10">
      <c r="A10" s="11" t="str">
        <f>IFERROR(__xludf.DUMMYFUNCTION("""COMPUTED_VALUE"""),"e6adb35f-360a-4844-a19a-dff001377b57")</f>
        <v>e6adb35f-360a-4844-a19a-dff001377b57</v>
      </c>
      <c r="B10" s="11" t="str">
        <f>IFERROR(__xludf.DUMMYFUNCTION("""COMPUTED_VALUE"""),"Sudalai Muthu M")</f>
        <v>Sudalai Muthu M</v>
      </c>
      <c r="C10" s="11" t="str">
        <f>IFERROR(__xludf.DUMMYFUNCTION("""COMPUTED_VALUE"""),"Smart - 48 ")</f>
        <v>Smart - 48 </v>
      </c>
      <c r="D10" s="11" t="str">
        <f>IFERROR(__xludf.DUMMYFUNCTION("""COMPUTED_VALUE"""),"Smart")</f>
        <v>Smart</v>
      </c>
      <c r="E10" s="11">
        <f>IFERROR(__xludf.DUMMYFUNCTION("""COMPUTED_VALUE"""),48.0)</f>
        <v>48</v>
      </c>
      <c r="F10" s="11" t="str">
        <f>IFERROR(__xludf.DUMMYFUNCTION("""COMPUTED_VALUE"""),"Sudalai Muthu M")</f>
        <v>Sudalai Muthu M</v>
      </c>
      <c r="G10" s="11" t="str">
        <f>IFERROR(__xludf.DUMMYFUNCTION("""COMPUTED_VALUE"""),"Sudalai")</f>
        <v>Sudalai</v>
      </c>
      <c r="H10" s="11" t="str">
        <f>IFERROR(__xludf.DUMMYFUNCTION("""COMPUTED_VALUE"""),"Sudalai")</f>
        <v>Sudalai</v>
      </c>
      <c r="I10" s="15">
        <f>IFERROR(__xludf.DUMMYFUNCTION("""COMPUTED_VALUE"""),150000.0)</f>
        <v>150000</v>
      </c>
      <c r="J10" s="11">
        <f>IFERROR(__xludf.DUMMYFUNCTION("""COMPUTED_VALUE"""),3021.0)</f>
        <v>3021</v>
      </c>
      <c r="K10" s="11" t="str">
        <f>IFERROR(__xludf.DUMMYFUNCTION("""COMPUTED_VALUE"""),"3612")</f>
        <v>3612</v>
      </c>
      <c r="L10" s="11">
        <f>IFERROR(__xludf.DUMMYFUNCTION("""COMPUTED_VALUE"""),591.0)</f>
        <v>591</v>
      </c>
      <c r="M10" s="11" t="str">
        <f>IFERROR(__xludf.DUMMYFUNCTION("""COMPUTED_VALUE"""),"5-Oct-2022")</f>
        <v>5-Oct-2022</v>
      </c>
      <c r="N10" s="11" t="str">
        <f>IFERROR(__xludf.DUMMYFUNCTION("""COMPUTED_VALUE"""),"100")</f>
        <v>100</v>
      </c>
    </row>
    <row r="11">
      <c r="A11" s="11" t="str">
        <f>IFERROR(__xludf.DUMMYFUNCTION("""COMPUTED_VALUE"""),"e6adb35f-360a-4844-a19a-dff001377b58")</f>
        <v>e6adb35f-360a-4844-a19a-dff001377b58</v>
      </c>
      <c r="B11" s="11" t="str">
        <f>IFERROR(__xludf.DUMMYFUNCTION("""COMPUTED_VALUE"""),"Kannadhasan S")</f>
        <v>Kannadhasan S</v>
      </c>
      <c r="C11" s="11" t="str">
        <f>IFERROR(__xludf.DUMMYFUNCTION("""COMPUTED_VALUE"""),"Smart - 48 ")</f>
        <v>Smart - 48 </v>
      </c>
      <c r="D11" s="11" t="str">
        <f>IFERROR(__xludf.DUMMYFUNCTION("""COMPUTED_VALUE"""),"Smart")</f>
        <v>Smart</v>
      </c>
      <c r="E11" s="11">
        <f>IFERROR(__xludf.DUMMYFUNCTION("""COMPUTED_VALUE"""),48.0)</f>
        <v>48</v>
      </c>
      <c r="F11" s="11" t="str">
        <f>IFERROR(__xludf.DUMMYFUNCTION("""COMPUTED_VALUE"""),"Kannadhasan S")</f>
        <v>Kannadhasan S</v>
      </c>
      <c r="G11" s="11" t="str">
        <f>IFERROR(__xludf.DUMMYFUNCTION("""COMPUTED_VALUE"""),"Kannadhasan")</f>
        <v>Kannadhasan</v>
      </c>
      <c r="H11" s="11" t="str">
        <f>IFERROR(__xludf.DUMMYFUNCTION("""COMPUTED_VALUE"""),"Kannadhasan")</f>
        <v>Kannadhasan</v>
      </c>
      <c r="I11" s="15">
        <f>IFERROR(__xludf.DUMMYFUNCTION("""COMPUTED_VALUE"""),150000.0)</f>
        <v>150000</v>
      </c>
      <c r="J11" s="11">
        <f>IFERROR(__xludf.DUMMYFUNCTION("""COMPUTED_VALUE"""),3021.0)</f>
        <v>3021</v>
      </c>
      <c r="K11" s="11" t="str">
        <f>IFERROR(__xludf.DUMMYFUNCTION("""COMPUTED_VALUE"""),"12500")</f>
        <v>12500</v>
      </c>
      <c r="L11" s="11">
        <f>IFERROR(__xludf.DUMMYFUNCTION("""COMPUTED_VALUE"""),9479.0)</f>
        <v>9479</v>
      </c>
      <c r="M11" s="11" t="str">
        <f>IFERROR(__xludf.DUMMYFUNCTION("""COMPUTED_VALUE"""),"5-Oct-2022")</f>
        <v>5-Oct-2022</v>
      </c>
      <c r="N11" s="11" t="str">
        <f>IFERROR(__xludf.DUMMYFUNCTION("""COMPUTED_VALUE"""),"100")</f>
        <v>100</v>
      </c>
    </row>
    <row r="12">
      <c r="A12" s="11" t="str">
        <f>IFERROR(__xludf.DUMMYFUNCTION("""COMPUTED_VALUE"""),"e6adb35f-360a-4844-a19a-dff001377b63")</f>
        <v>e6adb35f-360a-4844-a19a-dff001377b63</v>
      </c>
      <c r="B12" s="11" t="str">
        <f>IFERROR(__xludf.DUMMYFUNCTION("""COMPUTED_VALUE"""),"Venkatesh Gyadanaveni Venkatesh")</f>
        <v>Venkatesh Gyadanaveni Venkatesh</v>
      </c>
      <c r="C12" s="11" t="str">
        <f>IFERROR(__xludf.DUMMYFUNCTION("""COMPUTED_VALUE"""),"Genius - 48 ")</f>
        <v>Genius - 48 </v>
      </c>
      <c r="D12" s="11" t="str">
        <f>IFERROR(__xludf.DUMMYFUNCTION("""COMPUTED_VALUE"""),"Genius")</f>
        <v>Genius</v>
      </c>
      <c r="E12" s="11">
        <f>IFERROR(__xludf.DUMMYFUNCTION("""COMPUTED_VALUE"""),48.0)</f>
        <v>48</v>
      </c>
      <c r="F12" s="11" t="str">
        <f>IFERROR(__xludf.DUMMYFUNCTION("""COMPUTED_VALUE"""),"Venkatesh Gyadanaveni")</f>
        <v>Venkatesh Gyadanaveni</v>
      </c>
      <c r="G12" s="11" t="str">
        <f>IFERROR(__xludf.DUMMYFUNCTION("""COMPUTED_VALUE"""),"Venkatesh")</f>
        <v>Venkatesh</v>
      </c>
      <c r="H12" s="11" t="str">
        <f>IFERROR(__xludf.DUMMYFUNCTION("""COMPUTED_VALUE"""),"Venkatesh")</f>
        <v>Venkatesh</v>
      </c>
      <c r="I12" s="15">
        <f>IFERROR(__xludf.DUMMYFUNCTION("""COMPUTED_VALUE"""),250000.0)</f>
        <v>250000</v>
      </c>
      <c r="J12" s="11">
        <f>IFERROR(__xludf.DUMMYFUNCTION("""COMPUTED_VALUE"""),5104.0)</f>
        <v>5104</v>
      </c>
      <c r="K12" s="11" t="str">
        <f>IFERROR(__xludf.DUMMYFUNCTION("""COMPUTED_VALUE"""),"12500")</f>
        <v>12500</v>
      </c>
      <c r="L12" s="11">
        <f>IFERROR(__xludf.DUMMYFUNCTION("""COMPUTED_VALUE"""),7396.0)</f>
        <v>7396</v>
      </c>
      <c r="M12" s="11" t="str">
        <f>IFERROR(__xludf.DUMMYFUNCTION("""COMPUTED_VALUE"""),"5-Oct-2022")</f>
        <v>5-Oct-2022</v>
      </c>
      <c r="N12" s="11" t="str">
        <f>IFERROR(__xludf.DUMMYFUNCTION("""COMPUTED_VALUE"""),"100")</f>
        <v>100</v>
      </c>
    </row>
    <row r="13">
      <c r="A13" s="11" t="str">
        <f>IFERROR(__xludf.DUMMYFUNCTION("""COMPUTED_VALUE"""),"e6adb35f-360a-4844-a19a-dff001377b64")</f>
        <v>e6adb35f-360a-4844-a19a-dff001377b64</v>
      </c>
      <c r="B13" s="11" t="str">
        <f>IFERROR(__xludf.DUMMYFUNCTION("""COMPUTED_VALUE"""),"Sai Ram Naraboina")</f>
        <v>Sai Ram Naraboina</v>
      </c>
      <c r="C13" s="11" t="str">
        <f>IFERROR(__xludf.DUMMYFUNCTION("""COMPUTED_VALUE"""),"Smart - 48 ")</f>
        <v>Smart - 48 </v>
      </c>
      <c r="D13" s="11" t="str">
        <f>IFERROR(__xludf.DUMMYFUNCTION("""COMPUTED_VALUE"""),"Smart")</f>
        <v>Smart</v>
      </c>
      <c r="E13" s="11">
        <f>IFERROR(__xludf.DUMMYFUNCTION("""COMPUTED_VALUE"""),48.0)</f>
        <v>48</v>
      </c>
      <c r="F13" s="11" t="str">
        <f>IFERROR(__xludf.DUMMYFUNCTION("""COMPUTED_VALUE"""),"Sai Ram Naraboina")</f>
        <v>Sai Ram Naraboina</v>
      </c>
      <c r="G13" s="11" t="str">
        <f>IFERROR(__xludf.DUMMYFUNCTION("""COMPUTED_VALUE"""),"Sai")</f>
        <v>Sai</v>
      </c>
      <c r="H13" s="11" t="str">
        <f>IFERROR(__xludf.DUMMYFUNCTION("""COMPUTED_VALUE"""),"Sai")</f>
        <v>Sai</v>
      </c>
      <c r="I13" s="15">
        <f>IFERROR(__xludf.DUMMYFUNCTION("""COMPUTED_VALUE"""),150000.0)</f>
        <v>150000</v>
      </c>
      <c r="J13" s="11">
        <f>IFERROR(__xludf.DUMMYFUNCTION("""COMPUTED_VALUE"""),3021.0)</f>
        <v>3021</v>
      </c>
      <c r="K13" s="11" t="str">
        <f>IFERROR(__xludf.DUMMYFUNCTION("""COMPUTED_VALUE"""),"12500")</f>
        <v>12500</v>
      </c>
      <c r="L13" s="11">
        <f>IFERROR(__xludf.DUMMYFUNCTION("""COMPUTED_VALUE"""),9479.0)</f>
        <v>9479</v>
      </c>
      <c r="M13" s="11" t="str">
        <f>IFERROR(__xludf.DUMMYFUNCTION("""COMPUTED_VALUE"""),"5-Oct-2022")</f>
        <v>5-Oct-2022</v>
      </c>
      <c r="N13" s="11" t="str">
        <f>IFERROR(__xludf.DUMMYFUNCTION("""COMPUTED_VALUE"""),"100")</f>
        <v>100</v>
      </c>
    </row>
    <row r="14">
      <c r="A14" s="11" t="str">
        <f>IFERROR(__xludf.DUMMYFUNCTION("""COMPUTED_VALUE"""),"e6adb35f-360a-4844-a19a-dff001377b65")</f>
        <v>e6adb35f-360a-4844-a19a-dff001377b65</v>
      </c>
      <c r="B14" s="11" t="str">
        <f>IFERROR(__xludf.DUMMYFUNCTION("""COMPUTED_VALUE"""),"Prabhakaran S Prabhakaran S")</f>
        <v>Prabhakaran S Prabhakaran S</v>
      </c>
      <c r="C14" s="11" t="str">
        <f>IFERROR(__xludf.DUMMYFUNCTION("""COMPUTED_VALUE"""),"Smart - 48 ")</f>
        <v>Smart - 48 </v>
      </c>
      <c r="D14" s="11" t="str">
        <f>IFERROR(__xludf.DUMMYFUNCTION("""COMPUTED_VALUE"""),"Smart")</f>
        <v>Smart</v>
      </c>
      <c r="E14" s="11">
        <f>IFERROR(__xludf.DUMMYFUNCTION("""COMPUTED_VALUE"""),48.0)</f>
        <v>48</v>
      </c>
      <c r="F14" s="11" t="str">
        <f>IFERROR(__xludf.DUMMYFUNCTION("""COMPUTED_VALUE"""),"Prabhakaran S")</f>
        <v>Prabhakaran S</v>
      </c>
      <c r="G14" s="11" t="str">
        <f>IFERROR(__xludf.DUMMYFUNCTION("""COMPUTED_VALUE"""),"Prabhakaran")</f>
        <v>Prabhakaran</v>
      </c>
      <c r="H14" s="11" t="str">
        <f>IFERROR(__xludf.DUMMYFUNCTION("""COMPUTED_VALUE"""),"Prabhakaran")</f>
        <v>Prabhakaran</v>
      </c>
      <c r="I14" s="15">
        <f>IFERROR(__xludf.DUMMYFUNCTION("""COMPUTED_VALUE"""),150000.0)</f>
        <v>150000</v>
      </c>
      <c r="J14" s="11">
        <f>IFERROR(__xludf.DUMMYFUNCTION("""COMPUTED_VALUE"""),3021.0)</f>
        <v>3021</v>
      </c>
      <c r="K14" s="11" t="str">
        <f>IFERROR(__xludf.DUMMYFUNCTION("""COMPUTED_VALUE"""),"12500")</f>
        <v>12500</v>
      </c>
      <c r="L14" s="11">
        <f>IFERROR(__xludf.DUMMYFUNCTION("""COMPUTED_VALUE"""),9479.0)</f>
        <v>9479</v>
      </c>
      <c r="M14" s="11" t="str">
        <f>IFERROR(__xludf.DUMMYFUNCTION("""COMPUTED_VALUE"""),"5-Oct-2022")</f>
        <v>5-Oct-2022</v>
      </c>
      <c r="N14" s="11" t="str">
        <f>IFERROR(__xludf.DUMMYFUNCTION("""COMPUTED_VALUE"""),"93")</f>
        <v>93</v>
      </c>
    </row>
    <row r="15">
      <c r="A15" s="11" t="str">
        <f>IFERROR(__xludf.DUMMYFUNCTION("""COMPUTED_VALUE"""),"e6adb35f-360a-4844-a19a-dff001377b66")</f>
        <v>e6adb35f-360a-4844-a19a-dff001377b66</v>
      </c>
      <c r="B15" s="11" t="str">
        <f>IFERROR(__xludf.DUMMYFUNCTION("""COMPUTED_VALUE"""),"Pavan Mutyala")</f>
        <v>Pavan Mutyala</v>
      </c>
      <c r="C15" s="11" t="str">
        <f>IFERROR(__xludf.DUMMYFUNCTION("""COMPUTED_VALUE"""),"Smart - 36")</f>
        <v>Smart - 36</v>
      </c>
      <c r="D15" s="11" t="str">
        <f>IFERROR(__xludf.DUMMYFUNCTION("""COMPUTED_VALUE"""),"Smart")</f>
        <v>Smart</v>
      </c>
      <c r="E15" s="11">
        <f>IFERROR(__xludf.DUMMYFUNCTION("""COMPUTED_VALUE"""),36.0)</f>
        <v>36</v>
      </c>
      <c r="F15" s="11" t="str">
        <f>IFERROR(__xludf.DUMMYFUNCTION("""COMPUTED_VALUE"""),"Pavan Mutyala")</f>
        <v>Pavan Mutyala</v>
      </c>
      <c r="G15" s="11" t="str">
        <f>IFERROR(__xludf.DUMMYFUNCTION("""COMPUTED_VALUE"""),"Pavan")</f>
        <v>Pavan</v>
      </c>
      <c r="H15" s="11" t="str">
        <f>IFERROR(__xludf.DUMMYFUNCTION("""COMPUTED_VALUE"""),"Pavan")</f>
        <v>Pavan</v>
      </c>
      <c r="I15" s="15">
        <f>IFERROR(__xludf.DUMMYFUNCTION("""COMPUTED_VALUE"""),150000.0)</f>
        <v>150000</v>
      </c>
      <c r="J15" s="11">
        <f>IFERROR(__xludf.DUMMYFUNCTION("""COMPUTED_VALUE"""),4028.0)</f>
        <v>4028</v>
      </c>
      <c r="K15" s="11" t="str">
        <f>IFERROR(__xludf.DUMMYFUNCTION("""COMPUTED_VALUE"""),"20782")</f>
        <v>20782</v>
      </c>
      <c r="L15" s="11">
        <f>IFERROR(__xludf.DUMMYFUNCTION("""COMPUTED_VALUE"""),16754.0)</f>
        <v>16754</v>
      </c>
      <c r="M15" s="11" t="str">
        <f>IFERROR(__xludf.DUMMYFUNCTION("""COMPUTED_VALUE"""),"5-Oct-2022")</f>
        <v>5-Oct-2022</v>
      </c>
      <c r="N15" s="11" t="str">
        <f>IFERROR(__xludf.DUMMYFUNCTION("""COMPUTED_VALUE"""),"100")</f>
        <v>100</v>
      </c>
    </row>
    <row r="16">
      <c r="A16" s="11" t="str">
        <f>IFERROR(__xludf.DUMMYFUNCTION("""COMPUTED_VALUE"""),"e6adb35f-360a-4844-a19a-dff001377b67")</f>
        <v>e6adb35f-360a-4844-a19a-dff001377b67</v>
      </c>
      <c r="B16" s="11" t="str">
        <f>IFERROR(__xludf.DUMMYFUNCTION("""COMPUTED_VALUE"""),"Rakesh Thodeti")</f>
        <v>Rakesh Thodeti</v>
      </c>
      <c r="C16" s="11" t="str">
        <f>IFERROR(__xludf.DUMMYFUNCTION("""COMPUTED_VALUE"""),"Smart - 36")</f>
        <v>Smart - 36</v>
      </c>
      <c r="D16" s="11" t="str">
        <f>IFERROR(__xludf.DUMMYFUNCTION("""COMPUTED_VALUE"""),"Smart")</f>
        <v>Smart</v>
      </c>
      <c r="E16" s="11">
        <f>IFERROR(__xludf.DUMMYFUNCTION("""COMPUTED_VALUE"""),36.0)</f>
        <v>36</v>
      </c>
      <c r="F16" s="11" t="str">
        <f>IFERROR(__xludf.DUMMYFUNCTION("""COMPUTED_VALUE"""),"Rakesh Thodeti")</f>
        <v>Rakesh Thodeti</v>
      </c>
      <c r="G16" s="11" t="str">
        <f>IFERROR(__xludf.DUMMYFUNCTION("""COMPUTED_VALUE"""),"Rakesh")</f>
        <v>Rakesh</v>
      </c>
      <c r="H16" s="11" t="str">
        <f>IFERROR(__xludf.DUMMYFUNCTION("""COMPUTED_VALUE"""),"Rakesh")</f>
        <v>Rakesh</v>
      </c>
      <c r="I16" s="15">
        <f>IFERROR(__xludf.DUMMYFUNCTION("""COMPUTED_VALUE"""),150000.0)</f>
        <v>150000</v>
      </c>
      <c r="J16" s="11">
        <f>IFERROR(__xludf.DUMMYFUNCTION("""COMPUTED_VALUE"""),4028.0)</f>
        <v>4028</v>
      </c>
      <c r="K16" s="11" t="str">
        <f>IFERROR(__xludf.DUMMYFUNCTION("""COMPUTED_VALUE"""),"6805.56")</f>
        <v>6805.56</v>
      </c>
      <c r="L16" s="11">
        <f>IFERROR(__xludf.DUMMYFUNCTION("""COMPUTED_VALUE"""),2777.5600000000004)</f>
        <v>2777.56</v>
      </c>
      <c r="M16" s="11" t="str">
        <f>IFERROR(__xludf.DUMMYFUNCTION("""COMPUTED_VALUE"""),"3-Oct-2022")</f>
        <v>3-Oct-2022</v>
      </c>
      <c r="N16" s="11" t="str">
        <f>IFERROR(__xludf.DUMMYFUNCTION("""COMPUTED_VALUE"""),"100")</f>
        <v>100</v>
      </c>
    </row>
    <row r="17">
      <c r="A17" s="11" t="str">
        <f>IFERROR(__xludf.DUMMYFUNCTION("""COMPUTED_VALUE"""),"e6adb35f-360a-4844-a19a-dff001377b68")</f>
        <v>e6adb35f-360a-4844-a19a-dff001377b68</v>
      </c>
      <c r="B17" s="11" t="str">
        <f>IFERROR(__xludf.DUMMYFUNCTION("""COMPUTED_VALUE"""),"Ravindar Gangula")</f>
        <v>Ravindar Gangula</v>
      </c>
      <c r="C17" s="11" t="str">
        <f>IFERROR(__xludf.DUMMYFUNCTION("""COMPUTED_VALUE"""),"Genius - 36 ")</f>
        <v>Genius - 36 </v>
      </c>
      <c r="D17" s="11" t="str">
        <f>IFERROR(__xludf.DUMMYFUNCTION("""COMPUTED_VALUE"""),"Genius")</f>
        <v>Genius</v>
      </c>
      <c r="E17" s="11">
        <f>IFERROR(__xludf.DUMMYFUNCTION("""COMPUTED_VALUE"""),36.0)</f>
        <v>36</v>
      </c>
      <c r="F17" s="11" t="str">
        <f>IFERROR(__xludf.DUMMYFUNCTION("""COMPUTED_VALUE"""),"Ravindar Gangula")</f>
        <v>Ravindar Gangula</v>
      </c>
      <c r="G17" s="11" t="str">
        <f>IFERROR(__xludf.DUMMYFUNCTION("""COMPUTED_VALUE"""),"Ravindar")</f>
        <v>Ravindar</v>
      </c>
      <c r="H17" s="11" t="str">
        <f>IFERROR(__xludf.DUMMYFUNCTION("""COMPUTED_VALUE"""),"Ravindar")</f>
        <v>Ravindar</v>
      </c>
      <c r="I17" s="15">
        <f>IFERROR(__xludf.DUMMYFUNCTION("""COMPUTED_VALUE"""),250000.0)</f>
        <v>250000</v>
      </c>
      <c r="J17" s="11">
        <f>IFERROR(__xludf.DUMMYFUNCTION("""COMPUTED_VALUE"""),6806.0)</f>
        <v>6806</v>
      </c>
      <c r="K17" s="11" t="str">
        <f>IFERROR(__xludf.DUMMYFUNCTION("""COMPUTED_VALUE"""),"6521")</f>
        <v>6521</v>
      </c>
      <c r="L17" s="11">
        <f>IFERROR(__xludf.DUMMYFUNCTION("""COMPUTED_VALUE"""),-285.0)</f>
        <v>-285</v>
      </c>
      <c r="M17" s="11" t="str">
        <f>IFERROR(__xludf.DUMMYFUNCTION("""COMPUTED_VALUE"""),"5-Oct-2022")</f>
        <v>5-Oct-2022</v>
      </c>
      <c r="N17" s="11" t="str">
        <f>IFERROR(__xludf.DUMMYFUNCTION("""COMPUTED_VALUE"""),"99")</f>
        <v>99</v>
      </c>
    </row>
    <row r="18">
      <c r="A18" s="11" t="str">
        <f>IFERROR(__xludf.DUMMYFUNCTION("""COMPUTED_VALUE"""),"e6adb35f-360a-4844-a19a-dff001377b69")</f>
        <v>e6adb35f-360a-4844-a19a-dff001377b69</v>
      </c>
      <c r="B18" s="11" t="str">
        <f>IFERROR(__xludf.DUMMYFUNCTION("""COMPUTED_VALUE"""),"Mohith Nakka")</f>
        <v>Mohith Nakka</v>
      </c>
      <c r="C18" s="11" t="str">
        <f>IFERROR(__xludf.DUMMYFUNCTION("""COMPUTED_VALUE"""),"Genius - 48")</f>
        <v>Genius - 48</v>
      </c>
      <c r="D18" s="11" t="str">
        <f>IFERROR(__xludf.DUMMYFUNCTION("""COMPUTED_VALUE"""),"Genius")</f>
        <v>Genius</v>
      </c>
      <c r="E18" s="11">
        <f>IFERROR(__xludf.DUMMYFUNCTION("""COMPUTED_VALUE"""),48.0)</f>
        <v>48</v>
      </c>
      <c r="F18" s="11" t="str">
        <f>IFERROR(__xludf.DUMMYFUNCTION("""COMPUTED_VALUE"""),"Mohith Nakka")</f>
        <v>Mohith Nakka</v>
      </c>
      <c r="G18" s="11" t="str">
        <f>IFERROR(__xludf.DUMMYFUNCTION("""COMPUTED_VALUE"""),"Mohith")</f>
        <v>Mohith</v>
      </c>
      <c r="H18" s="11" t="str">
        <f>IFERROR(__xludf.DUMMYFUNCTION("""COMPUTED_VALUE"""),"Mohith")</f>
        <v>Mohith</v>
      </c>
      <c r="I18" s="15">
        <f>IFERROR(__xludf.DUMMYFUNCTION("""COMPUTED_VALUE"""),250000.0)</f>
        <v>250000</v>
      </c>
      <c r="J18" s="11">
        <f>IFERROR(__xludf.DUMMYFUNCTION("""COMPUTED_VALUE"""),5104.0)</f>
        <v>5104</v>
      </c>
      <c r="K18" s="11" t="str">
        <f>IFERROR(__xludf.DUMMYFUNCTION("""COMPUTED_VALUE"""),"3612")</f>
        <v>3612</v>
      </c>
      <c r="L18" s="11">
        <f>IFERROR(__xludf.DUMMYFUNCTION("""COMPUTED_VALUE"""),-1492.0)</f>
        <v>-1492</v>
      </c>
      <c r="M18" s="11" t="str">
        <f>IFERROR(__xludf.DUMMYFUNCTION("""COMPUTED_VALUE"""),"5-Nov-2022")</f>
        <v>5-Nov-2022</v>
      </c>
      <c r="N18" s="11" t="str">
        <f>IFERROR(__xludf.DUMMYFUNCTION("""COMPUTED_VALUE"""),"100")</f>
        <v>100</v>
      </c>
    </row>
    <row r="19">
      <c r="A19" s="11" t="str">
        <f>IFERROR(__xludf.DUMMYFUNCTION("""COMPUTED_VALUE"""),"e6adb35f-360a-4844-a19a-dff001377b70")</f>
        <v>e6adb35f-360a-4844-a19a-dff001377b70</v>
      </c>
      <c r="B19" s="11" t="str">
        <f>IFERROR(__xludf.DUMMYFUNCTION("""COMPUTED_VALUE"""),"Navya Laxmi K")</f>
        <v>Navya Laxmi K</v>
      </c>
      <c r="C19" s="11" t="str">
        <f>IFERROR(__xludf.DUMMYFUNCTION("""COMPUTED_VALUE"""),"Smart - 36 ")</f>
        <v>Smart - 36 </v>
      </c>
      <c r="D19" s="11" t="str">
        <f>IFERROR(__xludf.DUMMYFUNCTION("""COMPUTED_VALUE"""),"Smart")</f>
        <v>Smart</v>
      </c>
      <c r="E19" s="11">
        <f>IFERROR(__xludf.DUMMYFUNCTION("""COMPUTED_VALUE"""),36.0)</f>
        <v>36</v>
      </c>
      <c r="F19" s="11" t="str">
        <f>IFERROR(__xludf.DUMMYFUNCTION("""COMPUTED_VALUE"""),"Navya Laxmi K")</f>
        <v>Navya Laxmi K</v>
      </c>
      <c r="G19" s="11" t="str">
        <f>IFERROR(__xludf.DUMMYFUNCTION("""COMPUTED_VALUE"""),"Navya")</f>
        <v>Navya</v>
      </c>
      <c r="H19" s="11" t="str">
        <f>IFERROR(__xludf.DUMMYFUNCTION("""COMPUTED_VALUE"""),"Navya")</f>
        <v>Navya</v>
      </c>
      <c r="I19" s="15">
        <f>IFERROR(__xludf.DUMMYFUNCTION("""COMPUTED_VALUE"""),150000.0)</f>
        <v>150000</v>
      </c>
      <c r="J19" s="11">
        <f>IFERROR(__xludf.DUMMYFUNCTION("""COMPUTED_VALUE"""),4028.0)</f>
        <v>4028</v>
      </c>
      <c r="K19" s="11" t="str">
        <f>IFERROR(__xludf.DUMMYFUNCTION("""COMPUTED_VALUE"""),"3750")</f>
        <v>3750</v>
      </c>
      <c r="L19" s="11">
        <f>IFERROR(__xludf.DUMMYFUNCTION("""COMPUTED_VALUE"""),-278.0)</f>
        <v>-278</v>
      </c>
      <c r="M19" s="11" t="str">
        <f>IFERROR(__xludf.DUMMYFUNCTION("""COMPUTED_VALUE"""),"5-Nov-2022")</f>
        <v>5-Nov-2022</v>
      </c>
      <c r="N19" s="11" t="str">
        <f>IFERROR(__xludf.DUMMYFUNCTION("""COMPUTED_VALUE"""),"100")</f>
        <v>100</v>
      </c>
    </row>
    <row r="20">
      <c r="A20" s="11" t="str">
        <f>IFERROR(__xludf.DUMMYFUNCTION("""COMPUTED_VALUE"""),"e6adb35f-360a-4844-a19a-dff001377b71")</f>
        <v>e6adb35f-360a-4844-a19a-dff001377b71</v>
      </c>
      <c r="B20" s="11" t="str">
        <f>IFERROR(__xludf.DUMMYFUNCTION("""COMPUTED_VALUE"""),"Karreti Hari Chandana Karreti")</f>
        <v>Karreti Hari Chandana Karreti</v>
      </c>
      <c r="C20" s="11" t="str">
        <f>IFERROR(__xludf.DUMMYFUNCTION("""COMPUTED_VALUE"""),"Smart - 36 ")</f>
        <v>Smart - 36 </v>
      </c>
      <c r="D20" s="11" t="str">
        <f>IFERROR(__xludf.DUMMYFUNCTION("""COMPUTED_VALUE"""),"Smart")</f>
        <v>Smart</v>
      </c>
      <c r="E20" s="11">
        <f>IFERROR(__xludf.DUMMYFUNCTION("""COMPUTED_VALUE"""),36.0)</f>
        <v>36</v>
      </c>
      <c r="F20" s="11" t="str">
        <f>IFERROR(__xludf.DUMMYFUNCTION("""COMPUTED_VALUE"""),"Karreti Hari Chandana")</f>
        <v>Karreti Hari Chandana</v>
      </c>
      <c r="G20" s="11" t="str">
        <f>IFERROR(__xludf.DUMMYFUNCTION("""COMPUTED_VALUE"""),"Karreti")</f>
        <v>Karreti</v>
      </c>
      <c r="H20" s="11" t="str">
        <f>IFERROR(__xludf.DUMMYFUNCTION("""COMPUTED_VALUE"""),"Karreti")</f>
        <v>Karreti</v>
      </c>
      <c r="I20" s="15">
        <f>IFERROR(__xludf.DUMMYFUNCTION("""COMPUTED_VALUE"""),150000.0)</f>
        <v>150000</v>
      </c>
      <c r="J20" s="11">
        <f>IFERROR(__xludf.DUMMYFUNCTION("""COMPUTED_VALUE"""),4028.0)</f>
        <v>4028</v>
      </c>
      <c r="K20" s="11" t="str">
        <f>IFERROR(__xludf.DUMMYFUNCTION("""COMPUTED_VALUE"""),"3750")</f>
        <v>3750</v>
      </c>
      <c r="L20" s="11">
        <f>IFERROR(__xludf.DUMMYFUNCTION("""COMPUTED_VALUE"""),-278.0)</f>
        <v>-278</v>
      </c>
      <c r="M20" s="11" t="str">
        <f>IFERROR(__xludf.DUMMYFUNCTION("""COMPUTED_VALUE"""),"5-Nov-2022")</f>
        <v>5-Nov-2022</v>
      </c>
      <c r="N20" s="11" t="str">
        <f>IFERROR(__xludf.DUMMYFUNCTION("""COMPUTED_VALUE"""),"99")</f>
        <v>99</v>
      </c>
    </row>
    <row r="21">
      <c r="A21" s="11" t="str">
        <f>IFERROR(__xludf.DUMMYFUNCTION("""COMPUTED_VALUE"""),"e6adb35f-360a-4844-a19a-dff001377b72")</f>
        <v>e6adb35f-360a-4844-a19a-dff001377b72</v>
      </c>
      <c r="B21" s="11" t="str">
        <f>IFERROR(__xludf.DUMMYFUNCTION("""COMPUTED_VALUE"""),"Vignesh Ramamoorthy")</f>
        <v>Vignesh Ramamoorthy</v>
      </c>
      <c r="C21" s="11" t="str">
        <f>IFERROR(__xludf.DUMMYFUNCTION("""COMPUTED_VALUE"""),"Smart - 48 ")</f>
        <v>Smart - 48 </v>
      </c>
      <c r="D21" s="11" t="str">
        <f>IFERROR(__xludf.DUMMYFUNCTION("""COMPUTED_VALUE"""),"Smart")</f>
        <v>Smart</v>
      </c>
      <c r="E21" s="11">
        <f>IFERROR(__xludf.DUMMYFUNCTION("""COMPUTED_VALUE"""),48.0)</f>
        <v>48</v>
      </c>
      <c r="F21" s="11" t="str">
        <f>IFERROR(__xludf.DUMMYFUNCTION("""COMPUTED_VALUE"""),"Vignesh Ramamoorthy")</f>
        <v>Vignesh Ramamoorthy</v>
      </c>
      <c r="G21" s="11" t="str">
        <f>IFERROR(__xludf.DUMMYFUNCTION("""COMPUTED_VALUE"""),"Vignesh")</f>
        <v>Vignesh</v>
      </c>
      <c r="H21" s="11" t="str">
        <f>IFERROR(__xludf.DUMMYFUNCTION("""COMPUTED_VALUE"""),"Vignesh")</f>
        <v>Vignesh</v>
      </c>
      <c r="I21" s="15">
        <f>IFERROR(__xludf.DUMMYFUNCTION("""COMPUTED_VALUE"""),150000.0)</f>
        <v>150000</v>
      </c>
      <c r="J21" s="11">
        <f>IFERROR(__xludf.DUMMYFUNCTION("""COMPUTED_VALUE"""),3021.0)</f>
        <v>3021</v>
      </c>
      <c r="K21" s="11" t="str">
        <f>IFERROR(__xludf.DUMMYFUNCTION("""COMPUTED_VALUE"""),"12500")</f>
        <v>12500</v>
      </c>
      <c r="L21" s="11">
        <f>IFERROR(__xludf.DUMMYFUNCTION("""COMPUTED_VALUE"""),9479.0)</f>
        <v>9479</v>
      </c>
      <c r="M21" s="11" t="str">
        <f>IFERROR(__xludf.DUMMYFUNCTION("""COMPUTED_VALUE"""),"5-Nov-2022")</f>
        <v>5-Nov-2022</v>
      </c>
      <c r="N21" s="11" t="str">
        <f>IFERROR(__xludf.DUMMYFUNCTION("""COMPUTED_VALUE"""),"100")</f>
        <v>100</v>
      </c>
    </row>
    <row r="22">
      <c r="A22" s="11" t="str">
        <f>IFERROR(__xludf.DUMMYFUNCTION("""COMPUTED_VALUE"""),"e6adb35f-360a-4844-a19a-dff001377b73")</f>
        <v>e6adb35f-360a-4844-a19a-dff001377b73</v>
      </c>
      <c r="B22" s="11" t="str">
        <f>IFERROR(__xludf.DUMMYFUNCTION("""COMPUTED_VALUE"""),"Rinki Chauhan")</f>
        <v>Rinki Chauhan</v>
      </c>
      <c r="C22" s="11" t="str">
        <f>IFERROR(__xludf.DUMMYFUNCTION("""COMPUTED_VALUE"""),"Smart - 48 ")</f>
        <v>Smart - 48 </v>
      </c>
      <c r="D22" s="11" t="str">
        <f>IFERROR(__xludf.DUMMYFUNCTION("""COMPUTED_VALUE"""),"Smart")</f>
        <v>Smart</v>
      </c>
      <c r="E22" s="11">
        <f>IFERROR(__xludf.DUMMYFUNCTION("""COMPUTED_VALUE"""),48.0)</f>
        <v>48</v>
      </c>
      <c r="F22" s="11" t="str">
        <f>IFERROR(__xludf.DUMMYFUNCTION("""COMPUTED_VALUE"""),"Rinki Chauhan")</f>
        <v>Rinki Chauhan</v>
      </c>
      <c r="G22" s="11" t="str">
        <f>IFERROR(__xludf.DUMMYFUNCTION("""COMPUTED_VALUE"""),"Rinki")</f>
        <v>Rinki</v>
      </c>
      <c r="H22" s="11" t="str">
        <f>IFERROR(__xludf.DUMMYFUNCTION("""COMPUTED_VALUE"""),"Rinki")</f>
        <v>Rinki</v>
      </c>
      <c r="I22" s="15">
        <f>IFERROR(__xludf.DUMMYFUNCTION("""COMPUTED_VALUE"""),150000.0)</f>
        <v>150000</v>
      </c>
      <c r="J22" s="11">
        <f>IFERROR(__xludf.DUMMYFUNCTION("""COMPUTED_VALUE"""),3021.0)</f>
        <v>3021</v>
      </c>
      <c r="K22" s="11" t="str">
        <f>IFERROR(__xludf.DUMMYFUNCTION("""COMPUTED_VALUE"""),"12500")</f>
        <v>12500</v>
      </c>
      <c r="L22" s="11">
        <f>IFERROR(__xludf.DUMMYFUNCTION("""COMPUTED_VALUE"""),9479.0)</f>
        <v>9479</v>
      </c>
      <c r="M22" s="11" t="str">
        <f>IFERROR(__xludf.DUMMYFUNCTION("""COMPUTED_VALUE"""),"5-Nov-2022")</f>
        <v>5-Nov-2022</v>
      </c>
      <c r="N22" s="11" t="str">
        <f>IFERROR(__xludf.DUMMYFUNCTION("""COMPUTED_VALUE"""),"99")</f>
        <v>99</v>
      </c>
    </row>
    <row r="23">
      <c r="A23" s="11" t="str">
        <f>IFERROR(__xludf.DUMMYFUNCTION("""COMPUTED_VALUE"""),"e6adb35f-360a-4844-a19a-dff001377b74")</f>
        <v>e6adb35f-360a-4844-a19a-dff001377b74</v>
      </c>
      <c r="B23" s="11" t="str">
        <f>IFERROR(__xludf.DUMMYFUNCTION("""COMPUTED_VALUE"""),"Tony S")</f>
        <v>Tony S</v>
      </c>
      <c r="C23" s="11" t="str">
        <f>IFERROR(__xludf.DUMMYFUNCTION("""COMPUTED_VALUE"""),"Genius - 48")</f>
        <v>Genius - 48</v>
      </c>
      <c r="D23" s="11" t="str">
        <f>IFERROR(__xludf.DUMMYFUNCTION("""COMPUTED_VALUE"""),"Genius")</f>
        <v>Genius</v>
      </c>
      <c r="E23" s="11">
        <f>IFERROR(__xludf.DUMMYFUNCTION("""COMPUTED_VALUE"""),48.0)</f>
        <v>48</v>
      </c>
      <c r="F23" s="11" t="str">
        <f>IFERROR(__xludf.DUMMYFUNCTION("""COMPUTED_VALUE"""),"Tony S")</f>
        <v>Tony S</v>
      </c>
      <c r="G23" s="11" t="str">
        <f>IFERROR(__xludf.DUMMYFUNCTION("""COMPUTED_VALUE"""),"Tony")</f>
        <v>Tony</v>
      </c>
      <c r="H23" s="11" t="str">
        <f>IFERROR(__xludf.DUMMYFUNCTION("""COMPUTED_VALUE"""),"Tony")</f>
        <v>Tony</v>
      </c>
      <c r="I23" s="15">
        <f>IFERROR(__xludf.DUMMYFUNCTION("""COMPUTED_VALUE"""),250000.0)</f>
        <v>250000</v>
      </c>
      <c r="J23" s="11">
        <f>IFERROR(__xludf.DUMMYFUNCTION("""COMPUTED_VALUE"""),5104.0)</f>
        <v>5104</v>
      </c>
      <c r="K23" s="11"/>
      <c r="L23" s="11">
        <f>IFERROR(__xludf.DUMMYFUNCTION("""COMPUTED_VALUE"""),-5104.0)</f>
        <v>-5104</v>
      </c>
      <c r="M23" s="11" t="str">
        <f>IFERROR(__xludf.DUMMYFUNCTION("""COMPUTED_VALUE"""),"5-Nov-2022")</f>
        <v>5-Nov-2022</v>
      </c>
      <c r="N23" s="11" t="str">
        <f>IFERROR(__xludf.DUMMYFUNCTION("""COMPUTED_VALUE"""),"89")</f>
        <v>89</v>
      </c>
    </row>
    <row r="24">
      <c r="A24" s="11" t="str">
        <f>IFERROR(__xludf.DUMMYFUNCTION("""COMPUTED_VALUE"""),"e6adb35f-360a-4844-a19a-dff001377b75")</f>
        <v>e6adb35f-360a-4844-a19a-dff001377b75</v>
      </c>
      <c r="B24" s="11" t="str">
        <f>IFERROR(__xludf.DUMMYFUNCTION("""COMPUTED_VALUE"""),"Mahesh P")</f>
        <v>Mahesh P</v>
      </c>
      <c r="C24" s="11" t="str">
        <f>IFERROR(__xludf.DUMMYFUNCTION("""COMPUTED_VALUE"""),"Smart - 48 ")</f>
        <v>Smart - 48 </v>
      </c>
      <c r="D24" s="11" t="str">
        <f>IFERROR(__xludf.DUMMYFUNCTION("""COMPUTED_VALUE"""),"Smart")</f>
        <v>Smart</v>
      </c>
      <c r="E24" s="11">
        <f>IFERROR(__xludf.DUMMYFUNCTION("""COMPUTED_VALUE"""),48.0)</f>
        <v>48</v>
      </c>
      <c r="F24" s="11" t="str">
        <f>IFERROR(__xludf.DUMMYFUNCTION("""COMPUTED_VALUE"""),"Mahesh P")</f>
        <v>Mahesh P</v>
      </c>
      <c r="G24" s="11" t="str">
        <f>IFERROR(__xludf.DUMMYFUNCTION("""COMPUTED_VALUE"""),"Mahesh")</f>
        <v>Mahesh</v>
      </c>
      <c r="H24" s="11" t="str">
        <f>IFERROR(__xludf.DUMMYFUNCTION("""COMPUTED_VALUE"""),"Mahesh")</f>
        <v>Mahesh</v>
      </c>
      <c r="I24" s="15">
        <f>IFERROR(__xludf.DUMMYFUNCTION("""COMPUTED_VALUE"""),150000.0)</f>
        <v>150000</v>
      </c>
      <c r="J24" s="11">
        <f>IFERROR(__xludf.DUMMYFUNCTION("""COMPUTED_VALUE"""),3021.0)</f>
        <v>3021</v>
      </c>
      <c r="K24" s="11" t="str">
        <f>IFERROR(__xludf.DUMMYFUNCTION("""COMPUTED_VALUE"""),"10000")</f>
        <v>10000</v>
      </c>
      <c r="L24" s="11">
        <f>IFERROR(__xludf.DUMMYFUNCTION("""COMPUTED_VALUE"""),6979.0)</f>
        <v>6979</v>
      </c>
      <c r="M24" s="11" t="str">
        <f>IFERROR(__xludf.DUMMYFUNCTION("""COMPUTED_VALUE"""),"5-Nov-2022")</f>
        <v>5-Nov-2022</v>
      </c>
      <c r="N24" s="11" t="str">
        <f>IFERROR(__xludf.DUMMYFUNCTION("""COMPUTED_VALUE"""),"97")</f>
        <v>97</v>
      </c>
    </row>
    <row r="25">
      <c r="A25" s="11" t="str">
        <f>IFERROR(__xludf.DUMMYFUNCTION("""COMPUTED_VALUE"""),"e6adb35f-360a-4844-a19a-dff001377b76")</f>
        <v>e6adb35f-360a-4844-a19a-dff001377b76</v>
      </c>
      <c r="B25" s="11" t="str">
        <f>IFERROR(__xludf.DUMMYFUNCTION("""COMPUTED_VALUE"""),"Bala G")</f>
        <v>Bala G</v>
      </c>
      <c r="C25" s="11" t="str">
        <f>IFERROR(__xludf.DUMMYFUNCTION("""COMPUTED_VALUE"""),"Genius - 36")</f>
        <v>Genius - 36</v>
      </c>
      <c r="D25" s="11" t="str">
        <f>IFERROR(__xludf.DUMMYFUNCTION("""COMPUTED_VALUE"""),"Genius")</f>
        <v>Genius</v>
      </c>
      <c r="E25" s="11">
        <f>IFERROR(__xludf.DUMMYFUNCTION("""COMPUTED_VALUE"""),36.0)</f>
        <v>36</v>
      </c>
      <c r="F25" s="11" t="str">
        <f>IFERROR(__xludf.DUMMYFUNCTION("""COMPUTED_VALUE"""),"Bala G")</f>
        <v>Bala G</v>
      </c>
      <c r="G25" s="11" t="str">
        <f>IFERROR(__xludf.DUMMYFUNCTION("""COMPUTED_VALUE"""),"Bala")</f>
        <v>Bala</v>
      </c>
      <c r="H25" s="11" t="str">
        <f>IFERROR(__xludf.DUMMYFUNCTION("""COMPUTED_VALUE"""),"Bala")</f>
        <v>Bala</v>
      </c>
      <c r="I25" s="15">
        <f>IFERROR(__xludf.DUMMYFUNCTION("""COMPUTED_VALUE"""),250000.0)</f>
        <v>250000</v>
      </c>
      <c r="J25" s="11">
        <f>IFERROR(__xludf.DUMMYFUNCTION("""COMPUTED_VALUE"""),6806.0)</f>
        <v>6806</v>
      </c>
      <c r="K25" s="11" t="str">
        <f>IFERROR(__xludf.DUMMYFUNCTION("""COMPUTED_VALUE"""),"7292")</f>
        <v>7292</v>
      </c>
      <c r="L25" s="11">
        <f>IFERROR(__xludf.DUMMYFUNCTION("""COMPUTED_VALUE"""),486.0)</f>
        <v>486</v>
      </c>
      <c r="M25" s="11" t="str">
        <f>IFERROR(__xludf.DUMMYFUNCTION("""COMPUTED_VALUE"""),"5-Nov-2022")</f>
        <v>5-Nov-2022</v>
      </c>
      <c r="N25" s="11" t="str">
        <f>IFERROR(__xludf.DUMMYFUNCTION("""COMPUTED_VALUE"""),"98")</f>
        <v>98</v>
      </c>
    </row>
    <row r="26">
      <c r="A26" s="11" t="str">
        <f>IFERROR(__xludf.DUMMYFUNCTION("""COMPUTED_VALUE"""),"e6adb35f-360a-4844-a19a-dff001377b77")</f>
        <v>e6adb35f-360a-4844-a19a-dff001377b77</v>
      </c>
      <c r="B26" s="11" t="str">
        <f>IFERROR(__xludf.DUMMYFUNCTION("""COMPUTED_VALUE"""),"Suma S")</f>
        <v>Suma S</v>
      </c>
      <c r="C26" s="11" t="str">
        <f>IFERROR(__xludf.DUMMYFUNCTION("""COMPUTED_VALUE"""),"Smart - 48")</f>
        <v>Smart - 48</v>
      </c>
      <c r="D26" s="11" t="str">
        <f>IFERROR(__xludf.DUMMYFUNCTION("""COMPUTED_VALUE"""),"Smart")</f>
        <v>Smart</v>
      </c>
      <c r="E26" s="11">
        <f>IFERROR(__xludf.DUMMYFUNCTION("""COMPUTED_VALUE"""),48.0)</f>
        <v>48</v>
      </c>
      <c r="F26" s="11" t="str">
        <f>IFERROR(__xludf.DUMMYFUNCTION("""COMPUTED_VALUE"""),"Suma S")</f>
        <v>Suma S</v>
      </c>
      <c r="G26" s="11" t="str">
        <f>IFERROR(__xludf.DUMMYFUNCTION("""COMPUTED_VALUE"""),"Suma")</f>
        <v>Suma</v>
      </c>
      <c r="H26" s="11" t="str">
        <f>IFERROR(__xludf.DUMMYFUNCTION("""COMPUTED_VALUE"""),"Suma")</f>
        <v>Suma</v>
      </c>
      <c r="I26" s="15">
        <f>IFERROR(__xludf.DUMMYFUNCTION("""COMPUTED_VALUE"""),150000.0)</f>
        <v>150000</v>
      </c>
      <c r="J26" s="11">
        <f>IFERROR(__xludf.DUMMYFUNCTION("""COMPUTED_VALUE"""),3021.0)</f>
        <v>3021</v>
      </c>
      <c r="K26" s="11" t="str">
        <f>IFERROR(__xludf.DUMMYFUNCTION("""COMPUTED_VALUE"""),"3750")</f>
        <v>3750</v>
      </c>
      <c r="L26" s="11">
        <f>IFERROR(__xludf.DUMMYFUNCTION("""COMPUTED_VALUE"""),729.0)</f>
        <v>729</v>
      </c>
      <c r="M26" s="11" t="str">
        <f>IFERROR(__xludf.DUMMYFUNCTION("""COMPUTED_VALUE"""),"5-Nov-2022")</f>
        <v>5-Nov-2022</v>
      </c>
      <c r="N26" s="11" t="str">
        <f>IFERROR(__xludf.DUMMYFUNCTION("""COMPUTED_VALUE"""),"94")</f>
        <v>94</v>
      </c>
    </row>
    <row r="27">
      <c r="A27" s="11" t="str">
        <f>IFERROR(__xludf.DUMMYFUNCTION("""COMPUTED_VALUE"""),"e6adb35f-360a-4844-a19a-dff001377b78")</f>
        <v>e6adb35f-360a-4844-a19a-dff001377b78</v>
      </c>
      <c r="B27" s="11" t="str">
        <f>IFERROR(__xludf.DUMMYFUNCTION("""COMPUTED_VALUE"""),"Bharathi Surapureddy")</f>
        <v>Bharathi Surapureddy</v>
      </c>
      <c r="C27" s="11" t="str">
        <f>IFERROR(__xludf.DUMMYFUNCTION("""COMPUTED_VALUE"""),"Genius - 48")</f>
        <v>Genius - 48</v>
      </c>
      <c r="D27" s="11" t="str">
        <f>IFERROR(__xludf.DUMMYFUNCTION("""COMPUTED_VALUE"""),"Genius")</f>
        <v>Genius</v>
      </c>
      <c r="E27" s="11">
        <f>IFERROR(__xludf.DUMMYFUNCTION("""COMPUTED_VALUE"""),48.0)</f>
        <v>48</v>
      </c>
      <c r="F27" s="11" t="str">
        <f>IFERROR(__xludf.DUMMYFUNCTION("""COMPUTED_VALUE"""),"Bharathi Surapureddy")</f>
        <v>Bharathi Surapureddy</v>
      </c>
      <c r="G27" s="11" t="str">
        <f>IFERROR(__xludf.DUMMYFUNCTION("""COMPUTED_VALUE"""),"Bharathi")</f>
        <v>Bharathi</v>
      </c>
      <c r="H27" s="11" t="str">
        <f>IFERROR(__xludf.DUMMYFUNCTION("""COMPUTED_VALUE"""),"Bharathi")</f>
        <v>Bharathi</v>
      </c>
      <c r="I27" s="15">
        <f>IFERROR(__xludf.DUMMYFUNCTION("""COMPUTED_VALUE"""),250000.0)</f>
        <v>250000</v>
      </c>
      <c r="J27" s="11">
        <f>IFERROR(__xludf.DUMMYFUNCTION("""COMPUTED_VALUE"""),5104.0)</f>
        <v>5104</v>
      </c>
      <c r="K27" s="11" t="str">
        <f>IFERROR(__xludf.DUMMYFUNCTION("""COMPUTED_VALUE"""),"3021")</f>
        <v>3021</v>
      </c>
      <c r="L27" s="11">
        <f>IFERROR(__xludf.DUMMYFUNCTION("""COMPUTED_VALUE"""),-2083.0)</f>
        <v>-2083</v>
      </c>
      <c r="M27" s="11" t="str">
        <f>IFERROR(__xludf.DUMMYFUNCTION("""COMPUTED_VALUE"""),"5-Nov-2022")</f>
        <v>5-Nov-2022</v>
      </c>
      <c r="N27" s="11" t="str">
        <f>IFERROR(__xludf.DUMMYFUNCTION("""COMPUTED_VALUE"""),"99")</f>
        <v>99</v>
      </c>
    </row>
    <row r="28">
      <c r="A28" s="11" t="str">
        <f>IFERROR(__xludf.DUMMYFUNCTION("""COMPUTED_VALUE"""),"e6adb35f-360a-4844-a19a-dff001377b79")</f>
        <v>e6adb35f-360a-4844-a19a-dff001377b79</v>
      </c>
      <c r="B28" s="11" t="str">
        <f>IFERROR(__xludf.DUMMYFUNCTION("""COMPUTED_VALUE"""),"Suryakanth Shinde")</f>
        <v>Suryakanth Shinde</v>
      </c>
      <c r="C28" s="11" t="str">
        <f>IFERROR(__xludf.DUMMYFUNCTION("""COMPUTED_VALUE"""),"Smart - 48 ")</f>
        <v>Smart - 48 </v>
      </c>
      <c r="D28" s="11" t="str">
        <f>IFERROR(__xludf.DUMMYFUNCTION("""COMPUTED_VALUE"""),"Smart")</f>
        <v>Smart</v>
      </c>
      <c r="E28" s="11">
        <f>IFERROR(__xludf.DUMMYFUNCTION("""COMPUTED_VALUE"""),48.0)</f>
        <v>48</v>
      </c>
      <c r="F28" s="11" t="str">
        <f>IFERROR(__xludf.DUMMYFUNCTION("""COMPUTED_VALUE"""),"Suryakanth Shinde")</f>
        <v>Suryakanth Shinde</v>
      </c>
      <c r="G28" s="11" t="str">
        <f>IFERROR(__xludf.DUMMYFUNCTION("""COMPUTED_VALUE"""),"Suryakanth")</f>
        <v>Suryakanth</v>
      </c>
      <c r="H28" s="11" t="str">
        <f>IFERROR(__xludf.DUMMYFUNCTION("""COMPUTED_VALUE"""),"Suryakanth")</f>
        <v>Suryakanth</v>
      </c>
      <c r="I28" s="15">
        <f>IFERROR(__xludf.DUMMYFUNCTION("""COMPUTED_VALUE"""),150000.0)</f>
        <v>150000</v>
      </c>
      <c r="J28" s="11">
        <f>IFERROR(__xludf.DUMMYFUNCTION("""COMPUTED_VALUE"""),3021.0)</f>
        <v>3021</v>
      </c>
      <c r="K28" s="11" t="str">
        <f>IFERROR(__xludf.DUMMYFUNCTION("""COMPUTED_VALUE"""),"12500")</f>
        <v>12500</v>
      </c>
      <c r="L28" s="11">
        <f>IFERROR(__xludf.DUMMYFUNCTION("""COMPUTED_VALUE"""),9479.0)</f>
        <v>9479</v>
      </c>
      <c r="M28" s="11" t="str">
        <f>IFERROR(__xludf.DUMMYFUNCTION("""COMPUTED_VALUE"""),"5-Nov-2022")</f>
        <v>5-Nov-2022</v>
      </c>
      <c r="N28" s="11" t="str">
        <f>IFERROR(__xludf.DUMMYFUNCTION("""COMPUTED_VALUE"""),"97")</f>
        <v>97</v>
      </c>
    </row>
    <row r="29">
      <c r="A29" s="11" t="str">
        <f>IFERROR(__xludf.DUMMYFUNCTION("""COMPUTED_VALUE"""),"e6adb35f-360a-4844-a19a-dff001377b80")</f>
        <v>e6adb35f-360a-4844-a19a-dff001377b80</v>
      </c>
      <c r="B29" s="11" t="str">
        <f>IFERROR(__xludf.DUMMYFUNCTION("""COMPUTED_VALUE"""),"Santhana Mahalingam Santa")</f>
        <v>Santhana Mahalingam Santa</v>
      </c>
      <c r="C29" s="11" t="str">
        <f>IFERROR(__xludf.DUMMYFUNCTION("""COMPUTED_VALUE"""),"Genius - 48 ")</f>
        <v>Genius - 48 </v>
      </c>
      <c r="D29" s="11" t="str">
        <f>IFERROR(__xludf.DUMMYFUNCTION("""COMPUTED_VALUE"""),"Genius")</f>
        <v>Genius</v>
      </c>
      <c r="E29" s="11">
        <f>IFERROR(__xludf.DUMMYFUNCTION("""COMPUTED_VALUE"""),48.0)</f>
        <v>48</v>
      </c>
      <c r="F29" s="11" t="str">
        <f>IFERROR(__xludf.DUMMYFUNCTION("""COMPUTED_VALUE"""),"Santhana Mahalingam Santa")</f>
        <v>Santhana Mahalingam Santa</v>
      </c>
      <c r="G29" s="11" t="str">
        <f>IFERROR(__xludf.DUMMYFUNCTION("""COMPUTED_VALUE"""),"Santhana")</f>
        <v>Santhana</v>
      </c>
      <c r="H29" s="11" t="str">
        <f>IFERROR(__xludf.DUMMYFUNCTION("""COMPUTED_VALUE"""),"Santhana")</f>
        <v>Santhana</v>
      </c>
      <c r="I29" s="15">
        <f>IFERROR(__xludf.DUMMYFUNCTION("""COMPUTED_VALUE"""),250000.0)</f>
        <v>250000</v>
      </c>
      <c r="J29" s="11">
        <f>IFERROR(__xludf.DUMMYFUNCTION("""COMPUTED_VALUE"""),5104.0)</f>
        <v>5104</v>
      </c>
      <c r="K29" s="11" t="str">
        <f>IFERROR(__xludf.DUMMYFUNCTION("""COMPUTED_VALUE"""),"12500")</f>
        <v>12500</v>
      </c>
      <c r="L29" s="11">
        <f>IFERROR(__xludf.DUMMYFUNCTION("""COMPUTED_VALUE"""),7396.0)</f>
        <v>7396</v>
      </c>
      <c r="M29" s="11" t="str">
        <f>IFERROR(__xludf.DUMMYFUNCTION("""COMPUTED_VALUE"""),"5-Nov-2022")</f>
        <v>5-Nov-2022</v>
      </c>
      <c r="N29" s="11" t="str">
        <f>IFERROR(__xludf.DUMMYFUNCTION("""COMPUTED_VALUE"""),"97")</f>
        <v>97</v>
      </c>
    </row>
    <row r="30">
      <c r="A30" s="11" t="str">
        <f>IFERROR(__xludf.DUMMYFUNCTION("""COMPUTED_VALUE"""),"e6adb35f-360a-4844-a19a-dff001377b81")</f>
        <v>e6adb35f-360a-4844-a19a-dff001377b81</v>
      </c>
      <c r="B30" s="11" t="str">
        <f>IFERROR(__xludf.DUMMYFUNCTION("""COMPUTED_VALUE"""),"Praveen .M Praveen")</f>
        <v>Praveen .M Praveen</v>
      </c>
      <c r="C30" s="11" t="str">
        <f>IFERROR(__xludf.DUMMYFUNCTION("""COMPUTED_VALUE"""),"Smart - 48 ")</f>
        <v>Smart - 48 </v>
      </c>
      <c r="D30" s="11" t="str">
        <f>IFERROR(__xludf.DUMMYFUNCTION("""COMPUTED_VALUE"""),"Smart")</f>
        <v>Smart</v>
      </c>
      <c r="E30" s="11">
        <f>IFERROR(__xludf.DUMMYFUNCTION("""COMPUTED_VALUE"""),48.0)</f>
        <v>48</v>
      </c>
      <c r="F30" s="11" t="str">
        <f>IFERROR(__xludf.DUMMYFUNCTION("""COMPUTED_VALUE"""),"Praveen .M")</f>
        <v>Praveen .M</v>
      </c>
      <c r="G30" s="11" t="str">
        <f>IFERROR(__xludf.DUMMYFUNCTION("""COMPUTED_VALUE"""),"Praveen")</f>
        <v>Praveen</v>
      </c>
      <c r="H30" s="11" t="str">
        <f>IFERROR(__xludf.DUMMYFUNCTION("""COMPUTED_VALUE"""),"Praveen")</f>
        <v>Praveen</v>
      </c>
      <c r="I30" s="15">
        <f>IFERROR(__xludf.DUMMYFUNCTION("""COMPUTED_VALUE"""),150000.0)</f>
        <v>150000</v>
      </c>
      <c r="J30" s="11">
        <f>IFERROR(__xludf.DUMMYFUNCTION("""COMPUTED_VALUE"""),3021.0)</f>
        <v>3021</v>
      </c>
      <c r="K30" s="11" t="str">
        <f>IFERROR(__xludf.DUMMYFUNCTION("""COMPUTED_VALUE"""),"10000")</f>
        <v>10000</v>
      </c>
      <c r="L30" s="11">
        <f>IFERROR(__xludf.DUMMYFUNCTION("""COMPUTED_VALUE"""),6979.0)</f>
        <v>6979</v>
      </c>
      <c r="M30" s="11" t="str">
        <f>IFERROR(__xludf.DUMMYFUNCTION("""COMPUTED_VALUE"""),"5-Nov-2022")</f>
        <v>5-Nov-2022</v>
      </c>
      <c r="N30" s="11" t="str">
        <f>IFERROR(__xludf.DUMMYFUNCTION("""COMPUTED_VALUE"""),"100")</f>
        <v>100</v>
      </c>
    </row>
    <row r="31">
      <c r="A31" s="11" t="str">
        <f>IFERROR(__xludf.DUMMYFUNCTION("""COMPUTED_VALUE"""),"e6adb35f-360a-4844-a19a-dff001377b82")</f>
        <v>e6adb35f-360a-4844-a19a-dff001377b82</v>
      </c>
      <c r="B31" s="11" t="str">
        <f>IFERROR(__xludf.DUMMYFUNCTION("""COMPUTED_VALUE"""),"Pravallika Pacha Pacha")</f>
        <v>Pravallika Pacha Pacha</v>
      </c>
      <c r="C31" s="11" t="str">
        <f>IFERROR(__xludf.DUMMYFUNCTION("""COMPUTED_VALUE"""),"Genius - 48 ")</f>
        <v>Genius - 48 </v>
      </c>
      <c r="D31" s="11" t="str">
        <f>IFERROR(__xludf.DUMMYFUNCTION("""COMPUTED_VALUE"""),"Genius")</f>
        <v>Genius</v>
      </c>
      <c r="E31" s="11">
        <f>IFERROR(__xludf.DUMMYFUNCTION("""COMPUTED_VALUE"""),48.0)</f>
        <v>48</v>
      </c>
      <c r="F31" s="11" t="str">
        <f>IFERROR(__xludf.DUMMYFUNCTION("""COMPUTED_VALUE"""),"Pravallika Pacha")</f>
        <v>Pravallika Pacha</v>
      </c>
      <c r="G31" s="11" t="str">
        <f>IFERROR(__xludf.DUMMYFUNCTION("""COMPUTED_VALUE"""),"Pravallika")</f>
        <v>Pravallika</v>
      </c>
      <c r="H31" s="11" t="str">
        <f>IFERROR(__xludf.DUMMYFUNCTION("""COMPUTED_VALUE"""),"Pravallika")</f>
        <v>Pravallika</v>
      </c>
      <c r="I31" s="15">
        <f>IFERROR(__xludf.DUMMYFUNCTION("""COMPUTED_VALUE"""),250000.0)</f>
        <v>250000</v>
      </c>
      <c r="J31" s="11">
        <f>IFERROR(__xludf.DUMMYFUNCTION("""COMPUTED_VALUE"""),5104.0)</f>
        <v>5104</v>
      </c>
      <c r="K31" s="11" t="str">
        <f>IFERROR(__xludf.DUMMYFUNCTION("""COMPUTED_VALUE"""),"5417")</f>
        <v>5417</v>
      </c>
      <c r="L31" s="11">
        <f>IFERROR(__xludf.DUMMYFUNCTION("""COMPUTED_VALUE"""),313.0)</f>
        <v>313</v>
      </c>
      <c r="M31" s="11" t="str">
        <f>IFERROR(__xludf.DUMMYFUNCTION("""COMPUTED_VALUE"""),"5-Nov-2022")</f>
        <v>5-Nov-2022</v>
      </c>
      <c r="N31" s="11" t="str">
        <f>IFERROR(__xludf.DUMMYFUNCTION("""COMPUTED_VALUE"""),"100")</f>
        <v>100</v>
      </c>
    </row>
  </sheetData>
  <drawing r:id="rId1"/>
</worksheet>
</file>