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408bf04b03240071/Documents/"/>
    </mc:Choice>
  </mc:AlternateContent>
  <xr:revisionPtr revIDLastSave="6" documentId="8_{B23B9E38-65A3-4D3F-B627-03D1F15BF407}" xr6:coauthVersionLast="47" xr6:coauthVersionMax="47" xr10:uidLastSave="{A596A390-D8C9-43C4-9AD8-7F04B57875A0}"/>
  <bookViews>
    <workbookView xWindow="-108" yWindow="-108" windowWidth="23256" windowHeight="12456" xr2:uid="{FE787FA2-8E7E-485F-A4C7-7DB333C7E5B1}"/>
  </bookViews>
  <sheets>
    <sheet name="Navigation Pane" sheetId="16" r:id="rId1"/>
    <sheet name="Valuation" sheetId="17" r:id="rId2"/>
    <sheet name="Scenario Analysis " sheetId="18" r:id="rId3"/>
    <sheet name="Assumption Sheet" sheetId="9" r:id="rId4"/>
    <sheet name="Balance Sheet" sheetId="2" r:id="rId5"/>
    <sheet name="IS" sheetId="3" r:id="rId6"/>
    <sheet name="CFS" sheetId="4" r:id="rId7"/>
    <sheet name="Revenue Model" sheetId="8" r:id="rId8"/>
    <sheet name="Cost Model " sheetId="12" r:id="rId9"/>
    <sheet name="Capex Schedule " sheetId="5" r:id="rId10"/>
    <sheet name="Depreciation &amp; Finance Cost " sheetId="13" r:id="rId11"/>
    <sheet name="WC Schedule " sheetId="11" r:id="rId12"/>
    <sheet name="Lease Schedule " sheetId="14" r:id="rId13"/>
    <sheet name="Other Income Schedule " sheetId="15" r:id="rId14"/>
    <sheet name="Notes" sheetId="7" r:id="rId15"/>
    <sheet name="Template " sheetId="1"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6" i="4" l="1"/>
  <c r="I26" i="4"/>
  <c r="J26" i="4"/>
  <c r="K26" i="4"/>
  <c r="G26" i="4"/>
  <c r="K32" i="3"/>
  <c r="B152" i="9"/>
  <c r="B16" i="17" s="1"/>
  <c r="J97" i="9"/>
  <c r="J148" i="5" s="1"/>
  <c r="I97" i="9"/>
  <c r="I148" i="5" s="1"/>
  <c r="H97" i="9"/>
  <c r="G97" i="9"/>
  <c r="K37" i="18"/>
  <c r="K97" i="9" s="1"/>
  <c r="K148" i="5" s="1"/>
  <c r="D37" i="18"/>
  <c r="E37" i="18"/>
  <c r="F37" i="18"/>
  <c r="D38" i="18"/>
  <c r="E38" i="18"/>
  <c r="F38" i="18"/>
  <c r="C38" i="18"/>
  <c r="C37" i="18"/>
  <c r="J36" i="18"/>
  <c r="K36" i="18" s="1"/>
  <c r="D36" i="18"/>
  <c r="E36" i="18"/>
  <c r="F36" i="18"/>
  <c r="C36" i="18"/>
  <c r="H28" i="9"/>
  <c r="I28" i="9"/>
  <c r="J28" i="9"/>
  <c r="K28" i="9"/>
  <c r="G28" i="9"/>
  <c r="H25" i="9"/>
  <c r="I25" i="9"/>
  <c r="J25" i="9"/>
  <c r="K25" i="9"/>
  <c r="G25" i="9"/>
  <c r="K31" i="9"/>
  <c r="J31" i="9"/>
  <c r="I31" i="9"/>
  <c r="H31" i="9"/>
  <c r="G31" i="9"/>
  <c r="H8" i="9"/>
  <c r="I8" i="9"/>
  <c r="J8" i="9"/>
  <c r="K8" i="9"/>
  <c r="G8" i="9"/>
  <c r="H22" i="9"/>
  <c r="I22" i="9"/>
  <c r="J22" i="9"/>
  <c r="K22" i="9"/>
  <c r="G22" i="9"/>
  <c r="A5" i="18" l="1"/>
  <c r="H61" i="12"/>
  <c r="G61" i="12"/>
  <c r="A67" i="9"/>
  <c r="A60" i="12"/>
  <c r="F59" i="12"/>
  <c r="E59" i="12"/>
  <c r="D59" i="12"/>
  <c r="C59" i="12"/>
  <c r="A59" i="12"/>
  <c r="B13" i="17"/>
  <c r="B12" i="17"/>
  <c r="B11" i="17"/>
  <c r="K8" i="17"/>
  <c r="J8" i="17"/>
  <c r="I8" i="17"/>
  <c r="H8" i="17"/>
  <c r="G8" i="17"/>
  <c r="F8" i="17"/>
  <c r="E8" i="17"/>
  <c r="D8" i="17"/>
  <c r="C8" i="17"/>
  <c r="F6" i="17"/>
  <c r="E6" i="17"/>
  <c r="D6" i="17"/>
  <c r="C6" i="17"/>
  <c r="A6" i="17"/>
  <c r="C7" i="17"/>
  <c r="C5" i="17"/>
  <c r="F190" i="5"/>
  <c r="H25" i="4"/>
  <c r="I25" i="4"/>
  <c r="J25" i="4"/>
  <c r="K25" i="4"/>
  <c r="G25" i="4"/>
  <c r="F58" i="11"/>
  <c r="A58" i="11"/>
  <c r="K56" i="11"/>
  <c r="K55" i="11" s="1"/>
  <c r="J56" i="11"/>
  <c r="J55" i="11" s="1"/>
  <c r="I56" i="11"/>
  <c r="I55" i="11" s="1"/>
  <c r="H56" i="11"/>
  <c r="H55" i="11" s="1"/>
  <c r="G56" i="11"/>
  <c r="G55" i="11" s="1"/>
  <c r="A145" i="9"/>
  <c r="F54" i="11"/>
  <c r="E54" i="11"/>
  <c r="E58" i="11" s="1"/>
  <c r="D54" i="11"/>
  <c r="D58" i="11" s="1"/>
  <c r="C54" i="11"/>
  <c r="C58" i="11" s="1"/>
  <c r="A54" i="11"/>
  <c r="F49" i="11"/>
  <c r="E49" i="11"/>
  <c r="D49" i="11"/>
  <c r="C49" i="11"/>
  <c r="K45" i="11"/>
  <c r="K44" i="11" s="1"/>
  <c r="J45" i="11"/>
  <c r="J44" i="11" s="1"/>
  <c r="I45" i="11"/>
  <c r="I44" i="11" s="1"/>
  <c r="H45" i="11"/>
  <c r="H44" i="11" s="1"/>
  <c r="G45" i="11"/>
  <c r="G44" i="11" s="1"/>
  <c r="A144" i="9"/>
  <c r="F43" i="11"/>
  <c r="F47" i="11" s="1"/>
  <c r="E43" i="11"/>
  <c r="E47" i="11" s="1"/>
  <c r="D43" i="11"/>
  <c r="D47" i="11" s="1"/>
  <c r="C43" i="11"/>
  <c r="A43" i="11"/>
  <c r="A47" i="11" s="1"/>
  <c r="F42" i="11"/>
  <c r="E42" i="11"/>
  <c r="D42" i="11"/>
  <c r="C42" i="11"/>
  <c r="A42" i="11"/>
  <c r="K37" i="11"/>
  <c r="K36" i="11" s="1"/>
  <c r="J37" i="11"/>
  <c r="J36" i="11" s="1"/>
  <c r="I37" i="11"/>
  <c r="I36" i="11" s="1"/>
  <c r="H37" i="11"/>
  <c r="H36" i="11" s="1"/>
  <c r="G37" i="11"/>
  <c r="G36" i="11" s="1"/>
  <c r="A143" i="9"/>
  <c r="F35" i="11"/>
  <c r="E35" i="11"/>
  <c r="D35" i="11"/>
  <c r="D39" i="11" s="1"/>
  <c r="D51" i="11" s="1"/>
  <c r="C35" i="11"/>
  <c r="K31" i="11"/>
  <c r="K30" i="11" s="1"/>
  <c r="J31" i="11"/>
  <c r="J30" i="11" s="1"/>
  <c r="I31" i="11"/>
  <c r="I30" i="11" s="1"/>
  <c r="H31" i="11"/>
  <c r="H30" i="11" s="1"/>
  <c r="G31" i="11"/>
  <c r="G30" i="11" s="1"/>
  <c r="A142" i="9"/>
  <c r="F29" i="11"/>
  <c r="E29" i="11"/>
  <c r="D29" i="11"/>
  <c r="C29" i="11"/>
  <c r="F25" i="11"/>
  <c r="E25" i="11"/>
  <c r="D25" i="11"/>
  <c r="C25" i="11"/>
  <c r="F24" i="11"/>
  <c r="F34" i="11" s="1"/>
  <c r="F36" i="11" s="1"/>
  <c r="F37" i="11" s="1"/>
  <c r="F143" i="9" s="1"/>
  <c r="E24" i="11"/>
  <c r="E34" i="11" s="1"/>
  <c r="E36" i="11" s="1"/>
  <c r="E37" i="11" s="1"/>
  <c r="E143" i="9" s="1"/>
  <c r="D24" i="11"/>
  <c r="D34" i="11" s="1"/>
  <c r="C24" i="11"/>
  <c r="C34" i="11" s="1"/>
  <c r="C36" i="11" s="1"/>
  <c r="C37" i="11" s="1"/>
  <c r="C143" i="9" s="1"/>
  <c r="F23" i="11"/>
  <c r="E23" i="11"/>
  <c r="D23" i="11"/>
  <c r="C23" i="11"/>
  <c r="F22" i="11"/>
  <c r="E22" i="11"/>
  <c r="D22" i="11"/>
  <c r="C22" i="11"/>
  <c r="F21" i="11"/>
  <c r="E21" i="11"/>
  <c r="D21" i="11"/>
  <c r="C21" i="11"/>
  <c r="F19" i="11"/>
  <c r="E19" i="11"/>
  <c r="E26" i="11" s="1"/>
  <c r="D19" i="11"/>
  <c r="D28" i="11" s="1"/>
  <c r="C19" i="11"/>
  <c r="C28" i="11" s="1"/>
  <c r="C30" i="11" s="1"/>
  <c r="C31" i="11" s="1"/>
  <c r="C142" i="9" s="1"/>
  <c r="A25" i="11"/>
  <c r="A24" i="11"/>
  <c r="A23" i="11"/>
  <c r="A22" i="11"/>
  <c r="A21" i="11"/>
  <c r="A20" i="11"/>
  <c r="A19" i="11"/>
  <c r="A18" i="11"/>
  <c r="A65" i="9"/>
  <c r="A55" i="12"/>
  <c r="F54" i="12"/>
  <c r="E54" i="12"/>
  <c r="D54" i="12"/>
  <c r="C54" i="12"/>
  <c r="A54" i="12"/>
  <c r="E22" i="15"/>
  <c r="F22" i="15"/>
  <c r="K39" i="15"/>
  <c r="J39" i="15"/>
  <c r="I39" i="15"/>
  <c r="H39" i="15"/>
  <c r="G39" i="15"/>
  <c r="E138" i="9"/>
  <c r="A138" i="9"/>
  <c r="F39" i="15"/>
  <c r="E39" i="15"/>
  <c r="D39" i="15"/>
  <c r="C39" i="15"/>
  <c r="F38" i="15"/>
  <c r="F40" i="15" s="1"/>
  <c r="F138" i="9" s="1"/>
  <c r="G138" i="9" s="1"/>
  <c r="E38" i="15"/>
  <c r="E40" i="15" s="1"/>
  <c r="D38" i="15"/>
  <c r="C38" i="15"/>
  <c r="C40" i="15" s="1"/>
  <c r="C138" i="9" s="1"/>
  <c r="A38" i="15"/>
  <c r="K34" i="15"/>
  <c r="J34" i="15"/>
  <c r="I34" i="15"/>
  <c r="H34" i="15"/>
  <c r="G34" i="15"/>
  <c r="K333" i="5"/>
  <c r="J333" i="5"/>
  <c r="I333" i="5"/>
  <c r="H333" i="5"/>
  <c r="G333" i="5"/>
  <c r="F333" i="5"/>
  <c r="E333" i="5"/>
  <c r="D333" i="5"/>
  <c r="C333" i="5"/>
  <c r="C334" i="5" s="1"/>
  <c r="K332" i="5"/>
  <c r="J332" i="5"/>
  <c r="I332" i="5"/>
  <c r="H332" i="5"/>
  <c r="G332" i="5"/>
  <c r="F332" i="5"/>
  <c r="E332" i="5"/>
  <c r="D332" i="5"/>
  <c r="C332" i="5"/>
  <c r="K331" i="5"/>
  <c r="J331" i="5"/>
  <c r="I331" i="5"/>
  <c r="H331" i="5"/>
  <c r="G331" i="5"/>
  <c r="F331" i="5"/>
  <c r="E331" i="5"/>
  <c r="D331" i="5"/>
  <c r="K330" i="5"/>
  <c r="J330" i="5"/>
  <c r="I330" i="5"/>
  <c r="H330" i="5"/>
  <c r="G330" i="5"/>
  <c r="F330" i="5"/>
  <c r="E330" i="5"/>
  <c r="D330" i="5"/>
  <c r="K329" i="5"/>
  <c r="J329" i="5"/>
  <c r="I329" i="5"/>
  <c r="H329" i="5"/>
  <c r="G329" i="5"/>
  <c r="F329" i="5"/>
  <c r="E329" i="5"/>
  <c r="D329" i="5"/>
  <c r="F328" i="5"/>
  <c r="E328" i="5"/>
  <c r="D328" i="5"/>
  <c r="F327" i="5"/>
  <c r="E327" i="5"/>
  <c r="D327" i="5"/>
  <c r="F326" i="5"/>
  <c r="E326" i="5"/>
  <c r="D326" i="5"/>
  <c r="F325" i="5"/>
  <c r="E325" i="5"/>
  <c r="D325" i="5"/>
  <c r="F324" i="5"/>
  <c r="E324" i="5"/>
  <c r="D324" i="5"/>
  <c r="F323" i="5"/>
  <c r="E323" i="5"/>
  <c r="D323" i="5"/>
  <c r="F322" i="5"/>
  <c r="E322" i="5"/>
  <c r="D322" i="5"/>
  <c r="F321" i="5"/>
  <c r="E321" i="5"/>
  <c r="D321" i="5"/>
  <c r="F320" i="5"/>
  <c r="E320" i="5"/>
  <c r="D320" i="5"/>
  <c r="K319" i="5"/>
  <c r="J319" i="5"/>
  <c r="I319" i="5"/>
  <c r="H319" i="5"/>
  <c r="G319" i="5"/>
  <c r="F319" i="5"/>
  <c r="E319" i="5"/>
  <c r="D319" i="5"/>
  <c r="C331" i="5"/>
  <c r="C330" i="5"/>
  <c r="C329" i="5"/>
  <c r="C328" i="5"/>
  <c r="C327" i="5"/>
  <c r="C326" i="5"/>
  <c r="C325" i="5"/>
  <c r="C324" i="5"/>
  <c r="C323" i="5"/>
  <c r="C322" i="5"/>
  <c r="C321" i="5"/>
  <c r="C320" i="5"/>
  <c r="C319" i="5"/>
  <c r="D22" i="15"/>
  <c r="C22" i="15"/>
  <c r="A137" i="9"/>
  <c r="A28" i="15"/>
  <c r="C28" i="15"/>
  <c r="D28" i="15"/>
  <c r="E28" i="15"/>
  <c r="F28" i="15"/>
  <c r="F32" i="15"/>
  <c r="E32" i="15"/>
  <c r="D32" i="15"/>
  <c r="C32" i="15"/>
  <c r="F31" i="15"/>
  <c r="E31" i="15"/>
  <c r="D31" i="15"/>
  <c r="C31" i="15"/>
  <c r="F30" i="15"/>
  <c r="E30" i="15"/>
  <c r="D30" i="15"/>
  <c r="C30" i="15"/>
  <c r="F29" i="15"/>
  <c r="E29" i="15"/>
  <c r="D29" i="15"/>
  <c r="C29" i="15"/>
  <c r="F26" i="15"/>
  <c r="E26" i="15"/>
  <c r="D26" i="15"/>
  <c r="C26" i="15"/>
  <c r="A32" i="15"/>
  <c r="A31" i="15"/>
  <c r="A30" i="15"/>
  <c r="A29" i="15"/>
  <c r="A27" i="15"/>
  <c r="A26" i="15"/>
  <c r="A25" i="15"/>
  <c r="K43" i="13"/>
  <c r="J43" i="13"/>
  <c r="I43" i="13"/>
  <c r="H43" i="13"/>
  <c r="G43" i="13"/>
  <c r="K42" i="13"/>
  <c r="J42" i="13"/>
  <c r="I42" i="13"/>
  <c r="H42" i="13"/>
  <c r="G42" i="13"/>
  <c r="K40" i="13"/>
  <c r="J40" i="13"/>
  <c r="J44" i="13" s="1"/>
  <c r="I40" i="13"/>
  <c r="H40" i="13"/>
  <c r="G40" i="13"/>
  <c r="K45" i="13"/>
  <c r="J45" i="13"/>
  <c r="I45" i="13"/>
  <c r="H45" i="13"/>
  <c r="G45" i="13"/>
  <c r="A133" i="9"/>
  <c r="F43" i="13"/>
  <c r="F45" i="13" s="1"/>
  <c r="F133" i="9" s="1"/>
  <c r="E43" i="13"/>
  <c r="E45" i="13" s="1"/>
  <c r="E133" i="9" s="1"/>
  <c r="D43" i="13"/>
  <c r="D45" i="13" s="1"/>
  <c r="D133" i="9" s="1"/>
  <c r="C43" i="13"/>
  <c r="C45" i="13" s="1"/>
  <c r="C133" i="9" s="1"/>
  <c r="F42" i="13"/>
  <c r="E42" i="13"/>
  <c r="D42" i="13"/>
  <c r="C42" i="13"/>
  <c r="F40" i="13"/>
  <c r="F44" i="13" s="1"/>
  <c r="E40" i="13"/>
  <c r="E44" i="13" s="1"/>
  <c r="D40" i="13"/>
  <c r="D44" i="13" s="1"/>
  <c r="C40" i="13"/>
  <c r="A43" i="13"/>
  <c r="A42" i="13"/>
  <c r="A41" i="13"/>
  <c r="A40" i="13"/>
  <c r="A39" i="13"/>
  <c r="F27" i="13"/>
  <c r="E27" i="13"/>
  <c r="D27" i="13"/>
  <c r="F26" i="13"/>
  <c r="E26" i="13"/>
  <c r="D26" i="13"/>
  <c r="C27" i="13"/>
  <c r="C26" i="13"/>
  <c r="F21" i="13"/>
  <c r="E21" i="13"/>
  <c r="D21" i="13"/>
  <c r="F20" i="13"/>
  <c r="E20" i="13"/>
  <c r="D20" i="13"/>
  <c r="F19" i="13"/>
  <c r="E19" i="13"/>
  <c r="D19" i="13"/>
  <c r="K18" i="13"/>
  <c r="F18" i="13"/>
  <c r="E18" i="13"/>
  <c r="D18" i="13"/>
  <c r="F17" i="13"/>
  <c r="E17" i="13"/>
  <c r="D17" i="13"/>
  <c r="F16" i="13"/>
  <c r="E16" i="13"/>
  <c r="D16" i="13"/>
  <c r="C21" i="13"/>
  <c r="C20" i="13"/>
  <c r="C19" i="13"/>
  <c r="C18" i="13"/>
  <c r="C17" i="13"/>
  <c r="C16" i="13"/>
  <c r="F12" i="13"/>
  <c r="E12" i="13"/>
  <c r="D12" i="13"/>
  <c r="F11" i="13"/>
  <c r="E11" i="13"/>
  <c r="D11" i="13"/>
  <c r="F10" i="13"/>
  <c r="E10" i="13"/>
  <c r="D10" i="13"/>
  <c r="F9" i="13"/>
  <c r="E9" i="13"/>
  <c r="D9" i="13"/>
  <c r="F8" i="13"/>
  <c r="E8" i="13"/>
  <c r="D8" i="13"/>
  <c r="F7" i="13"/>
  <c r="E7" i="13"/>
  <c r="D7" i="13"/>
  <c r="C12" i="13"/>
  <c r="C11" i="13"/>
  <c r="C10" i="13"/>
  <c r="C9" i="13"/>
  <c r="C8" i="13"/>
  <c r="C7" i="13"/>
  <c r="F133" i="5"/>
  <c r="E133" i="5"/>
  <c r="D133" i="5"/>
  <c r="C133" i="5"/>
  <c r="K132" i="5"/>
  <c r="J132" i="5"/>
  <c r="I132" i="5"/>
  <c r="H132" i="5"/>
  <c r="G132" i="5"/>
  <c r="F132" i="5"/>
  <c r="E132" i="5"/>
  <c r="D132" i="5"/>
  <c r="C132" i="5"/>
  <c r="F131" i="5"/>
  <c r="E131" i="5"/>
  <c r="E13" i="13" s="1"/>
  <c r="E25" i="13" s="1"/>
  <c r="D131" i="5"/>
  <c r="D13" i="13" s="1"/>
  <c r="D25" i="13" s="1"/>
  <c r="C131" i="5"/>
  <c r="C13" i="13" s="1"/>
  <c r="C25" i="13" s="1"/>
  <c r="F130" i="5"/>
  <c r="E130" i="5"/>
  <c r="D130" i="5"/>
  <c r="C130" i="5"/>
  <c r="F13" i="13"/>
  <c r="F25" i="13" s="1"/>
  <c r="F127" i="9"/>
  <c r="E127" i="9"/>
  <c r="D127" i="9"/>
  <c r="C127" i="9"/>
  <c r="F31" i="14"/>
  <c r="E31" i="14"/>
  <c r="E128" i="9" s="1"/>
  <c r="D31" i="14"/>
  <c r="C31" i="14"/>
  <c r="C128" i="9" s="1"/>
  <c r="F23" i="14"/>
  <c r="E23" i="14"/>
  <c r="D23" i="14"/>
  <c r="C23" i="14"/>
  <c r="H31" i="14"/>
  <c r="I31" i="14"/>
  <c r="J31" i="14"/>
  <c r="K31" i="14"/>
  <c r="G31" i="14"/>
  <c r="F128" i="9"/>
  <c r="D128" i="9"/>
  <c r="A128" i="9"/>
  <c r="K32" i="14"/>
  <c r="J32" i="14"/>
  <c r="I32" i="14"/>
  <c r="H32" i="14"/>
  <c r="G32" i="14"/>
  <c r="A129" i="9"/>
  <c r="G18" i="14"/>
  <c r="G24" i="14" l="1"/>
  <c r="G36" i="13" s="1"/>
  <c r="D36" i="11"/>
  <c r="D37" i="11" s="1"/>
  <c r="D143" i="9" s="1"/>
  <c r="D44" i="11"/>
  <c r="D45" i="11" s="1"/>
  <c r="D144" i="9" s="1"/>
  <c r="B14" i="17"/>
  <c r="J127" i="9"/>
  <c r="E334" i="5"/>
  <c r="F334" i="5"/>
  <c r="D334" i="5"/>
  <c r="I127" i="9"/>
  <c r="C9" i="17"/>
  <c r="E39" i="11"/>
  <c r="E51" i="11" s="1"/>
  <c r="C44" i="11"/>
  <c r="C45" i="11" s="1"/>
  <c r="C144" i="9" s="1"/>
  <c r="F39" i="11"/>
  <c r="F51" i="11" s="1"/>
  <c r="C39" i="11"/>
  <c r="C51" i="11" s="1"/>
  <c r="G44" i="13"/>
  <c r="G34" i="13" s="1"/>
  <c r="G37" i="13" s="1"/>
  <c r="G14" i="3" s="1"/>
  <c r="K44" i="13"/>
  <c r="K34" i="13" s="1"/>
  <c r="E44" i="11"/>
  <c r="E45" i="11" s="1"/>
  <c r="E144" i="9" s="1"/>
  <c r="H44" i="13"/>
  <c r="H34" i="13" s="1"/>
  <c r="F44" i="11"/>
  <c r="F45" i="11" s="1"/>
  <c r="F144" i="9" s="1"/>
  <c r="C47" i="11"/>
  <c r="D30" i="11"/>
  <c r="D31" i="11" s="1"/>
  <c r="D142" i="9" s="1"/>
  <c r="F26" i="11"/>
  <c r="E28" i="11"/>
  <c r="E30" i="11" s="1"/>
  <c r="E31" i="11" s="1"/>
  <c r="E142" i="9" s="1"/>
  <c r="C26" i="11"/>
  <c r="D26" i="11"/>
  <c r="F28" i="11"/>
  <c r="F30" i="11" s="1"/>
  <c r="F31" i="11" s="1"/>
  <c r="F142" i="9" s="1"/>
  <c r="G40" i="15"/>
  <c r="G38" i="15" s="1"/>
  <c r="G14" i="15" s="1"/>
  <c r="H138" i="9"/>
  <c r="H127" i="9"/>
  <c r="K127" i="9"/>
  <c r="G127" i="9"/>
  <c r="G23" i="14"/>
  <c r="G25" i="14" s="1"/>
  <c r="J34" i="13"/>
  <c r="D40" i="15"/>
  <c r="D138" i="9" s="1"/>
  <c r="C137" i="9"/>
  <c r="I44" i="13"/>
  <c r="I34" i="13" s="1"/>
  <c r="C44" i="13"/>
  <c r="G27" i="14" l="1"/>
  <c r="H18" i="14" s="1"/>
  <c r="G49" i="4"/>
  <c r="G51" i="4"/>
  <c r="G6" i="17" s="1"/>
  <c r="G10" i="4"/>
  <c r="G49" i="11"/>
  <c r="I138" i="9"/>
  <c r="H40" i="15"/>
  <c r="H38" i="15" s="1"/>
  <c r="H14" i="15" s="1"/>
  <c r="G28" i="14" l="1"/>
  <c r="G46" i="2" s="1"/>
  <c r="J138" i="9"/>
  <c r="I40" i="15"/>
  <c r="I38" i="15" s="1"/>
  <c r="I14" i="15" s="1"/>
  <c r="H23" i="14"/>
  <c r="H24" i="14"/>
  <c r="H36" i="13" s="1"/>
  <c r="H37" i="13" s="1"/>
  <c r="H14" i="3" s="1"/>
  <c r="G29" i="14" l="1"/>
  <c r="G38" i="2" s="1"/>
  <c r="H51" i="4"/>
  <c r="H6" i="17" s="1"/>
  <c r="H10" i="4"/>
  <c r="K138" i="9"/>
  <c r="K40" i="15" s="1"/>
  <c r="K38" i="15" s="1"/>
  <c r="K14" i="15" s="1"/>
  <c r="J40" i="15"/>
  <c r="J38" i="15" s="1"/>
  <c r="J14" i="15" s="1"/>
  <c r="H25" i="14"/>
  <c r="H27" i="14" l="1"/>
  <c r="H28" i="14" s="1"/>
  <c r="H46" i="2" s="1"/>
  <c r="H49" i="4"/>
  <c r="I18" i="14" l="1"/>
  <c r="I24" i="14" s="1"/>
  <c r="I36" i="13" s="1"/>
  <c r="I37" i="13" s="1"/>
  <c r="I14" i="3" s="1"/>
  <c r="H29" i="14"/>
  <c r="H38" i="2" s="1"/>
  <c r="I23" i="14"/>
  <c r="I10" i="4" l="1"/>
  <c r="I51" i="4"/>
  <c r="I6" i="17" s="1"/>
  <c r="I25" i="14"/>
  <c r="H12" i="14"/>
  <c r="H26" i="13" s="1"/>
  <c r="I12" i="14"/>
  <c r="I26" i="13" s="1"/>
  <c r="J12" i="14"/>
  <c r="J26" i="13" s="1"/>
  <c r="K12" i="14"/>
  <c r="K26" i="13" s="1"/>
  <c r="G12" i="14"/>
  <c r="G26" i="13" s="1"/>
  <c r="F124" i="9"/>
  <c r="E124" i="9"/>
  <c r="D124" i="9"/>
  <c r="C124" i="9"/>
  <c r="A124" i="9"/>
  <c r="G7" i="14"/>
  <c r="G311" i="5"/>
  <c r="G305" i="5"/>
  <c r="G308" i="5" s="1"/>
  <c r="K312" i="5"/>
  <c r="K27" i="13" s="1"/>
  <c r="J312" i="5"/>
  <c r="J27" i="13" s="1"/>
  <c r="I312" i="5"/>
  <c r="I27" i="13" s="1"/>
  <c r="H312" i="5"/>
  <c r="H27" i="13" s="1"/>
  <c r="G312" i="5"/>
  <c r="G27" i="13" s="1"/>
  <c r="F118" i="9"/>
  <c r="E118" i="9"/>
  <c r="D118" i="9"/>
  <c r="C118" i="9"/>
  <c r="A118" i="9"/>
  <c r="I27" i="14" l="1"/>
  <c r="I28" i="14" s="1"/>
  <c r="I49" i="4"/>
  <c r="G313" i="5"/>
  <c r="H311" i="5" s="1"/>
  <c r="H313" i="5" s="1"/>
  <c r="I311" i="5" s="1"/>
  <c r="I313" i="5" s="1"/>
  <c r="J311" i="5" s="1"/>
  <c r="J313" i="5" s="1"/>
  <c r="K311" i="5" s="1"/>
  <c r="K313" i="5" s="1"/>
  <c r="G14" i="14"/>
  <c r="H7" i="14" s="1"/>
  <c r="H14" i="14" s="1"/>
  <c r="G7" i="2"/>
  <c r="H305" i="5"/>
  <c r="H308" i="5" s="1"/>
  <c r="J18" i="14" l="1"/>
  <c r="J23" i="14" s="1"/>
  <c r="I46" i="2"/>
  <c r="I29" i="14"/>
  <c r="I38" i="2" s="1"/>
  <c r="I42" i="2" s="1"/>
  <c r="G315" i="5"/>
  <c r="G8" i="2" s="1"/>
  <c r="J24" i="14"/>
  <c r="J36" i="13" s="1"/>
  <c r="J37" i="13" s="1"/>
  <c r="J14" i="3" s="1"/>
  <c r="I7" i="14"/>
  <c r="I14" i="14" s="1"/>
  <c r="H7" i="2"/>
  <c r="I305" i="5"/>
  <c r="I308" i="5" s="1"/>
  <c r="H315" i="5"/>
  <c r="H8" i="2" s="1"/>
  <c r="E297" i="5"/>
  <c r="D297" i="5"/>
  <c r="C297" i="5"/>
  <c r="E295" i="5"/>
  <c r="D295" i="5"/>
  <c r="C295" i="5"/>
  <c r="K294" i="5"/>
  <c r="J294" i="5"/>
  <c r="I294" i="5"/>
  <c r="H294" i="5"/>
  <c r="G294" i="5"/>
  <c r="F294" i="5"/>
  <c r="E294" i="5"/>
  <c r="D294" i="5"/>
  <c r="C294" i="5"/>
  <c r="K293" i="5"/>
  <c r="J293" i="5"/>
  <c r="I293" i="5"/>
  <c r="H293" i="5"/>
  <c r="G293" i="5"/>
  <c r="F293" i="5"/>
  <c r="E293" i="5"/>
  <c r="D293" i="5"/>
  <c r="C293" i="5"/>
  <c r="F292" i="5"/>
  <c r="F22" i="13" s="1"/>
  <c r="F28" i="13" s="1"/>
  <c r="F29" i="13" s="1"/>
  <c r="E292" i="5"/>
  <c r="E22" i="13" s="1"/>
  <c r="E28" i="13" s="1"/>
  <c r="E29" i="13" s="1"/>
  <c r="D292" i="5"/>
  <c r="D22" i="13" s="1"/>
  <c r="D28" i="13" s="1"/>
  <c r="D29" i="13" s="1"/>
  <c r="C292" i="5"/>
  <c r="C22" i="13" s="1"/>
  <c r="C28" i="13" s="1"/>
  <c r="C29" i="13" s="1"/>
  <c r="F291" i="5"/>
  <c r="E291" i="5"/>
  <c r="D291" i="5"/>
  <c r="C291" i="5"/>
  <c r="F290" i="5"/>
  <c r="E290" i="5"/>
  <c r="D290" i="5"/>
  <c r="C290" i="5"/>
  <c r="F288" i="5"/>
  <c r="E288" i="5"/>
  <c r="D288" i="5"/>
  <c r="C288" i="5"/>
  <c r="K287" i="5"/>
  <c r="J287" i="5"/>
  <c r="I287" i="5"/>
  <c r="H287" i="5"/>
  <c r="G287" i="5"/>
  <c r="F287" i="5"/>
  <c r="E287" i="5"/>
  <c r="D287" i="5"/>
  <c r="C287" i="5"/>
  <c r="F286" i="5"/>
  <c r="E286" i="5"/>
  <c r="D286" i="5"/>
  <c r="C286" i="5"/>
  <c r="K285" i="5"/>
  <c r="J285" i="5"/>
  <c r="I285" i="5"/>
  <c r="H285" i="5"/>
  <c r="G285" i="5"/>
  <c r="F285" i="5"/>
  <c r="E285" i="5"/>
  <c r="D285" i="5"/>
  <c r="C285" i="5"/>
  <c r="F284" i="5"/>
  <c r="E284" i="5"/>
  <c r="D284" i="5"/>
  <c r="C284" i="5"/>
  <c r="F218" i="5"/>
  <c r="F295" i="5" s="1"/>
  <c r="F300" i="5" s="1"/>
  <c r="G207" i="5"/>
  <c r="G211" i="5" s="1"/>
  <c r="H207" i="5" s="1"/>
  <c r="H211" i="5" s="1"/>
  <c r="I207" i="5" s="1"/>
  <c r="I211" i="5" s="1"/>
  <c r="J207" i="5" s="1"/>
  <c r="J211" i="5" s="1"/>
  <c r="K207" i="5" s="1"/>
  <c r="K211" i="5" s="1"/>
  <c r="F220" i="5"/>
  <c r="F297" i="5" s="1"/>
  <c r="K239" i="5"/>
  <c r="J239" i="5"/>
  <c r="I239" i="5"/>
  <c r="H239" i="5"/>
  <c r="G239" i="5"/>
  <c r="D109" i="9"/>
  <c r="C109" i="9"/>
  <c r="F241" i="5"/>
  <c r="F240" i="5"/>
  <c r="F239" i="5"/>
  <c r="F109" i="9" s="1"/>
  <c r="E241" i="5"/>
  <c r="E240" i="5"/>
  <c r="E239" i="5"/>
  <c r="E109" i="9" s="1"/>
  <c r="G230" i="5"/>
  <c r="G224" i="5"/>
  <c r="G228" i="5" s="1"/>
  <c r="A109" i="9"/>
  <c r="K279" i="5"/>
  <c r="J279" i="5"/>
  <c r="I279" i="5"/>
  <c r="H279" i="5"/>
  <c r="G279" i="5"/>
  <c r="F281" i="5"/>
  <c r="F280" i="5"/>
  <c r="F279" i="5"/>
  <c r="F115" i="9" s="1"/>
  <c r="E281" i="5"/>
  <c r="E280" i="5"/>
  <c r="E279" i="5"/>
  <c r="E115" i="9" s="1"/>
  <c r="G264" i="5"/>
  <c r="G270" i="5"/>
  <c r="D115" i="9"/>
  <c r="C115" i="9"/>
  <c r="A115" i="9"/>
  <c r="F261" i="5"/>
  <c r="F260" i="5"/>
  <c r="G250" i="5"/>
  <c r="G244" i="5"/>
  <c r="G248" i="5" s="1"/>
  <c r="H244" i="5" s="1"/>
  <c r="H248" i="5" s="1"/>
  <c r="I244" i="5" s="1"/>
  <c r="I248" i="5" s="1"/>
  <c r="J244" i="5" s="1"/>
  <c r="J248" i="5" s="1"/>
  <c r="K244" i="5" s="1"/>
  <c r="K248" i="5" s="1"/>
  <c r="K259" i="5"/>
  <c r="J259" i="5"/>
  <c r="I259" i="5"/>
  <c r="H259" i="5"/>
  <c r="G259" i="5"/>
  <c r="F259" i="5"/>
  <c r="F112" i="9" s="1"/>
  <c r="E261" i="5"/>
  <c r="E260" i="5"/>
  <c r="E259" i="5"/>
  <c r="E112" i="9" s="1"/>
  <c r="D112" i="9"/>
  <c r="C112" i="9"/>
  <c r="A112" i="9"/>
  <c r="G192" i="5"/>
  <c r="G186" i="5"/>
  <c r="K201" i="5"/>
  <c r="J201" i="5"/>
  <c r="I201" i="5"/>
  <c r="H201" i="5"/>
  <c r="G201" i="5"/>
  <c r="K188" i="5"/>
  <c r="K328" i="5" s="1"/>
  <c r="J188" i="5"/>
  <c r="J328" i="5" s="1"/>
  <c r="I188" i="5"/>
  <c r="I328" i="5" s="1"/>
  <c r="H188" i="5"/>
  <c r="H328" i="5" s="1"/>
  <c r="G188" i="5"/>
  <c r="G328" i="5" s="1"/>
  <c r="D106" i="9"/>
  <c r="C106" i="9"/>
  <c r="F203" i="5"/>
  <c r="F202" i="5"/>
  <c r="F201" i="5"/>
  <c r="F106" i="9" s="1"/>
  <c r="E203" i="5"/>
  <c r="E202" i="5"/>
  <c r="E201" i="5"/>
  <c r="E106" i="9" s="1"/>
  <c r="F105" i="9"/>
  <c r="E105" i="9"/>
  <c r="D105" i="9"/>
  <c r="C105" i="9"/>
  <c r="A106" i="9"/>
  <c r="A105" i="9"/>
  <c r="F161" i="5"/>
  <c r="F98" i="9" s="1"/>
  <c r="K181" i="5"/>
  <c r="J181" i="5"/>
  <c r="I181" i="5"/>
  <c r="H181" i="5"/>
  <c r="G181" i="5"/>
  <c r="K168" i="5"/>
  <c r="K327" i="5" s="1"/>
  <c r="J168" i="5"/>
  <c r="J327" i="5" s="1"/>
  <c r="I168" i="5"/>
  <c r="I327" i="5" s="1"/>
  <c r="H168" i="5"/>
  <c r="H327" i="5" s="1"/>
  <c r="G168" i="5"/>
  <c r="G327" i="5" s="1"/>
  <c r="F101" i="9"/>
  <c r="E101" i="9"/>
  <c r="D101" i="9"/>
  <c r="C101" i="9"/>
  <c r="A102" i="9"/>
  <c r="A101" i="9"/>
  <c r="F183" i="5"/>
  <c r="E183" i="5"/>
  <c r="D183" i="5"/>
  <c r="F182" i="5"/>
  <c r="E182" i="5"/>
  <c r="D182" i="5"/>
  <c r="F181" i="5"/>
  <c r="F102" i="9" s="1"/>
  <c r="E181" i="5"/>
  <c r="E102" i="9" s="1"/>
  <c r="D181" i="5"/>
  <c r="D102" i="9" s="1"/>
  <c r="C183" i="5"/>
  <c r="C182" i="5"/>
  <c r="C181" i="5"/>
  <c r="C102" i="9" s="1"/>
  <c r="G166" i="5"/>
  <c r="G172" i="5"/>
  <c r="G161" i="5"/>
  <c r="K161" i="5"/>
  <c r="J161" i="5"/>
  <c r="I161" i="5"/>
  <c r="H161" i="5"/>
  <c r="C98" i="9"/>
  <c r="A98" i="9"/>
  <c r="E161" i="5"/>
  <c r="E98" i="9" s="1"/>
  <c r="E162" i="5"/>
  <c r="F162" i="5"/>
  <c r="E163" i="5"/>
  <c r="F163" i="5"/>
  <c r="D163" i="5"/>
  <c r="D162" i="5"/>
  <c r="D161" i="5"/>
  <c r="G152" i="5"/>
  <c r="H148" i="5"/>
  <c r="H326" i="5" s="1"/>
  <c r="G148" i="5"/>
  <c r="G326" i="5" s="1"/>
  <c r="F97" i="9"/>
  <c r="E97" i="9"/>
  <c r="D97" i="9"/>
  <c r="C97" i="9"/>
  <c r="A97" i="9"/>
  <c r="G146" i="5"/>
  <c r="K119" i="5"/>
  <c r="J119" i="5"/>
  <c r="I119" i="5"/>
  <c r="H119" i="5"/>
  <c r="G119" i="5"/>
  <c r="G112" i="5"/>
  <c r="K108" i="5"/>
  <c r="K325" i="5" s="1"/>
  <c r="J108" i="5"/>
  <c r="J325" i="5" s="1"/>
  <c r="I108" i="5"/>
  <c r="I325" i="5" s="1"/>
  <c r="H108" i="5"/>
  <c r="H325" i="5" s="1"/>
  <c r="G108" i="5"/>
  <c r="G325" i="5" s="1"/>
  <c r="E94" i="9"/>
  <c r="D94" i="9"/>
  <c r="C94" i="9"/>
  <c r="A94" i="9"/>
  <c r="F93" i="9"/>
  <c r="E93" i="9"/>
  <c r="D93" i="9"/>
  <c r="C93" i="9"/>
  <c r="A93" i="9"/>
  <c r="G106" i="5"/>
  <c r="G94" i="5"/>
  <c r="A90" i="9"/>
  <c r="F88" i="9"/>
  <c r="F89" i="9" s="1"/>
  <c r="E88" i="9"/>
  <c r="E89" i="9" s="1"/>
  <c r="D88" i="9"/>
  <c r="D89" i="9" s="1"/>
  <c r="C88" i="9"/>
  <c r="C89" i="9" s="1"/>
  <c r="A88" i="9"/>
  <c r="G88" i="5"/>
  <c r="K83" i="5"/>
  <c r="J83" i="5"/>
  <c r="I83" i="5"/>
  <c r="H83" i="5"/>
  <c r="G83" i="5"/>
  <c r="G76" i="5"/>
  <c r="K72" i="5"/>
  <c r="K323" i="5" s="1"/>
  <c r="J72" i="5"/>
  <c r="J323" i="5" s="1"/>
  <c r="I72" i="5"/>
  <c r="I323" i="5" s="1"/>
  <c r="H72" i="5"/>
  <c r="H323" i="5" s="1"/>
  <c r="G72" i="5"/>
  <c r="G323" i="5" s="1"/>
  <c r="A85" i="9"/>
  <c r="F84" i="9"/>
  <c r="E84" i="9"/>
  <c r="D84" i="9"/>
  <c r="C84" i="9"/>
  <c r="A84" i="9"/>
  <c r="G70" i="5"/>
  <c r="G58" i="5"/>
  <c r="K54" i="5"/>
  <c r="K322" i="5" s="1"/>
  <c r="J54" i="5"/>
  <c r="J322" i="5" s="1"/>
  <c r="I54" i="5"/>
  <c r="I322" i="5" s="1"/>
  <c r="H54" i="5"/>
  <c r="H322" i="5" s="1"/>
  <c r="G54" i="5"/>
  <c r="G322" i="5" s="1"/>
  <c r="K65" i="5"/>
  <c r="J65" i="5"/>
  <c r="I65" i="5"/>
  <c r="H65" i="5"/>
  <c r="G65" i="5"/>
  <c r="E81" i="9"/>
  <c r="D81" i="9"/>
  <c r="C81" i="9"/>
  <c r="A81" i="9"/>
  <c r="F80" i="9"/>
  <c r="E80" i="9"/>
  <c r="D80" i="9"/>
  <c r="C80" i="9"/>
  <c r="A80" i="9"/>
  <c r="G52" i="5"/>
  <c r="K47" i="5"/>
  <c r="J47" i="5"/>
  <c r="I47" i="5"/>
  <c r="H47" i="5"/>
  <c r="G47" i="5"/>
  <c r="A77" i="9"/>
  <c r="G40" i="5"/>
  <c r="K36" i="5"/>
  <c r="J36" i="5"/>
  <c r="I36" i="5"/>
  <c r="H36" i="5"/>
  <c r="G36" i="5"/>
  <c r="F76" i="9"/>
  <c r="E76" i="9"/>
  <c r="D76" i="9"/>
  <c r="C76" i="9"/>
  <c r="A76" i="9"/>
  <c r="G34" i="5"/>
  <c r="K28" i="5"/>
  <c r="J28" i="5"/>
  <c r="I28" i="5"/>
  <c r="H28" i="5"/>
  <c r="G28" i="5"/>
  <c r="A73" i="9"/>
  <c r="G21" i="5"/>
  <c r="K17" i="5"/>
  <c r="J17" i="5"/>
  <c r="I17" i="5"/>
  <c r="H17" i="5"/>
  <c r="G17" i="5"/>
  <c r="F72" i="9"/>
  <c r="E72" i="9"/>
  <c r="D72" i="9"/>
  <c r="C72" i="9"/>
  <c r="A72" i="9"/>
  <c r="G15" i="5"/>
  <c r="G6" i="5"/>
  <c r="G10" i="5" s="1"/>
  <c r="F135" i="5"/>
  <c r="E135" i="5"/>
  <c r="D135" i="5"/>
  <c r="C135" i="5"/>
  <c r="F128" i="5"/>
  <c r="E128" i="5"/>
  <c r="D128" i="5"/>
  <c r="C128" i="5"/>
  <c r="K127" i="5"/>
  <c r="J127" i="5"/>
  <c r="I127" i="5"/>
  <c r="H127" i="5"/>
  <c r="G127" i="5"/>
  <c r="F127" i="5"/>
  <c r="E127" i="5"/>
  <c r="D127" i="5"/>
  <c r="C127" i="5"/>
  <c r="F126" i="5"/>
  <c r="E126" i="5"/>
  <c r="D126" i="5"/>
  <c r="C126" i="5"/>
  <c r="K125" i="5"/>
  <c r="J125" i="5"/>
  <c r="I125" i="5"/>
  <c r="H125" i="5"/>
  <c r="G125" i="5"/>
  <c r="F125" i="5"/>
  <c r="E125" i="5"/>
  <c r="D125" i="5"/>
  <c r="C125" i="5"/>
  <c r="F124" i="5"/>
  <c r="E124" i="5"/>
  <c r="D124" i="5"/>
  <c r="C124" i="5"/>
  <c r="F121" i="5"/>
  <c r="F120" i="5"/>
  <c r="F119" i="5"/>
  <c r="F94" i="9" s="1"/>
  <c r="F103" i="5"/>
  <c r="E103" i="5"/>
  <c r="D103" i="5"/>
  <c r="F102" i="5"/>
  <c r="E102" i="5"/>
  <c r="D102" i="5"/>
  <c r="F101" i="5"/>
  <c r="F90" i="9" s="1"/>
  <c r="E101" i="5"/>
  <c r="E90" i="9" s="1"/>
  <c r="D101" i="5"/>
  <c r="D90" i="9" s="1"/>
  <c r="C103" i="5"/>
  <c r="C102" i="5"/>
  <c r="C101" i="5"/>
  <c r="C90" i="9" s="1"/>
  <c r="F85" i="5"/>
  <c r="E85" i="5"/>
  <c r="D85" i="5"/>
  <c r="F84" i="5"/>
  <c r="E84" i="5"/>
  <c r="D84" i="5"/>
  <c r="C85" i="5"/>
  <c r="C84" i="5"/>
  <c r="D83" i="5"/>
  <c r="D85" i="9" s="1"/>
  <c r="E83" i="5"/>
  <c r="E85" i="9" s="1"/>
  <c r="F83" i="5"/>
  <c r="F85" i="9" s="1"/>
  <c r="C83" i="5"/>
  <c r="C85" i="9" s="1"/>
  <c r="F67" i="5"/>
  <c r="F66" i="5"/>
  <c r="F65" i="5"/>
  <c r="F81" i="9" s="1"/>
  <c r="F49" i="5"/>
  <c r="E49" i="5"/>
  <c r="D49" i="5"/>
  <c r="C49" i="5"/>
  <c r="F48" i="5"/>
  <c r="E48" i="5"/>
  <c r="D48" i="5"/>
  <c r="C48" i="5"/>
  <c r="F47" i="5"/>
  <c r="F77" i="9" s="1"/>
  <c r="E47" i="5"/>
  <c r="E77" i="9" s="1"/>
  <c r="D47" i="5"/>
  <c r="D77" i="9" s="1"/>
  <c r="C47" i="5"/>
  <c r="C77" i="9" s="1"/>
  <c r="F30" i="5"/>
  <c r="E30" i="5"/>
  <c r="D30" i="5"/>
  <c r="C30" i="5"/>
  <c r="F29" i="5"/>
  <c r="E29" i="5"/>
  <c r="D29" i="5"/>
  <c r="C29" i="5"/>
  <c r="F28" i="5"/>
  <c r="F73" i="9" s="1"/>
  <c r="E28" i="5"/>
  <c r="E73" i="9" s="1"/>
  <c r="D28" i="5"/>
  <c r="D73" i="9" s="1"/>
  <c r="C28" i="5"/>
  <c r="C73" i="9" s="1"/>
  <c r="A63" i="9"/>
  <c r="F50" i="12"/>
  <c r="E50" i="12"/>
  <c r="D50" i="12"/>
  <c r="C50" i="12"/>
  <c r="A50" i="12"/>
  <c r="F49" i="12"/>
  <c r="E49" i="12"/>
  <c r="D49" i="12"/>
  <c r="C49" i="12"/>
  <c r="A49" i="12"/>
  <c r="A62" i="9" s="1"/>
  <c r="A60" i="9"/>
  <c r="F45" i="12"/>
  <c r="E45" i="12"/>
  <c r="D45" i="12"/>
  <c r="C45" i="12"/>
  <c r="A45" i="12"/>
  <c r="F44" i="12"/>
  <c r="E44" i="12"/>
  <c r="D44" i="12"/>
  <c r="C44" i="12"/>
  <c r="A44" i="12"/>
  <c r="A59" i="9" s="1"/>
  <c r="G41" i="12"/>
  <c r="H41" i="12"/>
  <c r="A57" i="9"/>
  <c r="F40" i="12"/>
  <c r="E40" i="12"/>
  <c r="D40" i="12"/>
  <c r="C40" i="12"/>
  <c r="A40" i="12"/>
  <c r="F39" i="12"/>
  <c r="E39" i="12"/>
  <c r="D39" i="12"/>
  <c r="C39" i="12"/>
  <c r="A39" i="12"/>
  <c r="A56" i="9" s="1"/>
  <c r="G34" i="12"/>
  <c r="H34" i="12" s="1"/>
  <c r="I34" i="12" s="1"/>
  <c r="J34" i="12" s="1"/>
  <c r="K34" i="12" s="1"/>
  <c r="K36" i="12"/>
  <c r="J36" i="12"/>
  <c r="I36" i="12"/>
  <c r="H36" i="12"/>
  <c r="G36" i="12"/>
  <c r="K30" i="12"/>
  <c r="J30" i="12"/>
  <c r="I30" i="12"/>
  <c r="H30" i="12"/>
  <c r="G30" i="12"/>
  <c r="K26" i="12"/>
  <c r="J26" i="12"/>
  <c r="I26" i="12"/>
  <c r="H26" i="12"/>
  <c r="G26" i="12"/>
  <c r="D54" i="9"/>
  <c r="C54" i="9"/>
  <c r="A54" i="9"/>
  <c r="F52" i="9"/>
  <c r="G52" i="9" s="1"/>
  <c r="H52" i="9" s="1"/>
  <c r="I52" i="9" s="1"/>
  <c r="J52" i="9" s="1"/>
  <c r="K52" i="9" s="1"/>
  <c r="E52" i="9"/>
  <c r="D52" i="9"/>
  <c r="C52" i="9"/>
  <c r="A52" i="9"/>
  <c r="C50" i="9"/>
  <c r="F49" i="9"/>
  <c r="E49" i="9"/>
  <c r="D49" i="9"/>
  <c r="C49" i="9"/>
  <c r="A50" i="9"/>
  <c r="A49" i="9"/>
  <c r="E47" i="9"/>
  <c r="D47" i="9"/>
  <c r="C47" i="9"/>
  <c r="F46" i="9"/>
  <c r="E46" i="9"/>
  <c r="D46" i="9"/>
  <c r="C46" i="9"/>
  <c r="A47" i="9"/>
  <c r="A46" i="9"/>
  <c r="C31" i="12"/>
  <c r="D35" i="12"/>
  <c r="D31" i="12"/>
  <c r="E35" i="12"/>
  <c r="E31" i="12"/>
  <c r="E27" i="12"/>
  <c r="F35" i="12"/>
  <c r="F31" i="12"/>
  <c r="F27" i="12"/>
  <c r="F24" i="12"/>
  <c r="E24" i="12"/>
  <c r="D24" i="12"/>
  <c r="C24" i="12"/>
  <c r="A24" i="12"/>
  <c r="A45" i="9" s="1"/>
  <c r="A43" i="9"/>
  <c r="F18" i="12"/>
  <c r="E18" i="12"/>
  <c r="D18" i="12"/>
  <c r="C18" i="12"/>
  <c r="F17" i="12"/>
  <c r="E17" i="12"/>
  <c r="D17" i="12"/>
  <c r="C17" i="12"/>
  <c r="A18" i="12"/>
  <c r="A17" i="12"/>
  <c r="A15" i="12"/>
  <c r="A42" i="9" s="1"/>
  <c r="A40" i="9"/>
  <c r="F9" i="12"/>
  <c r="E9" i="12"/>
  <c r="D9" i="12"/>
  <c r="C9" i="12"/>
  <c r="F8" i="12"/>
  <c r="E8" i="12"/>
  <c r="D8" i="12"/>
  <c r="C8" i="12"/>
  <c r="F7" i="12"/>
  <c r="E7" i="12"/>
  <c r="D7" i="12"/>
  <c r="C7" i="12"/>
  <c r="A9" i="12"/>
  <c r="A8" i="12"/>
  <c r="A7" i="12"/>
  <c r="A5" i="12"/>
  <c r="A39" i="9" s="1"/>
  <c r="F10" i="11"/>
  <c r="F5" i="3" s="1"/>
  <c r="E10" i="11"/>
  <c r="E5" i="3" s="1"/>
  <c r="C10" i="11"/>
  <c r="C5" i="3" s="1"/>
  <c r="D10" i="11"/>
  <c r="D5" i="3" s="1"/>
  <c r="E16" i="11"/>
  <c r="E6" i="3" s="1"/>
  <c r="E15" i="12" s="1"/>
  <c r="D16" i="11"/>
  <c r="D6" i="3" s="1"/>
  <c r="D15" i="12" s="1"/>
  <c r="C16" i="11"/>
  <c r="C6" i="3" s="1"/>
  <c r="C15" i="12" s="1"/>
  <c r="F16" i="11"/>
  <c r="F6" i="3" s="1"/>
  <c r="F15" i="12" s="1"/>
  <c r="F80" i="8"/>
  <c r="E80" i="8"/>
  <c r="D80" i="8"/>
  <c r="C80" i="8"/>
  <c r="F77" i="8"/>
  <c r="E77" i="8"/>
  <c r="D77" i="8"/>
  <c r="C77" i="8"/>
  <c r="A77" i="8"/>
  <c r="A80" i="8"/>
  <c r="D22" i="9"/>
  <c r="C22" i="9"/>
  <c r="H75" i="8"/>
  <c r="I75" i="8"/>
  <c r="J75" i="8"/>
  <c r="K75" i="8"/>
  <c r="G75" i="8"/>
  <c r="A22" i="9"/>
  <c r="K18" i="9"/>
  <c r="K65" i="8" s="1"/>
  <c r="J18" i="9"/>
  <c r="J65" i="8" s="1"/>
  <c r="I18" i="9"/>
  <c r="I65" i="8" s="1"/>
  <c r="H18" i="9"/>
  <c r="H65" i="8" s="1"/>
  <c r="G18" i="9"/>
  <c r="G65" i="8" s="1"/>
  <c r="C18" i="9"/>
  <c r="A18" i="9"/>
  <c r="K47" i="8"/>
  <c r="J47" i="8"/>
  <c r="I47" i="8"/>
  <c r="H47" i="8"/>
  <c r="G47" i="8"/>
  <c r="K46" i="8"/>
  <c r="J46" i="8"/>
  <c r="I46" i="8"/>
  <c r="H46" i="8"/>
  <c r="G46" i="8"/>
  <c r="K45" i="8"/>
  <c r="J45" i="8"/>
  <c r="I45" i="8"/>
  <c r="H45" i="8"/>
  <c r="G45" i="8"/>
  <c r="K44" i="8"/>
  <c r="J44" i="8"/>
  <c r="I44" i="8"/>
  <c r="H44" i="8"/>
  <c r="G44" i="8"/>
  <c r="C16" i="9"/>
  <c r="A16" i="9"/>
  <c r="C15" i="9"/>
  <c r="A15" i="9"/>
  <c r="C14" i="9"/>
  <c r="A14" i="9"/>
  <c r="C13" i="9"/>
  <c r="A13" i="9"/>
  <c r="A12" i="9"/>
  <c r="C58" i="8"/>
  <c r="D58" i="8"/>
  <c r="E58" i="8"/>
  <c r="F58" i="8"/>
  <c r="C59" i="8"/>
  <c r="D59" i="8"/>
  <c r="E59" i="8"/>
  <c r="F59" i="8"/>
  <c r="C60" i="8"/>
  <c r="D60" i="8"/>
  <c r="E60" i="8"/>
  <c r="F60" i="8"/>
  <c r="C61" i="8"/>
  <c r="D61" i="8"/>
  <c r="E61" i="8"/>
  <c r="F61" i="8"/>
  <c r="C62" i="8"/>
  <c r="D62" i="8"/>
  <c r="E62" i="8"/>
  <c r="F62" i="8"/>
  <c r="F26" i="8"/>
  <c r="F39" i="8" s="1"/>
  <c r="E26" i="8"/>
  <c r="E40" i="8" s="1"/>
  <c r="D26" i="8"/>
  <c r="D40" i="8" s="1"/>
  <c r="C26" i="8"/>
  <c r="C40" i="8" s="1"/>
  <c r="A26" i="8"/>
  <c r="E55" i="8"/>
  <c r="D55" i="8"/>
  <c r="C55" i="8"/>
  <c r="F55" i="8"/>
  <c r="H79" i="8"/>
  <c r="I79" i="8"/>
  <c r="J79" i="8"/>
  <c r="K79" i="8"/>
  <c r="G79" i="8"/>
  <c r="C25" i="9"/>
  <c r="A25" i="9"/>
  <c r="F78" i="8"/>
  <c r="E78" i="8"/>
  <c r="D78" i="8"/>
  <c r="C78" i="8"/>
  <c r="K88" i="8"/>
  <c r="K14" i="8" s="1"/>
  <c r="K25" i="11" s="1"/>
  <c r="J88" i="8"/>
  <c r="J14" i="8" s="1"/>
  <c r="J25" i="11" s="1"/>
  <c r="I88" i="8"/>
  <c r="I14" i="8" s="1"/>
  <c r="I25" i="11" s="1"/>
  <c r="H88" i="8"/>
  <c r="H14" i="8" s="1"/>
  <c r="H25" i="11" s="1"/>
  <c r="G88" i="8"/>
  <c r="G14" i="8" s="1"/>
  <c r="G25" i="11" s="1"/>
  <c r="F88" i="8"/>
  <c r="F34" i="9" s="1"/>
  <c r="E88" i="8"/>
  <c r="E34" i="9" s="1"/>
  <c r="D88" i="8"/>
  <c r="D34" i="9" s="1"/>
  <c r="A88" i="8"/>
  <c r="A34" i="9" s="1"/>
  <c r="K86" i="8"/>
  <c r="J86" i="8"/>
  <c r="I86" i="8"/>
  <c r="H86" i="8"/>
  <c r="G86" i="8"/>
  <c r="D31" i="9"/>
  <c r="C31" i="9"/>
  <c r="A31" i="9"/>
  <c r="F85" i="8"/>
  <c r="E85" i="8"/>
  <c r="D85" i="8"/>
  <c r="C85" i="8"/>
  <c r="A85" i="8"/>
  <c r="K83" i="8"/>
  <c r="J83" i="8"/>
  <c r="I83" i="8"/>
  <c r="H83" i="8"/>
  <c r="G83" i="8"/>
  <c r="C28" i="9"/>
  <c r="C9" i="9"/>
  <c r="C8" i="9"/>
  <c r="A28" i="9"/>
  <c r="F82" i="8"/>
  <c r="E82" i="8"/>
  <c r="D82" i="8"/>
  <c r="C82" i="8"/>
  <c r="A82" i="8"/>
  <c r="K21" i="8"/>
  <c r="J21" i="8"/>
  <c r="I21" i="8"/>
  <c r="H21" i="8"/>
  <c r="G21" i="8"/>
  <c r="G19" i="8" s="1"/>
  <c r="A8" i="9"/>
  <c r="F21" i="8"/>
  <c r="F8" i="9" s="1"/>
  <c r="E21" i="8"/>
  <c r="E8" i="9" s="1"/>
  <c r="D21" i="8"/>
  <c r="D8" i="9" s="1"/>
  <c r="K22" i="8"/>
  <c r="J22" i="8"/>
  <c r="I22" i="8"/>
  <c r="H22" i="8"/>
  <c r="G22" i="8"/>
  <c r="A9" i="9"/>
  <c r="F18" i="8"/>
  <c r="E18" i="8"/>
  <c r="D18" i="8"/>
  <c r="C18" i="8"/>
  <c r="A18" i="8"/>
  <c r="A7" i="9" s="1"/>
  <c r="F20" i="8"/>
  <c r="E20" i="8"/>
  <c r="D20" i="8"/>
  <c r="C20" i="8"/>
  <c r="C14" i="8"/>
  <c r="C88" i="8" s="1"/>
  <c r="C34" i="9" s="1"/>
  <c r="F5" i="8"/>
  <c r="E5" i="8"/>
  <c r="D5" i="8"/>
  <c r="C5" i="8"/>
  <c r="A5" i="8"/>
  <c r="F53" i="4"/>
  <c r="E53" i="4"/>
  <c r="D53" i="4"/>
  <c r="C53" i="4"/>
  <c r="C55" i="4" s="1"/>
  <c r="C60" i="4" s="1"/>
  <c r="F41" i="4"/>
  <c r="F7" i="17" s="1"/>
  <c r="E41" i="4"/>
  <c r="E7" i="17" s="1"/>
  <c r="D41" i="4"/>
  <c r="D7" i="17" s="1"/>
  <c r="C23" i="4"/>
  <c r="F23" i="4"/>
  <c r="F31" i="4" s="1"/>
  <c r="F5" i="17" s="1"/>
  <c r="F9" i="17" s="1"/>
  <c r="E23" i="4"/>
  <c r="E31" i="4" s="1"/>
  <c r="D23" i="4"/>
  <c r="D31" i="4" s="1"/>
  <c r="D5" i="17" s="1"/>
  <c r="D9" i="17" s="1"/>
  <c r="J32" i="3"/>
  <c r="I32" i="3"/>
  <c r="H32" i="3"/>
  <c r="G32" i="3"/>
  <c r="F32" i="3"/>
  <c r="E32" i="3"/>
  <c r="D32" i="3"/>
  <c r="C32" i="3"/>
  <c r="F52" i="2"/>
  <c r="E52" i="2"/>
  <c r="D52" i="2"/>
  <c r="C52" i="2"/>
  <c r="H42" i="2"/>
  <c r="G42" i="2"/>
  <c r="F42" i="2"/>
  <c r="E42" i="2"/>
  <c r="D42" i="2"/>
  <c r="C42" i="2"/>
  <c r="F33" i="2"/>
  <c r="F35" i="2" s="1"/>
  <c r="E33" i="2"/>
  <c r="E35" i="2" s="1"/>
  <c r="D33" i="2"/>
  <c r="D35" i="2" s="1"/>
  <c r="C33" i="2"/>
  <c r="C35" i="2" s="1"/>
  <c r="F25" i="2"/>
  <c r="E25" i="2"/>
  <c r="D25" i="2"/>
  <c r="C25" i="2"/>
  <c r="D14" i="2"/>
  <c r="F14" i="2"/>
  <c r="E14" i="2"/>
  <c r="C14" i="2"/>
  <c r="D55" i="4" l="1"/>
  <c r="D60" i="4" s="1"/>
  <c r="E5" i="17"/>
  <c r="E9" i="17" s="1"/>
  <c r="E55" i="4"/>
  <c r="E60" i="4" s="1"/>
  <c r="F55" i="4"/>
  <c r="F60" i="4" s="1"/>
  <c r="G56" i="4" s="1"/>
  <c r="E50" i="11"/>
  <c r="E52" i="11" s="1"/>
  <c r="E55" i="11" s="1"/>
  <c r="E56" i="11" s="1"/>
  <c r="E145" i="9" s="1"/>
  <c r="C8" i="18"/>
  <c r="C9" i="18"/>
  <c r="C10" i="18"/>
  <c r="C16" i="18"/>
  <c r="C14" i="18"/>
  <c r="C15" i="18"/>
  <c r="C22" i="18"/>
  <c r="C21" i="18"/>
  <c r="C20" i="18"/>
  <c r="D10" i="18"/>
  <c r="D9" i="18"/>
  <c r="D8" i="18"/>
  <c r="D16" i="18"/>
  <c r="D15" i="18"/>
  <c r="D14" i="18"/>
  <c r="F10" i="18"/>
  <c r="F9" i="18"/>
  <c r="F8" i="18"/>
  <c r="E10" i="18"/>
  <c r="E9" i="18"/>
  <c r="E8" i="18"/>
  <c r="C25" i="18"/>
  <c r="C26" i="18"/>
  <c r="C27" i="18"/>
  <c r="J10" i="4"/>
  <c r="J51" i="4"/>
  <c r="J6" i="17" s="1"/>
  <c r="J25" i="14"/>
  <c r="F5" i="12"/>
  <c r="F50" i="11"/>
  <c r="F52" i="11" s="1"/>
  <c r="F55" i="11" s="1"/>
  <c r="F56" i="11" s="1"/>
  <c r="F145" i="9" s="1"/>
  <c r="D50" i="11"/>
  <c r="D52" i="11" s="1"/>
  <c r="D55" i="11" s="1"/>
  <c r="D56" i="11" s="1"/>
  <c r="D145" i="9" s="1"/>
  <c r="C50" i="11"/>
  <c r="C52" i="11" s="1"/>
  <c r="C55" i="11" s="1"/>
  <c r="C56" i="11" s="1"/>
  <c r="C145" i="9" s="1"/>
  <c r="F54" i="2"/>
  <c r="F56" i="2" s="1"/>
  <c r="C54" i="2"/>
  <c r="C56" i="2" s="1"/>
  <c r="D54" i="2"/>
  <c r="D56" i="2" s="1"/>
  <c r="E54" i="2"/>
  <c r="E56" i="2" s="1"/>
  <c r="E11" i="3"/>
  <c r="E13" i="3" s="1"/>
  <c r="E17" i="3" s="1"/>
  <c r="C51" i="12"/>
  <c r="C63" i="9" s="1"/>
  <c r="C46" i="12"/>
  <c r="C60" i="9" s="1"/>
  <c r="D51" i="12"/>
  <c r="D63" i="9" s="1"/>
  <c r="F51" i="12"/>
  <c r="F63" i="9" s="1"/>
  <c r="E51" i="12"/>
  <c r="E63" i="9" s="1"/>
  <c r="J321" i="5"/>
  <c r="J320" i="5"/>
  <c r="G321" i="5"/>
  <c r="G320" i="5"/>
  <c r="K321" i="5"/>
  <c r="K320" i="5"/>
  <c r="D301" i="5"/>
  <c r="I321" i="5"/>
  <c r="I320" i="5"/>
  <c r="H321" i="5"/>
  <c r="H320" i="5"/>
  <c r="G130" i="5"/>
  <c r="J7" i="14"/>
  <c r="J14" i="14" s="1"/>
  <c r="I7" i="2"/>
  <c r="C299" i="5"/>
  <c r="E299" i="5"/>
  <c r="F299" i="5"/>
  <c r="D300" i="5"/>
  <c r="E300" i="5"/>
  <c r="J305" i="5"/>
  <c r="J308" i="5" s="1"/>
  <c r="I315" i="5"/>
  <c r="I8" i="2" s="1"/>
  <c r="G286" i="5"/>
  <c r="H286" i="5"/>
  <c r="F301" i="5"/>
  <c r="D299" i="5"/>
  <c r="C300" i="5"/>
  <c r="G214" i="5"/>
  <c r="G291" i="5" s="1"/>
  <c r="C301" i="5"/>
  <c r="G290" i="5"/>
  <c r="E301" i="5"/>
  <c r="G284" i="5"/>
  <c r="G150" i="5"/>
  <c r="G170" i="5"/>
  <c r="H166" i="5" s="1"/>
  <c r="H170" i="5" s="1"/>
  <c r="H174" i="5" s="1"/>
  <c r="H17" i="13" s="1"/>
  <c r="D98" i="9"/>
  <c r="H224" i="5"/>
  <c r="H228" i="5" s="1"/>
  <c r="G232" i="5"/>
  <c r="I252" i="5"/>
  <c r="I20" i="13" s="1"/>
  <c r="G268" i="5"/>
  <c r="J252" i="5"/>
  <c r="J20" i="13" s="1"/>
  <c r="G252" i="5"/>
  <c r="H252" i="5"/>
  <c r="H20" i="13" s="1"/>
  <c r="K252" i="5"/>
  <c r="K20" i="13" s="1"/>
  <c r="G190" i="5"/>
  <c r="H186" i="5" s="1"/>
  <c r="H190" i="5" s="1"/>
  <c r="E139" i="5"/>
  <c r="G110" i="5"/>
  <c r="H106" i="5" s="1"/>
  <c r="H110" i="5" s="1"/>
  <c r="I106" i="5" s="1"/>
  <c r="I110" i="5" s="1"/>
  <c r="F137" i="5"/>
  <c r="D139" i="5"/>
  <c r="C139" i="5"/>
  <c r="E137" i="5"/>
  <c r="G74" i="5"/>
  <c r="H70" i="5" s="1"/>
  <c r="H74" i="5" s="1"/>
  <c r="G56" i="5"/>
  <c r="H52" i="5" s="1"/>
  <c r="H56" i="5" s="1"/>
  <c r="I52" i="5" s="1"/>
  <c r="I56" i="5" s="1"/>
  <c r="D138" i="5"/>
  <c r="F138" i="5"/>
  <c r="G89" i="9"/>
  <c r="F139" i="5"/>
  <c r="C137" i="5"/>
  <c r="E138" i="5"/>
  <c r="D137" i="5"/>
  <c r="C138" i="5"/>
  <c r="G38" i="5"/>
  <c r="H34" i="5" s="1"/>
  <c r="H38" i="5" s="1"/>
  <c r="H6" i="5"/>
  <c r="H10" i="5" s="1"/>
  <c r="H12" i="5" s="1"/>
  <c r="G12" i="5"/>
  <c r="G90" i="9"/>
  <c r="G101" i="5" s="1"/>
  <c r="G124" i="5"/>
  <c r="E41" i="12"/>
  <c r="E57" i="9" s="1"/>
  <c r="E32" i="12"/>
  <c r="E50" i="9" s="1"/>
  <c r="G19" i="5"/>
  <c r="C41" i="12"/>
  <c r="C57" i="9" s="1"/>
  <c r="D11" i="3"/>
  <c r="F46" i="12"/>
  <c r="F60" i="9" s="1"/>
  <c r="D46" i="12"/>
  <c r="D60" i="9" s="1"/>
  <c r="D41" i="12"/>
  <c r="D57" i="9" s="1"/>
  <c r="E46" i="12"/>
  <c r="E60" i="9" s="1"/>
  <c r="F32" i="12"/>
  <c r="F50" i="9" s="1"/>
  <c r="F41" i="12"/>
  <c r="F57" i="9" s="1"/>
  <c r="I41" i="12"/>
  <c r="F36" i="12"/>
  <c r="F54" i="9" s="1"/>
  <c r="D32" i="12"/>
  <c r="D50" i="9" s="1"/>
  <c r="F28" i="12"/>
  <c r="F47" i="9" s="1"/>
  <c r="I47" i="9" s="1"/>
  <c r="E36" i="12"/>
  <c r="E54" i="9" s="1"/>
  <c r="D53" i="9"/>
  <c r="G35" i="12"/>
  <c r="H35" i="12" s="1"/>
  <c r="E5" i="12"/>
  <c r="C11" i="3"/>
  <c r="C13" i="3" s="1"/>
  <c r="C17" i="3" s="1"/>
  <c r="C5" i="12"/>
  <c r="D5" i="12"/>
  <c r="F11" i="3"/>
  <c r="E53" i="9"/>
  <c r="F53" i="9"/>
  <c r="C19" i="12"/>
  <c r="C21" i="12" s="1"/>
  <c r="C43" i="9" s="1"/>
  <c r="D10" i="12"/>
  <c r="C10" i="12"/>
  <c r="E19" i="12"/>
  <c r="E21" i="12" s="1"/>
  <c r="E43" i="9" s="1"/>
  <c r="D19" i="12"/>
  <c r="D21" i="12" s="1"/>
  <c r="D43" i="9" s="1"/>
  <c r="F19" i="12"/>
  <c r="F21" i="12" s="1"/>
  <c r="F43" i="9" s="1"/>
  <c r="F10" i="12"/>
  <c r="E10" i="12"/>
  <c r="D65" i="8"/>
  <c r="D18" i="9" s="1"/>
  <c r="F65" i="8"/>
  <c r="F18" i="9" s="1"/>
  <c r="G58" i="8"/>
  <c r="D36" i="8"/>
  <c r="E65" i="8"/>
  <c r="E18" i="9" s="1"/>
  <c r="E47" i="8"/>
  <c r="E16" i="9" s="1"/>
  <c r="G39" i="8"/>
  <c r="H39" i="8" s="1"/>
  <c r="I39" i="8" s="1"/>
  <c r="J39" i="8" s="1"/>
  <c r="K39" i="8" s="1"/>
  <c r="D47" i="8"/>
  <c r="D16" i="9" s="1"/>
  <c r="E73" i="8"/>
  <c r="F72" i="8"/>
  <c r="D73" i="8"/>
  <c r="C73" i="8"/>
  <c r="F36" i="8"/>
  <c r="F69" i="8" s="1"/>
  <c r="E39" i="8"/>
  <c r="F40" i="8"/>
  <c r="C37" i="8"/>
  <c r="C70" i="8" s="1"/>
  <c r="D37" i="8"/>
  <c r="F37" i="8"/>
  <c r="G37" i="8" s="1"/>
  <c r="H37" i="8" s="1"/>
  <c r="I37" i="8" s="1"/>
  <c r="J37" i="8" s="1"/>
  <c r="K37" i="8" s="1"/>
  <c r="C38" i="8"/>
  <c r="C71" i="8" s="1"/>
  <c r="D39" i="8"/>
  <c r="E37" i="8"/>
  <c r="D38" i="8"/>
  <c r="E38" i="8"/>
  <c r="F38" i="8"/>
  <c r="G38" i="8" s="1"/>
  <c r="H38" i="8" s="1"/>
  <c r="I38" i="8" s="1"/>
  <c r="J38" i="8" s="1"/>
  <c r="K38" i="8" s="1"/>
  <c r="C39" i="8"/>
  <c r="C72" i="8" s="1"/>
  <c r="C36" i="8"/>
  <c r="E36" i="8"/>
  <c r="G78" i="8"/>
  <c r="D79" i="8"/>
  <c r="D25" i="9" s="1"/>
  <c r="E79" i="8"/>
  <c r="E25" i="9" s="1"/>
  <c r="F83" i="8"/>
  <c r="F28" i="9" s="1"/>
  <c r="F79" i="8"/>
  <c r="F25" i="9" s="1"/>
  <c r="E83" i="8"/>
  <c r="E28" i="9" s="1"/>
  <c r="F86" i="8"/>
  <c r="F31" i="9" s="1"/>
  <c r="D83" i="8"/>
  <c r="D28" i="9" s="1"/>
  <c r="D22" i="8"/>
  <c r="D9" i="9" s="1"/>
  <c r="G85" i="8"/>
  <c r="H85" i="8" s="1"/>
  <c r="G82" i="8"/>
  <c r="H82" i="8" s="1"/>
  <c r="E86" i="8"/>
  <c r="E31" i="9" s="1"/>
  <c r="E22" i="8"/>
  <c r="E9" i="9" s="1"/>
  <c r="H19" i="8"/>
  <c r="G20" i="8"/>
  <c r="H20" i="8" s="1"/>
  <c r="I20" i="8" s="1"/>
  <c r="J20" i="8" s="1"/>
  <c r="K20" i="8" s="1"/>
  <c r="F22" i="8"/>
  <c r="F9" i="9" s="1"/>
  <c r="F27" i="2"/>
  <c r="C27" i="2"/>
  <c r="E27" i="2"/>
  <c r="D27" i="2"/>
  <c r="F12" i="12" l="1"/>
  <c r="F40" i="9" s="1"/>
  <c r="E20" i="18"/>
  <c r="E22" i="18"/>
  <c r="E21" i="18"/>
  <c r="D27" i="18"/>
  <c r="D25" i="18"/>
  <c r="D26" i="18"/>
  <c r="F25" i="18"/>
  <c r="F26" i="18"/>
  <c r="F27" i="18"/>
  <c r="E25" i="18"/>
  <c r="E27" i="18"/>
  <c r="E26" i="18"/>
  <c r="D22" i="18"/>
  <c r="D21" i="18"/>
  <c r="D20" i="18"/>
  <c r="F21" i="18"/>
  <c r="F20" i="18"/>
  <c r="F22" i="18"/>
  <c r="J27" i="14"/>
  <c r="J49" i="4"/>
  <c r="E19" i="3"/>
  <c r="E60" i="12" s="1"/>
  <c r="E61" i="12" s="1"/>
  <c r="E67" i="9" s="1"/>
  <c r="E55" i="12"/>
  <c r="E56" i="12" s="1"/>
  <c r="E65" i="9" s="1"/>
  <c r="C19" i="3"/>
  <c r="C60" i="12" s="1"/>
  <c r="C61" i="12" s="1"/>
  <c r="C67" i="9" s="1"/>
  <c r="C55" i="12"/>
  <c r="C56" i="12" s="1"/>
  <c r="C65" i="9" s="1"/>
  <c r="G63" i="9"/>
  <c r="G51" i="12" s="1"/>
  <c r="G255" i="5"/>
  <c r="G257" i="5" s="1"/>
  <c r="G261" i="5" s="1"/>
  <c r="G20" i="13"/>
  <c r="G235" i="5"/>
  <c r="G240" i="5" s="1"/>
  <c r="G19" i="13"/>
  <c r="K7" i="14"/>
  <c r="K14" i="14" s="1"/>
  <c r="K7" i="2" s="1"/>
  <c r="J7" i="2"/>
  <c r="K305" i="5"/>
  <c r="K308" i="5" s="1"/>
  <c r="K315" i="5" s="1"/>
  <c r="K8" i="2" s="1"/>
  <c r="J315" i="5"/>
  <c r="J8" i="2" s="1"/>
  <c r="G218" i="5"/>
  <c r="H146" i="5"/>
  <c r="H150" i="5" s="1"/>
  <c r="G288" i="5"/>
  <c r="I166" i="5"/>
  <c r="I170" i="5" s="1"/>
  <c r="I174" i="5" s="1"/>
  <c r="I17" i="13" s="1"/>
  <c r="G154" i="5"/>
  <c r="G174" i="5"/>
  <c r="G272" i="5"/>
  <c r="H264" i="5"/>
  <c r="H268" i="5" s="1"/>
  <c r="G194" i="5"/>
  <c r="I224" i="5"/>
  <c r="I228" i="5" s="1"/>
  <c r="H232" i="5"/>
  <c r="H19" i="13" s="1"/>
  <c r="I186" i="5"/>
  <c r="I190" i="5" s="1"/>
  <c r="H194" i="5"/>
  <c r="H18" i="13" s="1"/>
  <c r="H113" i="5"/>
  <c r="H12" i="13" s="1"/>
  <c r="G113" i="5"/>
  <c r="G77" i="5"/>
  <c r="G59" i="5"/>
  <c r="H59" i="5"/>
  <c r="H9" i="13" s="1"/>
  <c r="H90" i="9"/>
  <c r="H101" i="5" s="1"/>
  <c r="H89" i="9"/>
  <c r="I89" i="9" s="1"/>
  <c r="G41" i="5"/>
  <c r="J52" i="5"/>
  <c r="J56" i="5" s="1"/>
  <c r="I59" i="5"/>
  <c r="I9" i="13" s="1"/>
  <c r="J106" i="5"/>
  <c r="J110" i="5" s="1"/>
  <c r="I113" i="5"/>
  <c r="I12" i="13" s="1"/>
  <c r="G22" i="5"/>
  <c r="I34" i="5"/>
  <c r="I38" i="5" s="1"/>
  <c r="H41" i="5"/>
  <c r="H8" i="13" s="1"/>
  <c r="I70" i="5"/>
  <c r="I74" i="5" s="1"/>
  <c r="H77" i="5"/>
  <c r="H10" i="13" s="1"/>
  <c r="H47" i="9"/>
  <c r="H28" i="12" s="1"/>
  <c r="H15" i="5"/>
  <c r="I6" i="5"/>
  <c r="I60" i="9"/>
  <c r="I46" i="12" s="1"/>
  <c r="G60" i="9"/>
  <c r="G46" i="12" s="1"/>
  <c r="D13" i="3"/>
  <c r="D17" i="3" s="1"/>
  <c r="F13" i="3"/>
  <c r="F17" i="3" s="1"/>
  <c r="J60" i="9"/>
  <c r="J46" i="12" s="1"/>
  <c r="H60" i="9"/>
  <c r="H46" i="12" s="1"/>
  <c r="K60" i="9"/>
  <c r="K46" i="12" s="1"/>
  <c r="G50" i="9"/>
  <c r="H50" i="9" s="1"/>
  <c r="H32" i="12" s="1"/>
  <c r="J47" i="9"/>
  <c r="J28" i="12" s="1"/>
  <c r="D12" i="12"/>
  <c r="D40" i="9" s="1"/>
  <c r="K47" i="9"/>
  <c r="K28" i="12" s="1"/>
  <c r="G47" i="9"/>
  <c r="G28" i="12" s="1"/>
  <c r="G27" i="12" s="1"/>
  <c r="E12" i="12"/>
  <c r="E40" i="9" s="1"/>
  <c r="C12" i="12"/>
  <c r="C40" i="9" s="1"/>
  <c r="I35" i="12"/>
  <c r="I28" i="12"/>
  <c r="H21" i="12"/>
  <c r="K21" i="12"/>
  <c r="J21" i="12"/>
  <c r="G21" i="12"/>
  <c r="I21" i="12"/>
  <c r="H78" i="8"/>
  <c r="H58" i="8"/>
  <c r="G40" i="8"/>
  <c r="H40" i="8" s="1"/>
  <c r="I40" i="8" s="1"/>
  <c r="J40" i="8" s="1"/>
  <c r="K40" i="8" s="1"/>
  <c r="F47" i="8"/>
  <c r="F16" i="9" s="1"/>
  <c r="F43" i="8"/>
  <c r="E69" i="8"/>
  <c r="E43" i="8"/>
  <c r="D70" i="8"/>
  <c r="D44" i="8"/>
  <c r="D13" i="9" s="1"/>
  <c r="D69" i="8"/>
  <c r="D72" i="8"/>
  <c r="D46" i="8"/>
  <c r="D15" i="9" s="1"/>
  <c r="F70" i="8"/>
  <c r="F44" i="8"/>
  <c r="F13" i="9" s="1"/>
  <c r="F71" i="8"/>
  <c r="F45" i="8"/>
  <c r="F14" i="9" s="1"/>
  <c r="F73" i="8"/>
  <c r="E72" i="8"/>
  <c r="F46" i="8"/>
  <c r="F15" i="9" s="1"/>
  <c r="E46" i="8"/>
  <c r="E15" i="9" s="1"/>
  <c r="E71" i="8"/>
  <c r="E45" i="8"/>
  <c r="E14" i="9" s="1"/>
  <c r="D71" i="8"/>
  <c r="D45" i="8"/>
  <c r="D14" i="9" s="1"/>
  <c r="E70" i="8"/>
  <c r="E44" i="8"/>
  <c r="E13" i="9" s="1"/>
  <c r="G12" i="8"/>
  <c r="G13" i="8"/>
  <c r="I82" i="8"/>
  <c r="H12" i="8"/>
  <c r="I85" i="8"/>
  <c r="H13" i="8"/>
  <c r="I19" i="8"/>
  <c r="H18" i="8"/>
  <c r="H8" i="8" s="1"/>
  <c r="G18" i="8"/>
  <c r="G8" i="8" s="1"/>
  <c r="J40" i="9" l="1"/>
  <c r="J12" i="12" s="1"/>
  <c r="G40" i="9"/>
  <c r="K40" i="9"/>
  <c r="K12" i="12" s="1"/>
  <c r="H40" i="9"/>
  <c r="H12" i="12" s="1"/>
  <c r="I40" i="9"/>
  <c r="I12" i="12" s="1"/>
  <c r="H18" i="12"/>
  <c r="H24" i="11"/>
  <c r="H34" i="11" s="1"/>
  <c r="H35" i="11" s="1"/>
  <c r="G7" i="12"/>
  <c r="G19" i="11"/>
  <c r="G17" i="12"/>
  <c r="G23" i="11"/>
  <c r="G260" i="5"/>
  <c r="H7" i="12"/>
  <c r="H19" i="11"/>
  <c r="H17" i="12"/>
  <c r="H23" i="11"/>
  <c r="G18" i="12"/>
  <c r="G24" i="11"/>
  <c r="G34" i="11" s="1"/>
  <c r="G35" i="11" s="1"/>
  <c r="K18" i="14"/>
  <c r="J28" i="14"/>
  <c r="E34" i="3"/>
  <c r="E21" i="3"/>
  <c r="C34" i="3"/>
  <c r="C21" i="3"/>
  <c r="F19" i="3"/>
  <c r="F60" i="12" s="1"/>
  <c r="F61" i="12" s="1"/>
  <c r="F67" i="9" s="1"/>
  <c r="F55" i="12"/>
  <c r="F56" i="12" s="1"/>
  <c r="F65" i="9" s="1"/>
  <c r="D19" i="3"/>
  <c r="D60" i="12" s="1"/>
  <c r="D61" i="12" s="1"/>
  <c r="D67" i="9" s="1"/>
  <c r="D55" i="12"/>
  <c r="D56" i="12" s="1"/>
  <c r="D65" i="9" s="1"/>
  <c r="H230" i="5"/>
  <c r="H235" i="5" s="1"/>
  <c r="H63" i="9"/>
  <c r="H51" i="12" s="1"/>
  <c r="H250" i="5"/>
  <c r="H255" i="5" s="1"/>
  <c r="I250" i="5" s="1"/>
  <c r="I255" i="5" s="1"/>
  <c r="I257" i="5" s="1"/>
  <c r="I261" i="5" s="1"/>
  <c r="G79" i="5"/>
  <c r="G84" i="5" s="1"/>
  <c r="G10" i="13"/>
  <c r="G237" i="5"/>
  <c r="G241" i="5" s="1"/>
  <c r="G157" i="5"/>
  <c r="G159" i="5" s="1"/>
  <c r="G16" i="13"/>
  <c r="G43" i="5"/>
  <c r="G45" i="5" s="1"/>
  <c r="G49" i="5" s="1"/>
  <c r="G8" i="13"/>
  <c r="G115" i="5"/>
  <c r="H112" i="5" s="1"/>
  <c r="H115" i="5" s="1"/>
  <c r="I112" i="5" s="1"/>
  <c r="I115" i="5" s="1"/>
  <c r="G12" i="13"/>
  <c r="G197" i="5"/>
  <c r="H192" i="5" s="1"/>
  <c r="H197" i="5" s="1"/>
  <c r="I192" i="5" s="1"/>
  <c r="G18" i="13"/>
  <c r="G275" i="5"/>
  <c r="H270" i="5" s="1"/>
  <c r="G21" i="13"/>
  <c r="G61" i="5"/>
  <c r="G63" i="5" s="1"/>
  <c r="G67" i="5" s="1"/>
  <c r="G9" i="13"/>
  <c r="G24" i="5"/>
  <c r="G29" i="5" s="1"/>
  <c r="G7" i="13"/>
  <c r="G177" i="5"/>
  <c r="G182" i="5" s="1"/>
  <c r="G17" i="13"/>
  <c r="H214" i="5"/>
  <c r="G220" i="5"/>
  <c r="G292" i="5"/>
  <c r="I146" i="5"/>
  <c r="I150" i="5" s="1"/>
  <c r="I288" i="5" s="1"/>
  <c r="H288" i="5"/>
  <c r="H284" i="5"/>
  <c r="J224" i="5"/>
  <c r="J228" i="5" s="1"/>
  <c r="I232" i="5"/>
  <c r="I19" i="13" s="1"/>
  <c r="I264" i="5"/>
  <c r="I268" i="5" s="1"/>
  <c r="H272" i="5"/>
  <c r="H21" i="13" s="1"/>
  <c r="G202" i="5"/>
  <c r="H154" i="5"/>
  <c r="J186" i="5"/>
  <c r="J190" i="5" s="1"/>
  <c r="I194" i="5"/>
  <c r="I18" i="13" s="1"/>
  <c r="J166" i="5"/>
  <c r="J170" i="5" s="1"/>
  <c r="J174" i="5" s="1"/>
  <c r="J17" i="13" s="1"/>
  <c r="J89" i="9"/>
  <c r="I90" i="9"/>
  <c r="K106" i="5"/>
  <c r="K110" i="5" s="1"/>
  <c r="J113" i="5"/>
  <c r="J12" i="13" s="1"/>
  <c r="J70" i="5"/>
  <c r="J74" i="5" s="1"/>
  <c r="I77" i="5"/>
  <c r="I10" i="13" s="1"/>
  <c r="K52" i="5"/>
  <c r="K56" i="5" s="1"/>
  <c r="J59" i="5"/>
  <c r="J9" i="13" s="1"/>
  <c r="J34" i="5"/>
  <c r="J38" i="5" s="1"/>
  <c r="I41" i="5"/>
  <c r="I8" i="13" s="1"/>
  <c r="H27" i="12"/>
  <c r="H19" i="5"/>
  <c r="I10" i="5"/>
  <c r="I12" i="5" s="1"/>
  <c r="I50" i="9"/>
  <c r="I32" i="12" s="1"/>
  <c r="G32" i="12"/>
  <c r="G31" i="12" s="1"/>
  <c r="H31" i="12" s="1"/>
  <c r="K41" i="12"/>
  <c r="J41" i="12"/>
  <c r="G12" i="12"/>
  <c r="J35" i="12"/>
  <c r="I78" i="8"/>
  <c r="I58" i="8"/>
  <c r="E75" i="8"/>
  <c r="E22" i="9" s="1"/>
  <c r="F75" i="8"/>
  <c r="F22" i="9" s="1"/>
  <c r="G69" i="8"/>
  <c r="J85" i="8"/>
  <c r="I13" i="8"/>
  <c r="J82" i="8"/>
  <c r="I12" i="8"/>
  <c r="J19" i="8"/>
  <c r="I18" i="8"/>
  <c r="I8" i="8" s="1"/>
  <c r="J67" i="9" l="1"/>
  <c r="J61" i="12" s="1"/>
  <c r="K67" i="9"/>
  <c r="K61" i="12" s="1"/>
  <c r="I67" i="9"/>
  <c r="I61" i="12" s="1"/>
  <c r="H19" i="12"/>
  <c r="H15" i="12" s="1"/>
  <c r="H6" i="3" s="1"/>
  <c r="F15" i="18"/>
  <c r="F14" i="18"/>
  <c r="F16" i="18"/>
  <c r="E14" i="18"/>
  <c r="E16" i="18"/>
  <c r="E15" i="18"/>
  <c r="G19" i="12"/>
  <c r="G15" i="12" s="1"/>
  <c r="G6" i="3" s="1"/>
  <c r="G66" i="5"/>
  <c r="H40" i="5"/>
  <c r="H43" i="5" s="1"/>
  <c r="H45" i="5" s="1"/>
  <c r="H49" i="5" s="1"/>
  <c r="I7" i="12"/>
  <c r="I19" i="11"/>
  <c r="I18" i="12"/>
  <c r="I24" i="11"/>
  <c r="I34" i="11" s="1"/>
  <c r="I35" i="11" s="1"/>
  <c r="K24" i="14"/>
  <c r="K36" i="13" s="1"/>
  <c r="K37" i="13" s="1"/>
  <c r="K14" i="3" s="1"/>
  <c r="K23" i="14"/>
  <c r="J46" i="2"/>
  <c r="J29" i="14"/>
  <c r="J38" i="2" s="1"/>
  <c r="J42" i="2" s="1"/>
  <c r="I17" i="12"/>
  <c r="I23" i="11"/>
  <c r="H76" i="5"/>
  <c r="H79" i="5" s="1"/>
  <c r="H81" i="5" s="1"/>
  <c r="H85" i="5" s="1"/>
  <c r="D34" i="3"/>
  <c r="D21" i="3"/>
  <c r="F34" i="3"/>
  <c r="F21" i="3"/>
  <c r="H65" i="9"/>
  <c r="H56" i="12" s="1"/>
  <c r="K65" i="9"/>
  <c r="K56" i="12" s="1"/>
  <c r="G65" i="9"/>
  <c r="G56" i="12" s="1"/>
  <c r="J65" i="9"/>
  <c r="J56" i="12" s="1"/>
  <c r="I63" i="9"/>
  <c r="J63" i="9" s="1"/>
  <c r="J51" i="12" s="1"/>
  <c r="I65" i="9"/>
  <c r="I56" i="12" s="1"/>
  <c r="J250" i="5"/>
  <c r="J255" i="5" s="1"/>
  <c r="J260" i="5" s="1"/>
  <c r="I260" i="5"/>
  <c r="G280" i="5"/>
  <c r="H260" i="5"/>
  <c r="H152" i="5"/>
  <c r="H157" i="5" s="1"/>
  <c r="H257" i="5"/>
  <c r="H261" i="5" s="1"/>
  <c r="H58" i="5"/>
  <c r="H61" i="5" s="1"/>
  <c r="H63" i="5" s="1"/>
  <c r="H67" i="5" s="1"/>
  <c r="G199" i="5"/>
  <c r="G203" i="5" s="1"/>
  <c r="G48" i="5"/>
  <c r="G81" i="5"/>
  <c r="G85" i="5" s="1"/>
  <c r="G179" i="5"/>
  <c r="G183" i="5" s="1"/>
  <c r="G120" i="5"/>
  <c r="H292" i="5"/>
  <c r="H22" i="13" s="1"/>
  <c r="H28" i="13" s="1"/>
  <c r="H16" i="13"/>
  <c r="G162" i="5"/>
  <c r="G277" i="5"/>
  <c r="G281" i="5" s="1"/>
  <c r="G295" i="5"/>
  <c r="G300" i="5" s="1"/>
  <c r="G299" i="5"/>
  <c r="G22" i="13"/>
  <c r="G28" i="13" s="1"/>
  <c r="G117" i="5"/>
  <c r="G121" i="5" s="1"/>
  <c r="H172" i="5"/>
  <c r="H177" i="5" s="1"/>
  <c r="I172" i="5" s="1"/>
  <c r="I177" i="5" s="1"/>
  <c r="I179" i="5" s="1"/>
  <c r="I183" i="5" s="1"/>
  <c r="H21" i="5"/>
  <c r="G26" i="5"/>
  <c r="G30" i="5" s="1"/>
  <c r="G24" i="12"/>
  <c r="G7" i="3" s="1"/>
  <c r="H218" i="5"/>
  <c r="H291" i="5"/>
  <c r="H199" i="5"/>
  <c r="H203" i="5" s="1"/>
  <c r="G163" i="5"/>
  <c r="I284" i="5"/>
  <c r="H275" i="5"/>
  <c r="H280" i="5" s="1"/>
  <c r="H202" i="5"/>
  <c r="I230" i="5"/>
  <c r="I235" i="5" s="1"/>
  <c r="H240" i="5"/>
  <c r="H237" i="5"/>
  <c r="H241" i="5" s="1"/>
  <c r="J264" i="5"/>
  <c r="J268" i="5" s="1"/>
  <c r="I272" i="5"/>
  <c r="I21" i="13" s="1"/>
  <c r="K224" i="5"/>
  <c r="K228" i="5" s="1"/>
  <c r="J232" i="5"/>
  <c r="J19" i="13" s="1"/>
  <c r="I197" i="5"/>
  <c r="I199" i="5" s="1"/>
  <c r="I203" i="5" s="1"/>
  <c r="I154" i="5"/>
  <c r="I16" i="13" s="1"/>
  <c r="K186" i="5"/>
  <c r="K190" i="5" s="1"/>
  <c r="K166" i="5"/>
  <c r="J146" i="5"/>
  <c r="J150" i="5" s="1"/>
  <c r="H24" i="12"/>
  <c r="H7" i="3" s="1"/>
  <c r="I31" i="12"/>
  <c r="I27" i="12"/>
  <c r="J27" i="12" s="1"/>
  <c r="K27" i="12" s="1"/>
  <c r="H117" i="5"/>
  <c r="H121" i="5" s="1"/>
  <c r="H120" i="5"/>
  <c r="H66" i="5"/>
  <c r="K89" i="9"/>
  <c r="I101" i="5"/>
  <c r="J90" i="9"/>
  <c r="J101" i="5" s="1"/>
  <c r="H48" i="5"/>
  <c r="K70" i="5"/>
  <c r="K74" i="5" s="1"/>
  <c r="J77" i="5"/>
  <c r="J10" i="13" s="1"/>
  <c r="K34" i="5"/>
  <c r="K38" i="5" s="1"/>
  <c r="J41" i="5"/>
  <c r="J8" i="13" s="1"/>
  <c r="H22" i="5"/>
  <c r="J112" i="5"/>
  <c r="J115" i="5" s="1"/>
  <c r="I120" i="5"/>
  <c r="I117" i="5"/>
  <c r="I121" i="5" s="1"/>
  <c r="K59" i="5"/>
  <c r="K9" i="13" s="1"/>
  <c r="K113" i="5"/>
  <c r="K12" i="13" s="1"/>
  <c r="J50" i="9"/>
  <c r="J32" i="12" s="1"/>
  <c r="I15" i="5"/>
  <c r="J6" i="5"/>
  <c r="K35" i="12"/>
  <c r="J78" i="8"/>
  <c r="H69" i="8"/>
  <c r="G36" i="8"/>
  <c r="G26" i="8" s="1"/>
  <c r="J58" i="8"/>
  <c r="K82" i="8"/>
  <c r="K12" i="8" s="1"/>
  <c r="J12" i="8"/>
  <c r="K85" i="8"/>
  <c r="K13" i="8" s="1"/>
  <c r="J13" i="8"/>
  <c r="K19" i="8"/>
  <c r="K18" i="8" s="1"/>
  <c r="K8" i="8" s="1"/>
  <c r="J18" i="8"/>
  <c r="J8" i="8" s="1"/>
  <c r="H84" i="5" l="1"/>
  <c r="I19" i="12"/>
  <c r="I15" i="12" s="1"/>
  <c r="I6" i="3" s="1"/>
  <c r="K25" i="14"/>
  <c r="K49" i="4" s="1"/>
  <c r="J257" i="5"/>
  <c r="J261" i="5" s="1"/>
  <c r="I40" i="5"/>
  <c r="I43" i="5" s="1"/>
  <c r="K250" i="5"/>
  <c r="K255" i="5" s="1"/>
  <c r="K257" i="5" s="1"/>
  <c r="K261" i="5" s="1"/>
  <c r="J18" i="12"/>
  <c r="J24" i="11"/>
  <c r="J34" i="11" s="1"/>
  <c r="J35" i="11" s="1"/>
  <c r="K18" i="12"/>
  <c r="K24" i="11"/>
  <c r="K34" i="11" s="1"/>
  <c r="K35" i="11" s="1"/>
  <c r="I76" i="5"/>
  <c r="I79" i="5" s="1"/>
  <c r="J76" i="5" s="1"/>
  <c r="J79" i="5" s="1"/>
  <c r="J7" i="12"/>
  <c r="J19" i="11"/>
  <c r="J17" i="12"/>
  <c r="J23" i="11"/>
  <c r="K27" i="14"/>
  <c r="K28" i="14" s="1"/>
  <c r="K46" i="2" s="1"/>
  <c r="K7" i="12"/>
  <c r="K19" i="11"/>
  <c r="K17" i="12"/>
  <c r="K23" i="11"/>
  <c r="K51" i="4"/>
  <c r="K6" i="17" s="1"/>
  <c r="K10" i="4"/>
  <c r="K63" i="9"/>
  <c r="K51" i="12" s="1"/>
  <c r="I51" i="12"/>
  <c r="I58" i="5"/>
  <c r="I61" i="5" s="1"/>
  <c r="J58" i="5" s="1"/>
  <c r="J61" i="5" s="1"/>
  <c r="K58" i="5" s="1"/>
  <c r="K61" i="5" s="1"/>
  <c r="J172" i="5"/>
  <c r="J177" i="5" s="1"/>
  <c r="K172" i="5" s="1"/>
  <c r="H182" i="5"/>
  <c r="H299" i="5"/>
  <c r="H290" i="5"/>
  <c r="I182" i="5"/>
  <c r="G297" i="5"/>
  <c r="G9" i="2" s="1"/>
  <c r="I286" i="5"/>
  <c r="I326" i="5"/>
  <c r="H7" i="13"/>
  <c r="H179" i="5"/>
  <c r="H183" i="5" s="1"/>
  <c r="H295" i="5"/>
  <c r="H300" i="5" s="1"/>
  <c r="H220" i="5"/>
  <c r="I214" i="5"/>
  <c r="J284" i="5"/>
  <c r="J288" i="5"/>
  <c r="I292" i="5"/>
  <c r="H277" i="5"/>
  <c r="H281" i="5" s="1"/>
  <c r="I270" i="5"/>
  <c r="I275" i="5" s="1"/>
  <c r="I202" i="5"/>
  <c r="J192" i="5"/>
  <c r="J194" i="5" s="1"/>
  <c r="K232" i="5"/>
  <c r="K19" i="13" s="1"/>
  <c r="K264" i="5"/>
  <c r="K268" i="5" s="1"/>
  <c r="K272" i="5" s="1"/>
  <c r="K21" i="13" s="1"/>
  <c r="J272" i="5"/>
  <c r="J21" i="13" s="1"/>
  <c r="J230" i="5"/>
  <c r="J235" i="5" s="1"/>
  <c r="I240" i="5"/>
  <c r="I237" i="5"/>
  <c r="I241" i="5" s="1"/>
  <c r="I24" i="12"/>
  <c r="I7" i="3" s="1"/>
  <c r="J31" i="12"/>
  <c r="J24" i="12" s="1"/>
  <c r="J7" i="3" s="1"/>
  <c r="J154" i="5"/>
  <c r="J16" i="13" s="1"/>
  <c r="I152" i="5"/>
  <c r="H162" i="5"/>
  <c r="H159" i="5"/>
  <c r="K170" i="5"/>
  <c r="K174" i="5" s="1"/>
  <c r="K146" i="5"/>
  <c r="K150" i="5" s="1"/>
  <c r="K50" i="9"/>
  <c r="K32" i="12" s="1"/>
  <c r="K90" i="9"/>
  <c r="K101" i="5" s="1"/>
  <c r="H24" i="5"/>
  <c r="J40" i="5"/>
  <c r="J43" i="5" s="1"/>
  <c r="I48" i="5"/>
  <c r="I45" i="5"/>
  <c r="I49" i="5" s="1"/>
  <c r="K77" i="5"/>
  <c r="K10" i="13" s="1"/>
  <c r="K112" i="5"/>
  <c r="K115" i="5" s="1"/>
  <c r="J120" i="5"/>
  <c r="J117" i="5"/>
  <c r="J121" i="5" s="1"/>
  <c r="K41" i="5"/>
  <c r="K8" i="13" s="1"/>
  <c r="I19" i="5"/>
  <c r="J10" i="5"/>
  <c r="J12" i="5" s="1"/>
  <c r="G10" i="8"/>
  <c r="G40" i="12"/>
  <c r="K78" i="8"/>
  <c r="K58" i="8"/>
  <c r="I69" i="8"/>
  <c r="H36" i="8"/>
  <c r="H26" i="8" s="1"/>
  <c r="I66" i="5" l="1"/>
  <c r="K260" i="5"/>
  <c r="J63" i="5"/>
  <c r="J67" i="5" s="1"/>
  <c r="K19" i="12"/>
  <c r="K15" i="12" s="1"/>
  <c r="K6" i="3" s="1"/>
  <c r="J66" i="5"/>
  <c r="K29" i="14"/>
  <c r="K38" i="2" s="1"/>
  <c r="K42" i="2" s="1"/>
  <c r="J19" i="12"/>
  <c r="J15" i="12" s="1"/>
  <c r="J6" i="3" s="1"/>
  <c r="G8" i="12"/>
  <c r="G21" i="11"/>
  <c r="I81" i="5"/>
  <c r="I85" i="5" s="1"/>
  <c r="I84" i="5"/>
  <c r="G301" i="5"/>
  <c r="I63" i="5"/>
  <c r="I67" i="5" s="1"/>
  <c r="J179" i="5"/>
  <c r="J183" i="5" s="1"/>
  <c r="J182" i="5"/>
  <c r="K177" i="5"/>
  <c r="K182" i="5" s="1"/>
  <c r="K17" i="13"/>
  <c r="I299" i="5"/>
  <c r="I22" i="13"/>
  <c r="I28" i="13" s="1"/>
  <c r="H26" i="5"/>
  <c r="H30" i="5" s="1"/>
  <c r="J286" i="5"/>
  <c r="J326" i="5"/>
  <c r="J197" i="5"/>
  <c r="J202" i="5" s="1"/>
  <c r="J18" i="13"/>
  <c r="I290" i="5"/>
  <c r="K288" i="5"/>
  <c r="I218" i="5"/>
  <c r="I291" i="5"/>
  <c r="K284" i="5"/>
  <c r="H163" i="5"/>
  <c r="H297" i="5"/>
  <c r="J292" i="5"/>
  <c r="I280" i="5"/>
  <c r="I277" i="5"/>
  <c r="I281" i="5" s="1"/>
  <c r="J270" i="5"/>
  <c r="J275" i="5" s="1"/>
  <c r="K230" i="5"/>
  <c r="K235" i="5" s="1"/>
  <c r="J240" i="5"/>
  <c r="J237" i="5"/>
  <c r="J241" i="5" s="1"/>
  <c r="K31" i="12"/>
  <c r="K24" i="12" s="1"/>
  <c r="K7" i="3" s="1"/>
  <c r="I157" i="5"/>
  <c r="I295" i="5" s="1"/>
  <c r="I300" i="5" s="1"/>
  <c r="K154" i="5"/>
  <c r="H29" i="5"/>
  <c r="I21" i="5"/>
  <c r="K66" i="5"/>
  <c r="K63" i="5"/>
  <c r="K67" i="5" s="1"/>
  <c r="I22" i="5"/>
  <c r="K40" i="5"/>
  <c r="K43" i="5" s="1"/>
  <c r="J48" i="5"/>
  <c r="J45" i="5"/>
  <c r="J49" i="5" s="1"/>
  <c r="K120" i="5"/>
  <c r="K117" i="5"/>
  <c r="K121" i="5" s="1"/>
  <c r="K76" i="5"/>
  <c r="K79" i="5" s="1"/>
  <c r="J84" i="5"/>
  <c r="J81" i="5"/>
  <c r="J85" i="5" s="1"/>
  <c r="J15" i="5"/>
  <c r="K6" i="5"/>
  <c r="G39" i="12"/>
  <c r="G8" i="3" s="1"/>
  <c r="G80" i="8"/>
  <c r="G77" i="8" s="1"/>
  <c r="G11" i="8" s="1"/>
  <c r="H10" i="8"/>
  <c r="H40" i="12"/>
  <c r="H39" i="12" s="1"/>
  <c r="H8" i="3" s="1"/>
  <c r="J69" i="8"/>
  <c r="I36" i="8"/>
  <c r="I26" i="8" s="1"/>
  <c r="H8" i="12" l="1"/>
  <c r="H21" i="11"/>
  <c r="G5" i="8"/>
  <c r="G22" i="11"/>
  <c r="G26" i="11" s="1"/>
  <c r="K179" i="5"/>
  <c r="K183" i="5" s="1"/>
  <c r="J199" i="5"/>
  <c r="J203" i="5" s="1"/>
  <c r="K192" i="5"/>
  <c r="K197" i="5" s="1"/>
  <c r="K199" i="5" s="1"/>
  <c r="K286" i="5"/>
  <c r="K326" i="5"/>
  <c r="J299" i="5"/>
  <c r="J22" i="13"/>
  <c r="J28" i="13" s="1"/>
  <c r="K292" i="5"/>
  <c r="K22" i="13" s="1"/>
  <c r="K28" i="13" s="1"/>
  <c r="K16" i="13"/>
  <c r="I7" i="13"/>
  <c r="J214" i="5"/>
  <c r="I220" i="5"/>
  <c r="H9" i="2"/>
  <c r="H301" i="5"/>
  <c r="K240" i="5"/>
  <c r="K237" i="5"/>
  <c r="K241" i="5" s="1"/>
  <c r="J280" i="5"/>
  <c r="K270" i="5"/>
  <c r="K275" i="5" s="1"/>
  <c r="J277" i="5"/>
  <c r="J281" i="5" s="1"/>
  <c r="G9" i="12"/>
  <c r="G10" i="12" s="1"/>
  <c r="G5" i="12" s="1"/>
  <c r="G5" i="3" s="1"/>
  <c r="G50" i="11" s="1"/>
  <c r="I162" i="5"/>
  <c r="J152" i="5"/>
  <c r="J290" i="5" s="1"/>
  <c r="I159" i="5"/>
  <c r="H80" i="8"/>
  <c r="H77" i="8" s="1"/>
  <c r="H11" i="8" s="1"/>
  <c r="I24" i="5"/>
  <c r="K48" i="5"/>
  <c r="K45" i="5"/>
  <c r="K49" i="5" s="1"/>
  <c r="K84" i="5"/>
  <c r="K81" i="5"/>
  <c r="K85" i="5" s="1"/>
  <c r="J19" i="5"/>
  <c r="K10" i="5"/>
  <c r="K12" i="5" s="1"/>
  <c r="I10" i="8"/>
  <c r="I40" i="12"/>
  <c r="I39" i="12" s="1"/>
  <c r="I8" i="3" s="1"/>
  <c r="K69" i="8"/>
  <c r="J36" i="8"/>
  <c r="J26" i="8" s="1"/>
  <c r="G4" i="3" l="1"/>
  <c r="G45" i="12" s="1"/>
  <c r="G44" i="12" s="1"/>
  <c r="G9" i="3" s="1"/>
  <c r="I8" i="12"/>
  <c r="I21" i="11"/>
  <c r="G28" i="11"/>
  <c r="G29" i="11" s="1"/>
  <c r="G39" i="11" s="1"/>
  <c r="H9" i="12"/>
  <c r="H10" i="12" s="1"/>
  <c r="H5" i="12" s="1"/>
  <c r="H5" i="3" s="1"/>
  <c r="H50" i="11" s="1"/>
  <c r="H22" i="11"/>
  <c r="H28" i="11" s="1"/>
  <c r="H29" i="11" s="1"/>
  <c r="H39" i="11" s="1"/>
  <c r="K299" i="5"/>
  <c r="I29" i="5"/>
  <c r="J218" i="5"/>
  <c r="J291" i="5"/>
  <c r="I163" i="5"/>
  <c r="I297" i="5"/>
  <c r="K277" i="5"/>
  <c r="K281" i="5" s="1"/>
  <c r="K280" i="5"/>
  <c r="H5" i="8"/>
  <c r="J157" i="5"/>
  <c r="J295" i="5" s="1"/>
  <c r="J300" i="5" s="1"/>
  <c r="I80" i="8"/>
  <c r="I77" i="8" s="1"/>
  <c r="I11" i="8" s="1"/>
  <c r="I26" i="5"/>
  <c r="I30" i="5" s="1"/>
  <c r="J21" i="5"/>
  <c r="J22" i="5"/>
  <c r="K15" i="5"/>
  <c r="J10" i="8"/>
  <c r="J40" i="12"/>
  <c r="J39" i="12" s="1"/>
  <c r="J8" i="3" s="1"/>
  <c r="K36" i="8"/>
  <c r="K26" i="8" s="1"/>
  <c r="G50" i="12" l="1"/>
  <c r="G49" i="12" s="1"/>
  <c r="G10" i="3" s="1"/>
  <c r="G11" i="3" s="1"/>
  <c r="G88" i="9"/>
  <c r="G90" i="5" s="1"/>
  <c r="G324" i="5" s="1"/>
  <c r="G334" i="5" s="1"/>
  <c r="G34" i="4" s="1"/>
  <c r="G42" i="11"/>
  <c r="G43" i="11" s="1"/>
  <c r="G47" i="11" s="1"/>
  <c r="G18" i="2" s="1"/>
  <c r="G28" i="4" s="1"/>
  <c r="H4" i="3"/>
  <c r="H88" i="9" s="1"/>
  <c r="H90" i="5" s="1"/>
  <c r="H324" i="5" s="1"/>
  <c r="H334" i="5" s="1"/>
  <c r="H34" i="4" s="1"/>
  <c r="H26" i="11"/>
  <c r="H51" i="11"/>
  <c r="I49" i="11" s="1"/>
  <c r="H16" i="2"/>
  <c r="G51" i="11"/>
  <c r="G16" i="2"/>
  <c r="J8" i="12"/>
  <c r="J21" i="11"/>
  <c r="I5" i="8"/>
  <c r="I22" i="11"/>
  <c r="I28" i="11" s="1"/>
  <c r="I29" i="11" s="1"/>
  <c r="I39" i="11" s="1"/>
  <c r="J7" i="13"/>
  <c r="K214" i="5"/>
  <c r="J220" i="5"/>
  <c r="I9" i="2"/>
  <c r="I301" i="5"/>
  <c r="I9" i="12"/>
  <c r="I10" i="12" s="1"/>
  <c r="I5" i="12" s="1"/>
  <c r="I5" i="3" s="1"/>
  <c r="I50" i="11" s="1"/>
  <c r="K152" i="5"/>
  <c r="K290" i="5" s="1"/>
  <c r="J162" i="5"/>
  <c r="J159" i="5"/>
  <c r="J80" i="8"/>
  <c r="J77" i="8" s="1"/>
  <c r="J11" i="8" s="1"/>
  <c r="J24" i="5"/>
  <c r="K19" i="5"/>
  <c r="K10" i="8"/>
  <c r="K40" i="12"/>
  <c r="K39" i="12" s="1"/>
  <c r="K8" i="3" s="1"/>
  <c r="G126" i="5" l="1"/>
  <c r="G92" i="5"/>
  <c r="G95" i="5" s="1"/>
  <c r="H45" i="12"/>
  <c r="H44" i="12" s="1"/>
  <c r="H9" i="3" s="1"/>
  <c r="H42" i="11"/>
  <c r="H43" i="11" s="1"/>
  <c r="H47" i="11" s="1"/>
  <c r="H18" i="2" s="1"/>
  <c r="H28" i="4" s="1"/>
  <c r="H50" i="12"/>
  <c r="H49" i="12" s="1"/>
  <c r="H10" i="3" s="1"/>
  <c r="I4" i="3"/>
  <c r="I45" i="12" s="1"/>
  <c r="I44" i="12" s="1"/>
  <c r="I9" i="3" s="1"/>
  <c r="I26" i="11"/>
  <c r="I51" i="11"/>
  <c r="J49" i="11" s="1"/>
  <c r="I16" i="2"/>
  <c r="I29" i="4" s="1"/>
  <c r="J5" i="8"/>
  <c r="J22" i="11"/>
  <c r="J28" i="11" s="1"/>
  <c r="J29" i="11" s="1"/>
  <c r="J39" i="11" s="1"/>
  <c r="H126" i="5"/>
  <c r="H49" i="11"/>
  <c r="H52" i="11" s="1"/>
  <c r="H54" i="11" s="1"/>
  <c r="H58" i="11" s="1"/>
  <c r="H47" i="2" s="1"/>
  <c r="G52" i="11"/>
  <c r="G54" i="11" s="1"/>
  <c r="G58" i="11" s="1"/>
  <c r="G47" i="2" s="1"/>
  <c r="K8" i="12"/>
  <c r="K21" i="11"/>
  <c r="H29" i="4"/>
  <c r="G29" i="4"/>
  <c r="J26" i="5"/>
  <c r="J30" i="5" s="1"/>
  <c r="K218" i="5"/>
  <c r="K220" i="5" s="1"/>
  <c r="K291" i="5"/>
  <c r="J163" i="5"/>
  <c r="J297" i="5"/>
  <c r="K157" i="5"/>
  <c r="K295" i="5" s="1"/>
  <c r="K300" i="5" s="1"/>
  <c r="J9" i="12"/>
  <c r="J10" i="12" s="1"/>
  <c r="J5" i="12" s="1"/>
  <c r="J5" i="3" s="1"/>
  <c r="J50" i="11" s="1"/>
  <c r="K21" i="5"/>
  <c r="J29" i="5"/>
  <c r="K22" i="5"/>
  <c r="K80" i="8"/>
  <c r="K77" i="8" s="1"/>
  <c r="K11" i="8" s="1"/>
  <c r="G128" i="5" l="1"/>
  <c r="H88" i="5"/>
  <c r="H124" i="5" s="1"/>
  <c r="H11" i="3"/>
  <c r="I42" i="11"/>
  <c r="I43" i="11" s="1"/>
  <c r="I47" i="11" s="1"/>
  <c r="I18" i="2" s="1"/>
  <c r="I28" i="4" s="1"/>
  <c r="I50" i="12"/>
  <c r="I49" i="12" s="1"/>
  <c r="I10" i="3" s="1"/>
  <c r="I11" i="3" s="1"/>
  <c r="I88" i="9"/>
  <c r="I90" i="5" s="1"/>
  <c r="I324" i="5" s="1"/>
  <c r="I334" i="5" s="1"/>
  <c r="I34" i="4" s="1"/>
  <c r="J4" i="3"/>
  <c r="J50" i="12" s="1"/>
  <c r="J49" i="12" s="1"/>
  <c r="J10" i="3" s="1"/>
  <c r="J26" i="11"/>
  <c r="I52" i="11"/>
  <c r="I54" i="11" s="1"/>
  <c r="I58" i="11" s="1"/>
  <c r="I47" i="2" s="1"/>
  <c r="I52" i="2" s="1"/>
  <c r="I54" i="2" s="1"/>
  <c r="J51" i="11"/>
  <c r="K49" i="11" s="1"/>
  <c r="J16" i="2"/>
  <c r="H52" i="2"/>
  <c r="H54" i="2" s="1"/>
  <c r="H27" i="4"/>
  <c r="G11" i="13"/>
  <c r="G131" i="5"/>
  <c r="G13" i="13" s="1"/>
  <c r="G25" i="13" s="1"/>
  <c r="G29" i="13" s="1"/>
  <c r="G12" i="3" s="1"/>
  <c r="G97" i="5"/>
  <c r="G52" i="2"/>
  <c r="G54" i="2" s="1"/>
  <c r="G27" i="4"/>
  <c r="K9" i="12"/>
  <c r="K10" i="12" s="1"/>
  <c r="K5" i="12" s="1"/>
  <c r="K5" i="3" s="1"/>
  <c r="K50" i="11" s="1"/>
  <c r="K22" i="11"/>
  <c r="K28" i="11" s="1"/>
  <c r="K29" i="11" s="1"/>
  <c r="K39" i="11" s="1"/>
  <c r="K7" i="13"/>
  <c r="J9" i="2"/>
  <c r="J301" i="5"/>
  <c r="K162" i="5"/>
  <c r="K159" i="5"/>
  <c r="K24" i="5"/>
  <c r="K5" i="8"/>
  <c r="H92" i="5" l="1"/>
  <c r="H95" i="5" s="1"/>
  <c r="J42" i="11"/>
  <c r="J43" i="11" s="1"/>
  <c r="J47" i="11" s="1"/>
  <c r="J18" i="2" s="1"/>
  <c r="J28" i="4" s="1"/>
  <c r="J88" i="9"/>
  <c r="J90" i="5" s="1"/>
  <c r="J126" i="5" s="1"/>
  <c r="I126" i="5"/>
  <c r="J45" i="12"/>
  <c r="J44" i="12" s="1"/>
  <c r="J9" i="3" s="1"/>
  <c r="J11" i="3" s="1"/>
  <c r="K4" i="3"/>
  <c r="K42" i="11" s="1"/>
  <c r="K43" i="11" s="1"/>
  <c r="K47" i="11" s="1"/>
  <c r="K18" i="2" s="1"/>
  <c r="I27" i="4"/>
  <c r="K51" i="11"/>
  <c r="K52" i="11" s="1"/>
  <c r="K54" i="11" s="1"/>
  <c r="K58" i="11" s="1"/>
  <c r="K47" i="2" s="1"/>
  <c r="K16" i="2"/>
  <c r="K29" i="4" s="1"/>
  <c r="G8" i="4"/>
  <c r="G13" i="3"/>
  <c r="G137" i="5"/>
  <c r="G133" i="5"/>
  <c r="G138" i="5" s="1"/>
  <c r="H94" i="5"/>
  <c r="G102" i="5"/>
  <c r="G99" i="5"/>
  <c r="K26" i="11"/>
  <c r="J29" i="4"/>
  <c r="J52" i="11"/>
  <c r="J54" i="11" s="1"/>
  <c r="J58" i="11" s="1"/>
  <c r="J47" i="2" s="1"/>
  <c r="K163" i="5"/>
  <c r="K297" i="5"/>
  <c r="K26" i="5"/>
  <c r="K30" i="5" s="1"/>
  <c r="K29" i="5"/>
  <c r="I88" i="5" l="1"/>
  <c r="I92" i="5" s="1"/>
  <c r="H128" i="5"/>
  <c r="J324" i="5"/>
  <c r="J334" i="5" s="1"/>
  <c r="J34" i="4" s="1"/>
  <c r="K28" i="4"/>
  <c r="K45" i="12"/>
  <c r="K44" i="12" s="1"/>
  <c r="K9" i="3" s="1"/>
  <c r="K88" i="9"/>
  <c r="K90" i="5" s="1"/>
  <c r="K126" i="5" s="1"/>
  <c r="K50" i="12"/>
  <c r="K49" i="12" s="1"/>
  <c r="K10" i="3" s="1"/>
  <c r="J52" i="2"/>
  <c r="J54" i="2" s="1"/>
  <c r="J27" i="4"/>
  <c r="H11" i="13"/>
  <c r="H131" i="5"/>
  <c r="G103" i="5"/>
  <c r="G135" i="5"/>
  <c r="K52" i="2"/>
  <c r="K54" i="2" s="1"/>
  <c r="K27" i="4"/>
  <c r="H130" i="5"/>
  <c r="H97" i="5"/>
  <c r="K9" i="2"/>
  <c r="K301" i="5"/>
  <c r="I124" i="5" l="1"/>
  <c r="K11" i="3"/>
  <c r="K324" i="5"/>
  <c r="K334" i="5" s="1"/>
  <c r="K34" i="4" s="1"/>
  <c r="H13" i="13"/>
  <c r="H25" i="13" s="1"/>
  <c r="H29" i="13" s="1"/>
  <c r="H12" i="3" s="1"/>
  <c r="H137" i="5"/>
  <c r="I128" i="5"/>
  <c r="I95" i="5"/>
  <c r="J88" i="5"/>
  <c r="H133" i="5"/>
  <c r="H138" i="5" s="1"/>
  <c r="I94" i="5"/>
  <c r="H102" i="5"/>
  <c r="H99" i="5"/>
  <c r="G6" i="2"/>
  <c r="G14" i="2" s="1"/>
  <c r="G139" i="5"/>
  <c r="I11" i="13" l="1"/>
  <c r="I131" i="5"/>
  <c r="H103" i="5"/>
  <c r="H135" i="5"/>
  <c r="I130" i="5"/>
  <c r="I97" i="5"/>
  <c r="J92" i="5"/>
  <c r="J124" i="5"/>
  <c r="H13" i="3"/>
  <c r="H8" i="4"/>
  <c r="H6" i="2" l="1"/>
  <c r="H14" i="2" s="1"/>
  <c r="H139" i="5"/>
  <c r="I133" i="5"/>
  <c r="I138" i="5" s="1"/>
  <c r="I102" i="5"/>
  <c r="I99" i="5"/>
  <c r="J94" i="5"/>
  <c r="I13" i="13"/>
  <c r="I25" i="13" s="1"/>
  <c r="I29" i="13" s="1"/>
  <c r="I12" i="3" s="1"/>
  <c r="I137" i="5"/>
  <c r="K88" i="5"/>
  <c r="J95" i="5"/>
  <c r="J128" i="5"/>
  <c r="I13" i="3" l="1"/>
  <c r="I8" i="4"/>
  <c r="J11" i="13"/>
  <c r="J131" i="5"/>
  <c r="J13" i="13" s="1"/>
  <c r="J25" i="13" s="1"/>
  <c r="J29" i="13" s="1"/>
  <c r="J12" i="3" s="1"/>
  <c r="J130" i="5"/>
  <c r="J97" i="5"/>
  <c r="K124" i="5"/>
  <c r="K92" i="5"/>
  <c r="I103" i="5"/>
  <c r="I135" i="5"/>
  <c r="I139" i="5" l="1"/>
  <c r="I6" i="2"/>
  <c r="I14" i="2" s="1"/>
  <c r="J133" i="5"/>
  <c r="J138" i="5" s="1"/>
  <c r="K94" i="5"/>
  <c r="J99" i="5"/>
  <c r="J102" i="5"/>
  <c r="K95" i="5"/>
  <c r="K128" i="5"/>
  <c r="J8" i="4"/>
  <c r="J13" i="3"/>
  <c r="J137" i="5"/>
  <c r="K130" i="5" l="1"/>
  <c r="K97" i="5"/>
  <c r="K131" i="5"/>
  <c r="K13" i="13" s="1"/>
  <c r="K25" i="13" s="1"/>
  <c r="K29" i="13" s="1"/>
  <c r="K12" i="3" s="1"/>
  <c r="K11" i="13"/>
  <c r="J135" i="5"/>
  <c r="J103" i="5"/>
  <c r="K13" i="3" l="1"/>
  <c r="K8" i="4"/>
  <c r="K133" i="5"/>
  <c r="K138" i="5" s="1"/>
  <c r="K99" i="5"/>
  <c r="K102" i="5"/>
  <c r="J139" i="5"/>
  <c r="J6" i="2"/>
  <c r="J14" i="2" s="1"/>
  <c r="K137" i="5"/>
  <c r="K135" i="5" l="1"/>
  <c r="K103" i="5"/>
  <c r="D33" i="15"/>
  <c r="C33" i="15"/>
  <c r="F33" i="15"/>
  <c r="G33" i="15" s="1"/>
  <c r="H33" i="15" s="1"/>
  <c r="E33" i="15"/>
  <c r="E34" i="15" s="1"/>
  <c r="E137" i="9" s="1"/>
  <c r="K6" i="2" l="1"/>
  <c r="K14" i="2" s="1"/>
  <c r="K139" i="5"/>
  <c r="D34" i="15"/>
  <c r="D137" i="9" s="1"/>
  <c r="F34" i="15"/>
  <c r="F137" i="9" s="1"/>
  <c r="I33" i="15"/>
  <c r="H22" i="15"/>
  <c r="H18" i="15" s="1"/>
  <c r="H19" i="15" s="1"/>
  <c r="H16" i="3" s="1"/>
  <c r="G22" i="15"/>
  <c r="G18" i="15" s="1"/>
  <c r="G19" i="15" s="1"/>
  <c r="G16" i="3" s="1"/>
  <c r="H17" i="3" l="1"/>
  <c r="H6" i="4" s="1"/>
  <c r="H13" i="4"/>
  <c r="H37" i="4"/>
  <c r="H41" i="4" s="1"/>
  <c r="H7" i="17" s="1"/>
  <c r="G17" i="3"/>
  <c r="G6" i="4" s="1"/>
  <c r="G13" i="4"/>
  <c r="G37" i="4"/>
  <c r="G41" i="4" s="1"/>
  <c r="G7" i="17" s="1"/>
  <c r="J33" i="15"/>
  <c r="I22" i="15"/>
  <c r="I18" i="15" s="1"/>
  <c r="I19" i="15" s="1"/>
  <c r="I16" i="3" s="1"/>
  <c r="H55" i="12" l="1"/>
  <c r="H54" i="12" s="1"/>
  <c r="H18" i="3" s="1"/>
  <c r="H19" i="3" s="1"/>
  <c r="H23" i="4"/>
  <c r="G23" i="4"/>
  <c r="G55" i="12"/>
  <c r="G54" i="12" s="1"/>
  <c r="G18" i="3" s="1"/>
  <c r="G30" i="4" s="1"/>
  <c r="I17" i="3"/>
  <c r="I6" i="4" s="1"/>
  <c r="I37" i="4"/>
  <c r="I41" i="4" s="1"/>
  <c r="I7" i="17" s="1"/>
  <c r="I13" i="4"/>
  <c r="J22" i="15"/>
  <c r="J18" i="15" s="1"/>
  <c r="J19" i="15" s="1"/>
  <c r="J16" i="3" s="1"/>
  <c r="K33" i="15"/>
  <c r="K22" i="15" s="1"/>
  <c r="K18" i="15" s="1"/>
  <c r="K19" i="15" s="1"/>
  <c r="K16" i="3" s="1"/>
  <c r="H30" i="4" l="1"/>
  <c r="H31" i="4" s="1"/>
  <c r="H5" i="17" s="1"/>
  <c r="H9" i="17" s="1"/>
  <c r="H19" i="17" s="1"/>
  <c r="H21" i="17" s="1"/>
  <c r="G31" i="4"/>
  <c r="G5" i="17" s="1"/>
  <c r="G9" i="17" s="1"/>
  <c r="H34" i="3"/>
  <c r="H60" i="12"/>
  <c r="H59" i="12" s="1"/>
  <c r="H20" i="3" s="1"/>
  <c r="H52" i="4" s="1"/>
  <c r="H53" i="4" s="1"/>
  <c r="G19" i="3"/>
  <c r="G60" i="12" s="1"/>
  <c r="G59" i="12" s="1"/>
  <c r="G20" i="3" s="1"/>
  <c r="G52" i="4" s="1"/>
  <c r="G53" i="4" s="1"/>
  <c r="K17" i="3"/>
  <c r="K6" i="4" s="1"/>
  <c r="K37" i="4"/>
  <c r="K41" i="4" s="1"/>
  <c r="K13" i="4"/>
  <c r="I23" i="4"/>
  <c r="J17" i="3"/>
  <c r="J6" i="4" s="1"/>
  <c r="J37" i="4"/>
  <c r="J41" i="4" s="1"/>
  <c r="J7" i="17" s="1"/>
  <c r="J13" i="4"/>
  <c r="I55" i="12"/>
  <c r="I54" i="12" s="1"/>
  <c r="I18" i="3" s="1"/>
  <c r="I19" i="3" s="1"/>
  <c r="G19" i="17" l="1"/>
  <c r="G21" i="17" s="1"/>
  <c r="G55" i="4"/>
  <c r="G60" i="4" s="1"/>
  <c r="H56" i="4" s="1"/>
  <c r="H21" i="3"/>
  <c r="H55" i="4"/>
  <c r="K55" i="12"/>
  <c r="K54" i="12" s="1"/>
  <c r="K18" i="3" s="1"/>
  <c r="K19" i="3" s="1"/>
  <c r="I60" i="12"/>
  <c r="I59" i="12" s="1"/>
  <c r="I20" i="3" s="1"/>
  <c r="I52" i="4" s="1"/>
  <c r="I53" i="4" s="1"/>
  <c r="J23" i="4"/>
  <c r="I30" i="4"/>
  <c r="I31" i="4" s="1"/>
  <c r="G34" i="3"/>
  <c r="K7" i="17"/>
  <c r="J55" i="12"/>
  <c r="J54" i="12" s="1"/>
  <c r="J18" i="3" s="1"/>
  <c r="J19" i="3" s="1"/>
  <c r="K23" i="4"/>
  <c r="I34" i="3"/>
  <c r="H60" i="4" l="1"/>
  <c r="I56" i="4" s="1"/>
  <c r="G19" i="2"/>
  <c r="G25" i="2" s="1"/>
  <c r="G27" i="2" s="1"/>
  <c r="K30" i="4"/>
  <c r="K31" i="4" s="1"/>
  <c r="K5" i="17" s="1"/>
  <c r="K9" i="17" s="1"/>
  <c r="K19" i="17" s="1"/>
  <c r="I21" i="3"/>
  <c r="I55" i="4"/>
  <c r="J34" i="3"/>
  <c r="J60" i="12"/>
  <c r="J59" i="12" s="1"/>
  <c r="J20" i="3" s="1"/>
  <c r="J52" i="4" s="1"/>
  <c r="J53" i="4" s="1"/>
  <c r="K60" i="12"/>
  <c r="K59" i="12" s="1"/>
  <c r="K20" i="3" s="1"/>
  <c r="K52" i="4" s="1"/>
  <c r="K53" i="4" s="1"/>
  <c r="J30" i="4"/>
  <c r="J31" i="4" s="1"/>
  <c r="J5" i="17" s="1"/>
  <c r="J9" i="17" s="1"/>
  <c r="J19" i="17" s="1"/>
  <c r="J21" i="17" s="1"/>
  <c r="I5" i="17"/>
  <c r="I9" i="17" s="1"/>
  <c r="I19" i="17" s="1"/>
  <c r="I21" i="17" s="1"/>
  <c r="K34" i="3"/>
  <c r="H19" i="2" l="1"/>
  <c r="H25" i="2" s="1"/>
  <c r="H27" i="2" s="1"/>
  <c r="I60" i="4"/>
  <c r="J56" i="4" s="1"/>
  <c r="K55" i="4"/>
  <c r="J21" i="3"/>
  <c r="J55" i="4"/>
  <c r="K21" i="3"/>
  <c r="K20" i="17"/>
  <c r="K21" i="17" s="1"/>
  <c r="B23" i="17" s="1"/>
  <c r="B26" i="17" s="1"/>
  <c r="B5" i="18" s="1"/>
  <c r="G21" i="3"/>
  <c r="G32" i="2" s="1"/>
  <c r="H32" i="2" s="1"/>
  <c r="I19" i="2" l="1"/>
  <c r="I25" i="2" s="1"/>
  <c r="I27" i="2" s="1"/>
  <c r="J60" i="4"/>
  <c r="K56" i="4" s="1"/>
  <c r="K60" i="4" s="1"/>
  <c r="K19" i="2" s="1"/>
  <c r="K25" i="2" s="1"/>
  <c r="K27" i="2" s="1"/>
  <c r="H33" i="2"/>
  <c r="H35" i="2" s="1"/>
  <c r="H56" i="2" s="1"/>
  <c r="I32" i="2"/>
  <c r="G33" i="2"/>
  <c r="G35" i="2" s="1"/>
  <c r="G56" i="2" s="1"/>
  <c r="J19" i="2" l="1"/>
  <c r="J25" i="2" s="1"/>
  <c r="J27" i="2" s="1"/>
  <c r="G58" i="2"/>
  <c r="G57" i="2"/>
  <c r="J32" i="2"/>
  <c r="I33" i="2"/>
  <c r="I35" i="2" s="1"/>
  <c r="I56" i="2" s="1"/>
  <c r="H58" i="2"/>
  <c r="H57" i="2"/>
  <c r="J33" i="2" l="1"/>
  <c r="J35" i="2" s="1"/>
  <c r="J56" i="2" s="1"/>
  <c r="K32" i="2"/>
  <c r="K33" i="2" s="1"/>
  <c r="K35" i="2" s="1"/>
  <c r="K56" i="2" s="1"/>
  <c r="I57" i="2"/>
  <c r="I58" i="2"/>
  <c r="K57" i="2" l="1"/>
  <c r="K58" i="2"/>
  <c r="J58" i="2"/>
  <c r="J5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Sanidhya Ekhar</author>
    <author>Rajendra Mirashie</author>
  </authors>
  <commentList>
    <comment ref="B149" authorId="0" shapeId="0" xr:uid="{793BE571-2BC0-45BE-8463-9AB07822B43D}">
      <text>
        <r>
          <rPr>
            <b/>
            <sz val="9"/>
            <color indexed="81"/>
            <rFont val="Tahoma"/>
            <family val="2"/>
          </rPr>
          <t>Sanidhya Ekhar:</t>
        </r>
        <r>
          <rPr>
            <sz val="9"/>
            <color indexed="81"/>
            <rFont val="Tahoma"/>
            <family val="2"/>
          </rPr>
          <t xml:space="preserve">
Government Security Bond 2029 = 6.03%</t>
        </r>
      </text>
    </comment>
    <comment ref="B150" authorId="1" shapeId="0" xr:uid="{BC227643-F98E-4B58-865A-7CEDE48BB99B}">
      <text>
        <r>
          <rPr>
            <b/>
            <sz val="9"/>
            <color indexed="81"/>
            <rFont val="Tahoma"/>
            <family val="2"/>
          </rPr>
          <t xml:space="preserve">Sanidhya Ekhar:
</t>
        </r>
        <r>
          <rPr>
            <sz val="9"/>
            <color indexed="81"/>
            <rFont val="Tahoma"/>
            <family val="2"/>
          </rPr>
          <t>Source: Yahoo Finance - Beta (5 Years, monthly)</t>
        </r>
      </text>
    </comment>
    <comment ref="B151" authorId="1" shapeId="0" xr:uid="{6A18C8C2-546C-4D1D-AC9A-F02D022698A5}">
      <text>
        <r>
          <rPr>
            <b/>
            <sz val="9"/>
            <color indexed="81"/>
            <rFont val="Tahoma"/>
            <family val="2"/>
          </rPr>
          <t>Sanidhya Ekhar:</t>
        </r>
        <r>
          <rPr>
            <sz val="9"/>
            <color indexed="81"/>
            <rFont val="Tahoma"/>
            <family val="2"/>
          </rPr>
          <t xml:space="preserve">
Ashwath Damodaran NYU Stern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Rajendra Mirashie</author>
  </authors>
  <commentList>
    <comment ref="C12" authorId="0" shapeId="0" xr:uid="{DC1999F5-3288-4180-AA78-5BABB006ED6B}">
      <text>
        <r>
          <rPr>
            <b/>
            <sz val="9"/>
            <color indexed="81"/>
            <rFont val="Tahoma"/>
            <family val="2"/>
          </rPr>
          <t>Sanidhya Ekhar:</t>
        </r>
        <r>
          <rPr>
            <sz val="9"/>
            <color indexed="81"/>
            <rFont val="Tahoma"/>
            <family val="2"/>
          </rPr>
          <t xml:space="preserve">
There were 2 heads- investments , other financial assets. Which got combined after this year so combied in this year too.</t>
        </r>
      </text>
    </comment>
    <comment ref="D40" authorId="0" shapeId="0" xr:uid="{1B8D8E2F-E192-444A-ABAF-1966D3DBAE17}">
      <text>
        <r>
          <rPr>
            <b/>
            <sz val="9"/>
            <color indexed="81"/>
            <rFont val="Tahoma"/>
            <family val="2"/>
          </rPr>
          <t>Sanidhya Ekhar:</t>
        </r>
        <r>
          <rPr>
            <sz val="9"/>
            <color indexed="81"/>
            <rFont val="Tahoma"/>
            <family val="2"/>
          </rPr>
          <t xml:space="preserve">
Stated as provisions till this year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Rajendra Mirashie</author>
  </authors>
  <commentList>
    <comment ref="C9" authorId="0" shapeId="0" xr:uid="{3134B778-E11F-40E6-A88C-D8A34E063A77}">
      <text>
        <r>
          <rPr>
            <b/>
            <sz val="9"/>
            <color indexed="81"/>
            <rFont val="Tahoma"/>
            <family val="2"/>
          </rPr>
          <t>Sanidhya Ekhar:</t>
        </r>
        <r>
          <rPr>
            <sz val="9"/>
            <color indexed="81"/>
            <rFont val="Tahoma"/>
            <family val="2"/>
          </rPr>
          <t xml:space="preserve">
Added :Allowance for expected credit loss / provision for doubtful
advances no longer required written back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Rajendra Mirashie</author>
  </authors>
  <commentList>
    <comment ref="C14" authorId="0" shapeId="0" xr:uid="{05CDED12-A5FC-46B7-BC71-4549C02BF229}">
      <text>
        <r>
          <rPr>
            <b/>
            <sz val="9"/>
            <color indexed="81"/>
            <rFont val="Tahoma"/>
            <family val="2"/>
          </rPr>
          <t xml:space="preserve">Sanidhya Ekhar:
</t>
        </r>
        <r>
          <rPr>
            <sz val="9"/>
            <color indexed="81"/>
            <rFont val="Tahoma"/>
            <family val="2"/>
          </rPr>
          <t>Includes revenue from publications which is discontinued after this year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Rajendra Mirashie</author>
  </authors>
  <commentList>
    <comment ref="C27" authorId="0" shapeId="0" xr:uid="{DC8E60FD-E6D3-492F-B99F-1C8700750A9E}">
      <text>
        <r>
          <rPr>
            <b/>
            <sz val="9"/>
            <color indexed="81"/>
            <rFont val="Tahoma"/>
            <family val="2"/>
          </rPr>
          <t xml:space="preserve">Sanidhya Ekhar:
</t>
        </r>
        <r>
          <rPr>
            <sz val="9"/>
            <color indexed="81"/>
            <rFont val="Tahoma"/>
            <family val="2"/>
          </rPr>
          <t>Not applicable, as all Non-Executive
Directors/ Independent Directors receive remuneration in the form of sitting fees, and the Managing Director's compensation is included in the Key Management Personnel (KMP)</t>
        </r>
      </text>
    </comment>
    <comment ref="D27" authorId="0" shapeId="0" xr:uid="{3DBD8A28-ABBC-4607-B83A-95D74041B8E5}">
      <text>
        <r>
          <rPr>
            <b/>
            <sz val="9"/>
            <color indexed="81"/>
            <rFont val="Tahoma"/>
            <family val="2"/>
          </rPr>
          <t xml:space="preserve">Sanidhya Ekhar:
</t>
        </r>
        <r>
          <rPr>
            <sz val="9"/>
            <color indexed="81"/>
            <rFont val="Tahoma"/>
            <family val="2"/>
          </rPr>
          <t>Not applicable, as all Non-Executive
Directors/ Independent Directors receive remuneration in the form of sitting fees, and the Managing Director's compensation is included in the Key Management Personnel (KMP)</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Sanidhya Ekhar</author>
  </authors>
  <commentList>
    <comment ref="A165" authorId="0" shapeId="0" xr:uid="{8D6CBE25-7FFA-4E91-9B90-3AF3EF5F8FE9}">
      <text>
        <r>
          <rPr>
            <b/>
            <sz val="9"/>
            <color indexed="81"/>
            <rFont val="Tahoma"/>
            <family val="2"/>
          </rPr>
          <t>Sanidhya Ekhar:</t>
        </r>
        <r>
          <rPr>
            <sz val="9"/>
            <color indexed="81"/>
            <rFont val="Tahoma"/>
            <family val="2"/>
          </rPr>
          <t xml:space="preserve">
Cost of software includes license
fees and cost of implementation/system integration services</t>
        </r>
      </text>
    </comment>
    <comment ref="K194" authorId="0" shapeId="0" xr:uid="{6D14CF10-C4A8-46DB-8770-7702420F76C9}">
      <text>
        <r>
          <rPr>
            <b/>
            <sz val="9"/>
            <color indexed="81"/>
            <rFont val="Tahoma"/>
            <family val="2"/>
          </rPr>
          <t>Sanidhya Ekhar:</t>
        </r>
        <r>
          <rPr>
            <sz val="9"/>
            <color indexed="81"/>
            <rFont val="Tahoma"/>
            <family val="2"/>
          </rPr>
          <t xml:space="preserve">
Asset value cannot be negative so 0 depreciation.</t>
        </r>
      </text>
    </comment>
    <comment ref="A304" authorId="0" shapeId="0" xr:uid="{90503719-E953-4F29-868C-12F10457104E}">
      <text>
        <r>
          <rPr>
            <b/>
            <sz val="9"/>
            <color indexed="81"/>
            <rFont val="Tahoma"/>
            <family val="2"/>
          </rPr>
          <t>Sanidhya Ekhar:</t>
        </r>
        <r>
          <rPr>
            <sz val="9"/>
            <color indexed="81"/>
            <rFont val="Tahoma"/>
            <family val="2"/>
          </rPr>
          <t xml:space="preserve">
Comprises a number of residential properties that are leased to third parties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Rajendra Mirashie</author>
  </authors>
  <commentList>
    <comment ref="F24" authorId="0" shapeId="0" xr:uid="{5CD64346-B9D3-49CE-8654-D90C1CAF221A}">
      <text>
        <r>
          <rPr>
            <b/>
            <sz val="9"/>
            <color indexed="81"/>
            <rFont val="Tahoma"/>
            <family val="2"/>
          </rPr>
          <t xml:space="preserve">Sanidhya Ekhar:
</t>
        </r>
        <r>
          <rPr>
            <sz val="9"/>
            <color indexed="81"/>
            <rFont val="Tahoma"/>
            <family val="2"/>
          </rPr>
          <t>Does not match with figure in Cash Flow statement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Rajendra Mirashie</author>
  </authors>
  <commentList>
    <comment ref="G33" authorId="0" shapeId="0" xr:uid="{F90D5BC7-16B3-44C3-B769-3DE14AA22B08}">
      <text>
        <r>
          <rPr>
            <b/>
            <sz val="9"/>
            <color indexed="81"/>
            <rFont val="Tahoma"/>
            <family val="2"/>
          </rPr>
          <t xml:space="preserve">Sanidhya Ekhar:
</t>
        </r>
        <r>
          <rPr>
            <sz val="9"/>
            <color indexed="81"/>
            <rFont val="Tahoma"/>
            <family val="2"/>
          </rPr>
          <t>Circular Loop solved by : Last year balance - Capex for the year+EBIDTA</t>
        </r>
      </text>
    </comment>
  </commentList>
</comments>
</file>

<file path=xl/sharedStrings.xml><?xml version="1.0" encoding="utf-8"?>
<sst xmlns="http://schemas.openxmlformats.org/spreadsheetml/2006/main" count="1060" uniqueCount="481">
  <si>
    <t xml:space="preserve">Sheet Name </t>
  </si>
  <si>
    <t>Figures in Lakhs ,expect otherwise stated</t>
  </si>
  <si>
    <t>Particular/Years</t>
  </si>
  <si>
    <t>Comments</t>
  </si>
  <si>
    <t>2021-22 A</t>
  </si>
  <si>
    <t>2022-23 A</t>
  </si>
  <si>
    <t>2023-24 A</t>
  </si>
  <si>
    <t>2024-25 A</t>
  </si>
  <si>
    <t>2025-26 E</t>
  </si>
  <si>
    <t>2026-27 E</t>
  </si>
  <si>
    <t>2027-28 E</t>
  </si>
  <si>
    <t>2028-29 E</t>
  </si>
  <si>
    <t>2029-30 E</t>
  </si>
  <si>
    <t>ASSETS</t>
  </si>
  <si>
    <t>Non-current assets</t>
  </si>
  <si>
    <t>Property, plant and equipment</t>
  </si>
  <si>
    <t>Right-of-use assets</t>
  </si>
  <si>
    <t>Investment property</t>
  </si>
  <si>
    <t>Intangible assets</t>
  </si>
  <si>
    <t>Intangible assets under development</t>
  </si>
  <si>
    <t>Investment accounted using equity method</t>
  </si>
  <si>
    <t>Other financial assets</t>
  </si>
  <si>
    <t>Other non-current assets</t>
  </si>
  <si>
    <t>Total non-current assets</t>
  </si>
  <si>
    <t>Current assets</t>
  </si>
  <si>
    <t>Inventories</t>
  </si>
  <si>
    <t>Investments</t>
  </si>
  <si>
    <t>Trade receivables</t>
  </si>
  <si>
    <t>Cash and cash equivalents</t>
  </si>
  <si>
    <t>Bank balances (other than cash)</t>
  </si>
  <si>
    <t>Loans</t>
  </si>
  <si>
    <t>Current tax assets (net)</t>
  </si>
  <si>
    <t>Other current assets</t>
  </si>
  <si>
    <t>Total current assets</t>
  </si>
  <si>
    <t>TOTAL ASSETS</t>
  </si>
  <si>
    <t>EQUITY AND LIABILITIES</t>
  </si>
  <si>
    <t>Equity</t>
  </si>
  <si>
    <t>Equity share capital</t>
  </si>
  <si>
    <t>Other equity</t>
  </si>
  <si>
    <t>Equity attributable to owners</t>
  </si>
  <si>
    <t>Non-controlling interest</t>
  </si>
  <si>
    <t>Total equity</t>
  </si>
  <si>
    <t>Non-current liabilities</t>
  </si>
  <si>
    <t>Lease liabilities</t>
  </si>
  <si>
    <t>Other financial liabilities</t>
  </si>
  <si>
    <t>Provisions</t>
  </si>
  <si>
    <t>Deferred tax liabilities (net)</t>
  </si>
  <si>
    <t>Total non-current liabilities</t>
  </si>
  <si>
    <t>Current liabilities</t>
  </si>
  <si>
    <t>Borrowings</t>
  </si>
  <si>
    <t>Other current liabilities</t>
  </si>
  <si>
    <t>Current tax liabilities (net)</t>
  </si>
  <si>
    <t>Total current liabilities</t>
  </si>
  <si>
    <t>TOTAL LIABILITIES</t>
  </si>
  <si>
    <t>TOTAL EQUITY AND LIABILITIES</t>
  </si>
  <si>
    <t>Income Statement</t>
  </si>
  <si>
    <t>Balance Sheet</t>
  </si>
  <si>
    <t>Employee benefits expense</t>
  </si>
  <si>
    <t>Finance costs</t>
  </si>
  <si>
    <t>Depreciation and amortisation expense</t>
  </si>
  <si>
    <t>Other expenses</t>
  </si>
  <si>
    <t>Items that will be reclassified to profit or loss:</t>
  </si>
  <si>
    <t>(a) Exchange differences on translation of foreign operations</t>
  </si>
  <si>
    <t>Items that will not be reclassified subsequently to profit or loss:</t>
  </si>
  <si>
    <t>(a) Remeasurements of post-employment benefit obligations</t>
  </si>
  <si>
    <t>(b) Changes in fair value of equity instruments designated at FVOCI</t>
  </si>
  <si>
    <t>(c) Revaluation gains relating to property, plant and equipment</t>
  </si>
  <si>
    <t>Cash Flow Statement</t>
  </si>
  <si>
    <t>A. CASH FLOW FROM OPERATING ACTIVITIES</t>
  </si>
  <si>
    <t>Profit Before Tax</t>
  </si>
  <si>
    <t>Adjustments for:</t>
  </si>
  <si>
    <t>Liabilities/Provisions no longer required written back</t>
  </si>
  <si>
    <t>Intangible assets under development written off</t>
  </si>
  <si>
    <t>Interest income</t>
  </si>
  <si>
    <t>Share based payment expense</t>
  </si>
  <si>
    <t>Bad debts/advances written off</t>
  </si>
  <si>
    <t>Loss on disposal of Property, plant and equipment</t>
  </si>
  <si>
    <t>Profit on sale of Property, plant and equipment</t>
  </si>
  <si>
    <t>Profit on sale of Investment in Mutual Fund</t>
  </si>
  <si>
    <t>Fair value gain on Mutual fund at FVTPL</t>
  </si>
  <si>
    <t>Net Loss on foreign currency transactions/translation</t>
  </si>
  <si>
    <t>Exceptional Item</t>
  </si>
  <si>
    <t>Operating profit before Working Capital Changes</t>
  </si>
  <si>
    <t>Changes in working capital</t>
  </si>
  <si>
    <t>Increase in Trade payables</t>
  </si>
  <si>
    <t>Decrease in Trade receivables</t>
  </si>
  <si>
    <t>(Increase) in Inventories</t>
  </si>
  <si>
    <t>Income taxes paid (net of refund)</t>
  </si>
  <si>
    <t>Net cash generated from Operating Activities</t>
  </si>
  <si>
    <t>B. CASH FLOW FROM INVESTING ACTIVITIES</t>
  </si>
  <si>
    <t>Purchase of Property, plant and equipment and intangible assets</t>
  </si>
  <si>
    <t>Sale of Property, plant and equipment</t>
  </si>
  <si>
    <t>Consideration paid for business combination</t>
  </si>
  <si>
    <t>Interest received</t>
  </si>
  <si>
    <t>Investment in Mutual funds</t>
  </si>
  <si>
    <t>Fixed deposits (placed)/matured with banks (with maturity more than 3 months)</t>
  </si>
  <si>
    <t>Proceeds from sale of Investment in Mutual funds</t>
  </si>
  <si>
    <t>Net cash used in Investing Activities</t>
  </si>
  <si>
    <t>C. CASH FLOW FROM FINANCING ACTIVITIES</t>
  </si>
  <si>
    <t>Proceeds from Short term borrowings</t>
  </si>
  <si>
    <t>Repayment of Short term borrowing</t>
  </si>
  <si>
    <t>Purchase of Investment by Saregama Welfare Trust</t>
  </si>
  <si>
    <t>Repayment of principal payment of lease liability</t>
  </si>
  <si>
    <t>Interest paid on leased liability</t>
  </si>
  <si>
    <t>Interest paid</t>
  </si>
  <si>
    <t>Net cash generated from Financing Activities</t>
  </si>
  <si>
    <t>Net decrease in cash and cash equivalents (A+B+C)</t>
  </si>
  <si>
    <t>Add: Acquisition through Business Combination</t>
  </si>
  <si>
    <t>Effect of exchange rate on translation of foreign currency cash and cash equivalents</t>
  </si>
  <si>
    <t>Dividend income from equity investments designated at FVOCI</t>
  </si>
  <si>
    <t>Allowance for expected credit loss  / provision for  doubtful advances</t>
  </si>
  <si>
    <t>Proceeds from issue of shares</t>
  </si>
  <si>
    <t>Share premium received on issue of shares</t>
  </si>
  <si>
    <t xml:space="preserve">Capex Schedule </t>
  </si>
  <si>
    <t>Land - Freehold</t>
  </si>
  <si>
    <t xml:space="preserve">Opening Gross Carrying Amount </t>
  </si>
  <si>
    <t xml:space="preserve">Acquisition through buisness combination </t>
  </si>
  <si>
    <t xml:space="preserve">Addition </t>
  </si>
  <si>
    <t xml:space="preserve">Deletion </t>
  </si>
  <si>
    <t xml:space="preserve">Closing Gross Carrying Amount </t>
  </si>
  <si>
    <t xml:space="preserve">Opening Accumulated Depriciation </t>
  </si>
  <si>
    <t>Depriciation for the year</t>
  </si>
  <si>
    <t xml:space="preserve">Deduction Adjustment </t>
  </si>
  <si>
    <t>Closing Accumulated Depriciation</t>
  </si>
  <si>
    <t xml:space="preserve">Net Block Carrying Amount </t>
  </si>
  <si>
    <t>Buildings - Freehold</t>
  </si>
  <si>
    <t xml:space="preserve">Buildings </t>
  </si>
  <si>
    <t xml:space="preserve">Plant and Equipment </t>
  </si>
  <si>
    <t>Furniture and Fixtures</t>
  </si>
  <si>
    <t xml:space="preserve">Office Equipment </t>
  </si>
  <si>
    <t>Vehicles</t>
  </si>
  <si>
    <t xml:space="preserve">Intangible Assets </t>
  </si>
  <si>
    <t>Copywrite - Music</t>
  </si>
  <si>
    <t>Opening Accumulated Amortisation</t>
  </si>
  <si>
    <t>Opening Impairement for the year</t>
  </si>
  <si>
    <t>Amortisation for the year</t>
  </si>
  <si>
    <t>Impairment/Reversal for the year</t>
  </si>
  <si>
    <t>Closing Accumulated Amortisation</t>
  </si>
  <si>
    <t>Computer Software</t>
  </si>
  <si>
    <t xml:space="preserve">Online Platform Rights </t>
  </si>
  <si>
    <t>Brand - Filter Copy</t>
  </si>
  <si>
    <t>Customer Relationship - Filter Copy</t>
  </si>
  <si>
    <t>Customer Relationship - Clout</t>
  </si>
  <si>
    <t xml:space="preserve">Artist Management </t>
  </si>
  <si>
    <t>Clout -</t>
  </si>
  <si>
    <t>1.artiste and influencer management division of Pocket Aces, has emerged as a leading force in the digital entertainment ecosystem</t>
  </si>
  <si>
    <r>
      <t xml:space="preserve">2.Clout operates on a </t>
    </r>
    <r>
      <rPr>
        <b/>
        <sz val="11"/>
        <color theme="1"/>
        <rFont val="Aptos Narrow"/>
        <family val="2"/>
        <scheme val="minor"/>
      </rPr>
      <t>commission based model</t>
    </r>
    <r>
      <rPr>
        <sz val="11"/>
        <color theme="1"/>
        <rFont val="Aptos Narrow"/>
        <family val="2"/>
        <scheme val="minor"/>
      </rPr>
      <t xml:space="preserve"> during the exclusivity period, ensuring transparency and fostering shared value creation for both talent and partners</t>
    </r>
  </si>
  <si>
    <t>3.100% growth since FY 2023-24</t>
  </si>
  <si>
    <t>Saregama’s Talent and Exclusive Artiste</t>
  </si>
  <si>
    <t>1.Dedicated vertical focussed on identifying, nurturing, and scaling emerging musical talents. This initiative showcases new artistes through music releases, offering them a launchpad to reach wider audiences.</t>
  </si>
  <si>
    <r>
      <t xml:space="preserve">2.Under an agreed </t>
    </r>
    <r>
      <rPr>
        <b/>
        <sz val="11"/>
        <color theme="1"/>
        <rFont val="Aptos Narrow"/>
        <family val="2"/>
        <scheme val="minor"/>
      </rPr>
      <t>revenue-sharing model</t>
    </r>
    <r>
      <rPr>
        <sz val="11"/>
        <color theme="1"/>
        <rFont val="Aptos Narrow"/>
        <family val="2"/>
        <scheme val="minor"/>
      </rPr>
      <t>, Saregama earns a percentage of the artiste’s income during the exclusivity period, aligning the Company’s success directly with the artiste’s career growth.</t>
    </r>
  </si>
  <si>
    <t>1.produces a diverse slate of regionally driven content, expanding Saregama’s footprint across theatrical, digital, and satellite platforms</t>
  </si>
  <si>
    <r>
      <t xml:space="preserve">2.In addition to </t>
    </r>
    <r>
      <rPr>
        <b/>
        <sz val="11"/>
        <color theme="1"/>
        <rFont val="Aptos Narrow"/>
        <family val="2"/>
        <scheme val="minor"/>
      </rPr>
      <t>theatrical revenues, films are licensed to digital platforms and TV channels through fixed-fee, period-based agreements, ensuring upfront revenue</t>
    </r>
    <r>
      <rPr>
        <sz val="11"/>
        <color theme="1"/>
        <rFont val="Aptos Narrow"/>
        <family val="2"/>
        <scheme val="minor"/>
      </rPr>
      <t xml:space="preserve"> while fully retaining IP ownership for future monetisation cycles. This ensures upfront guaranteed revenue while preserving full ownership of IP assets, allowing Saregama to monetise content across multiple life cycles and formats.</t>
    </r>
  </si>
  <si>
    <t>Film - Yodell</t>
  </si>
  <si>
    <t>Digital Series - Dice</t>
  </si>
  <si>
    <t xml:space="preserve">TV- </t>
  </si>
  <si>
    <t>1.Saregama is a leading TV series content producer with a dominant presence in South Indian language programming, while also maintaining a footprint on National GECs</t>
  </si>
  <si>
    <t xml:space="preserve">Short Fomat- Filter Copy </t>
  </si>
  <si>
    <r>
      <t xml:space="preserve">2. Our primary revenue stream is the sale of commercial time (advertising slots) during TV broadcast. This is complemented by secondary revenues from </t>
    </r>
    <r>
      <rPr>
        <b/>
        <sz val="11"/>
        <color theme="1"/>
        <rFont val="Aptos Narrow"/>
        <family val="2"/>
        <scheme val="minor"/>
      </rPr>
      <t xml:space="preserve">language remakes, platform licensing, and global syndication. </t>
    </r>
  </si>
  <si>
    <r>
      <t xml:space="preserve">1.Monetisation primarily comes from </t>
    </r>
    <r>
      <rPr>
        <b/>
        <sz val="11"/>
        <color theme="1"/>
        <rFont val="Aptos Narrow"/>
        <family val="2"/>
        <scheme val="minor"/>
      </rPr>
      <t>brand integrations</t>
    </r>
    <r>
      <rPr>
        <sz val="11"/>
        <color theme="1"/>
        <rFont val="Aptos Narrow"/>
        <family val="2"/>
        <scheme val="minor"/>
      </rPr>
      <t xml:space="preserve"> embedded within the content and </t>
    </r>
    <r>
      <rPr>
        <b/>
        <sz val="11"/>
        <color theme="1"/>
        <rFont val="Aptos Narrow"/>
        <family val="2"/>
        <scheme val="minor"/>
      </rPr>
      <t>ad revenue</t>
    </r>
    <r>
      <rPr>
        <sz val="11"/>
        <color theme="1"/>
        <rFont val="Aptos Narrow"/>
        <family val="2"/>
        <scheme val="minor"/>
      </rPr>
      <t xml:space="preserve"> from the hosting platforms. </t>
    </r>
  </si>
  <si>
    <t>Way forward</t>
  </si>
  <si>
    <t>More focus on events segment - Our ability to leverage our strong artiste partnerships, curate differentiated experiential formats and drive cross-platform promotion gives us a competitive advantage in this evolving landscape. Our live events strategy is focussed on expanding our presence across Tier 2 and 3 cities, creating culturally resonant IP properties, and exploring international markets with growing Indian diaspora audiences.</t>
  </si>
  <si>
    <t>Our 10,000 Mn content investment roadmap is already underway with over. 5,250 Mn secured. A five-year payback model ensures long-term monetisation across verticals.</t>
  </si>
  <si>
    <t>Capital Allocation strategy</t>
  </si>
  <si>
    <r>
      <t xml:space="preserve">Music Segment - We </t>
    </r>
    <r>
      <rPr>
        <b/>
        <sz val="11"/>
        <color theme="1"/>
        <rFont val="Aptos Narrow"/>
        <family val="2"/>
        <scheme val="minor"/>
      </rPr>
      <t>continue to reinvest</t>
    </r>
    <r>
      <rPr>
        <sz val="11"/>
        <color theme="1"/>
        <rFont val="Aptos Narrow"/>
        <family val="2"/>
        <scheme val="minor"/>
      </rPr>
      <t xml:space="preserve"> internal accruals to expand our music IP portfolio, prioritising high-growth opportunities across new genres, languages, and contemporary formats that align with evolving audience preferences.</t>
    </r>
  </si>
  <si>
    <r>
      <t xml:space="preserve">Retail- Our retail capital allocation strategy remains stable. The </t>
    </r>
    <r>
      <rPr>
        <b/>
        <sz val="11"/>
        <color theme="1"/>
        <rFont val="Aptos Narrow"/>
        <family val="2"/>
        <scheme val="minor"/>
      </rPr>
      <t>current level of investment is sufficient</t>
    </r>
    <r>
      <rPr>
        <sz val="11"/>
        <color theme="1"/>
        <rFont val="Aptos Narrow"/>
        <family val="2"/>
        <scheme val="minor"/>
      </rPr>
      <t xml:space="preserve"> to sustain operations, support brand positioning, and drive selective innovations around the Carvaan platform.</t>
    </r>
  </si>
  <si>
    <t>Video Business - The capital deployed in this vertical is carefully aligned with targeted growth initiatives across regional cinema, web series, and direct-to-digital releases.</t>
  </si>
  <si>
    <t>We consistently allocate surplus funds to safe investment instruments such as bank fixed deposits and secure mutual funds to preserve capital, manage risk, and ensure liquidity.</t>
  </si>
  <si>
    <t>Inventory turnover ratio is higher due to increase in investment in music content and higher number of digital films under production.</t>
  </si>
  <si>
    <t>No other Director of the Company other than the Managing Director of the Company received any remuneration other than sitting fees during the FY 2024-25.</t>
  </si>
  <si>
    <t>Average percentage increase made in the salaries of employees other than the managerial personnel in the FY 2024-25 was 14.79% whereas the increase in the managerial remuneration for the same Financial Year was 19.01%</t>
  </si>
  <si>
    <t>The Company derives its revenues from the sale of contractually manufactured products; licensing of music rights and income from events, films and television serials</t>
  </si>
  <si>
    <t xml:space="preserve">Concall </t>
  </si>
  <si>
    <t xml:space="preserve">1.we have also taken the impact on account of the new Labour Code of around INR 7 crores, which is a one-time non-cash exceptional item. </t>
  </si>
  <si>
    <t xml:space="preserve">2.Overall, our spend for the new content this year will be in the space at INR 275 crores to INR 300 crores. </t>
  </si>
  <si>
    <t>4.We continue with the guidance of a 5-year payback period for all new music content that we're acquiring. And after that, another 55 to 75 years of returns on the same music</t>
  </si>
  <si>
    <t>6.We continue with our guidance of 21% to 23% growth in the medium to long term in music segment and an annual adjusted EBITDA guidance of 32% to 33%</t>
  </si>
  <si>
    <r>
      <t xml:space="preserve">7.So, you will have a </t>
    </r>
    <r>
      <rPr>
        <b/>
        <sz val="11"/>
        <color theme="1"/>
        <rFont val="Aptos Narrow"/>
        <family val="2"/>
        <scheme val="minor"/>
      </rPr>
      <t>breakeven year</t>
    </r>
    <r>
      <rPr>
        <sz val="11"/>
        <color theme="1"/>
        <rFont val="Aptos Narrow"/>
        <family val="2"/>
        <scheme val="minor"/>
      </rPr>
      <t xml:space="preserve"> going there. Post that, I am expecting right now that the </t>
    </r>
    <r>
      <rPr>
        <b/>
        <sz val="11"/>
        <color theme="1"/>
        <rFont val="Aptos Narrow"/>
        <family val="2"/>
        <scheme val="minor"/>
      </rPr>
      <t>Pocket Aces</t>
    </r>
    <r>
      <rPr>
        <sz val="11"/>
        <color theme="1"/>
        <rFont val="Aptos Narrow"/>
        <family val="2"/>
        <scheme val="minor"/>
      </rPr>
      <t xml:space="preserve"> part of the business, which is a combination of artist management and some amount of video content should be growing at a</t>
    </r>
    <r>
      <rPr>
        <b/>
        <sz val="11"/>
        <color theme="1"/>
        <rFont val="Aptos Narrow"/>
        <family val="2"/>
        <scheme val="minor"/>
      </rPr>
      <t xml:space="preserve"> 25% CAGR.</t>
    </r>
  </si>
  <si>
    <t>8.Over the last 1 year, we have brought down Carvaan dramatically. We are now bringing down films business dramatically, but live events business is going up.</t>
  </si>
  <si>
    <r>
      <t>11.I said this in my opening statement that what we are</t>
    </r>
    <r>
      <rPr>
        <b/>
        <sz val="11"/>
        <color theme="1"/>
        <rFont val="Aptos Narrow"/>
        <family val="2"/>
        <scheme val="minor"/>
      </rPr>
      <t xml:space="preserve"> winding down is our films business</t>
    </r>
    <r>
      <rPr>
        <sz val="11"/>
        <color theme="1"/>
        <rFont val="Aptos Narrow"/>
        <family val="2"/>
        <scheme val="minor"/>
      </rPr>
      <t>, but we will continue with a focus on the video side on short-format content, which goes under FilterCopy and medium-sized content, which goes on as web series or TV
series. That part of the business is a stable part of the business, profitable part of the business
that will continue</t>
    </r>
  </si>
  <si>
    <r>
      <t xml:space="preserve">3.company made a strategic investment in </t>
    </r>
    <r>
      <rPr>
        <b/>
        <sz val="11"/>
        <color theme="1"/>
        <rFont val="Aptos Narrow"/>
        <family val="2"/>
        <scheme val="minor"/>
      </rPr>
      <t>Bhansali Productions</t>
    </r>
    <r>
      <rPr>
        <sz val="11"/>
        <color theme="1"/>
        <rFont val="Aptos Narrow"/>
        <family val="2"/>
        <scheme val="minor"/>
      </rPr>
      <t xml:space="preserve"> through a significant minority ownership, with valuation that is linked to the financial performance of Bhansali Productions over the next 3 years</t>
    </r>
  </si>
  <si>
    <t>12.Regarding your last point on the majority stake, do we want to go out there and take or not? That's a call Board will be taking at the end of the 3 years. We have the right, not the obligation, to go out there and do that.</t>
  </si>
  <si>
    <t>13.. If anything, subscription is going to be ensuring as subscription goes up, that the yield per view or a stream is going to go up</t>
  </si>
  <si>
    <r>
      <t>14.So around</t>
    </r>
    <r>
      <rPr>
        <b/>
        <sz val="11"/>
        <color theme="1"/>
        <rFont val="Aptos Narrow"/>
        <family val="2"/>
        <scheme val="minor"/>
      </rPr>
      <t xml:space="preserve"> 56%</t>
    </r>
    <r>
      <rPr>
        <sz val="11"/>
        <color theme="1"/>
        <rFont val="Aptos Narrow"/>
        <family val="2"/>
        <scheme val="minor"/>
      </rPr>
      <t xml:space="preserve"> of all the revenue that we have made in financial year '25 actually came from music that was released in </t>
    </r>
    <r>
      <rPr>
        <b/>
        <sz val="11"/>
        <color theme="1"/>
        <rFont val="Aptos Narrow"/>
        <family val="2"/>
        <scheme val="minor"/>
      </rPr>
      <t>21st century</t>
    </r>
    <r>
      <rPr>
        <sz val="11"/>
        <color theme="1"/>
        <rFont val="Aptos Narrow"/>
        <family val="2"/>
        <scheme val="minor"/>
      </rPr>
      <t xml:space="preserve"> and</t>
    </r>
    <r>
      <rPr>
        <b/>
        <sz val="11"/>
        <color theme="1"/>
        <rFont val="Aptos Narrow"/>
        <family val="2"/>
        <scheme val="minor"/>
      </rPr>
      <t xml:space="preserve"> 44%</t>
    </r>
    <r>
      <rPr>
        <sz val="11"/>
        <color theme="1"/>
        <rFont val="Aptos Narrow"/>
        <family val="2"/>
        <scheme val="minor"/>
      </rPr>
      <t xml:space="preserve"> of the stuff came right now from our older catalogue, which is the </t>
    </r>
    <r>
      <rPr>
        <b/>
        <sz val="11"/>
        <color theme="1"/>
        <rFont val="Aptos Narrow"/>
        <family val="2"/>
        <scheme val="minor"/>
      </rPr>
      <t>20th century</t>
    </r>
    <r>
      <rPr>
        <sz val="11"/>
        <color theme="1"/>
        <rFont val="Aptos Narrow"/>
        <family val="2"/>
        <scheme val="minor"/>
      </rPr>
      <t xml:space="preserve"> catalogue,
Kishore Da, Rafi Sahab, Lata Didi, that kind of a part</t>
    </r>
  </si>
  <si>
    <r>
      <t xml:space="preserve">15.The industry grows at </t>
    </r>
    <r>
      <rPr>
        <b/>
        <sz val="11"/>
        <color theme="1"/>
        <rFont val="Aptos Narrow"/>
        <family val="2"/>
        <scheme val="minor"/>
      </rPr>
      <t xml:space="preserve">6% to 8%. So the older content will continue growing at that particular pace </t>
    </r>
    <r>
      <rPr>
        <sz val="11"/>
        <color theme="1"/>
        <rFont val="Aptos Narrow"/>
        <family val="2"/>
        <scheme val="minor"/>
      </rPr>
      <t>and remaining growth is going to come because of the newer content investments that we people are making.</t>
    </r>
  </si>
  <si>
    <r>
      <t xml:space="preserve">5. Music segment Y-o-Y growth -This year, the number may be closer to </t>
    </r>
    <r>
      <rPr>
        <b/>
        <sz val="11"/>
        <color theme="1"/>
        <rFont val="Aptos Narrow"/>
        <family val="2"/>
        <scheme val="minor"/>
      </rPr>
      <t>18%, 19%,</t>
    </r>
    <r>
      <rPr>
        <sz val="11"/>
        <color theme="1"/>
        <rFont val="Aptos Narrow"/>
        <family val="2"/>
        <scheme val="minor"/>
      </rPr>
      <t xml:space="preserve"> but next year onwards, we should be back to </t>
    </r>
    <r>
      <rPr>
        <b/>
        <sz val="11"/>
        <color theme="1"/>
        <rFont val="Aptos Narrow"/>
        <family val="2"/>
        <scheme val="minor"/>
      </rPr>
      <t>21% to 23%</t>
    </r>
  </si>
  <si>
    <t xml:space="preserve">1.We have created a new cell which actually resides within our video team, but that cell is helping us create latest music videos for the older songs that Saregama owns, using the Generative AI video generation tools. As I'm sure all of you guys will know that Saregama doesn't own the video rights of the songs that were released in the 20th century. We only have the audio rights. And to capitalize on the demand for these songs on YouTube, </t>
  </si>
  <si>
    <t>2.Whenever subscription goes up for the platforms, they share around 50% of whatever they make with music labels, the content owners</t>
  </si>
  <si>
    <t>3.Artiste management, the new vertical under music monetization, where artistes are made popular through our IP releases, and then we monetize these artistes by booking them for live events, weddings and brand endorsements from which Saregama gets a share</t>
  </si>
  <si>
    <t>4. And with digital advertising growing at 14% to 15% per annum, we believe both the content these artistes are making, and the artistes themselves are going to be a large beneficiary of this increase in digital advertising spends.</t>
  </si>
  <si>
    <t>5.We had projected growth rate of 30% at consolidated company level for revenue, excluding Carvaan, between financial year '24 to financial year '27, and we hold on to that number. We also maintain our annual adjusted EBITDA guidance of 32% to 33%.</t>
  </si>
  <si>
    <t>6.Festive season ends up getting higher advertising on YouTube. And since we get a 55% share of all advertising revenue that comes on our content, so we do get the benefit.</t>
  </si>
  <si>
    <t>7.When we buy a song, there are 2 rights that pass across to us. One is called the master right or the sound recording right. That's a right of the song. And you are correct. The Copyright Act says that our ownership is there for 60 years from the release of the song. But there is one more second right that also gets transferred across to us, it's called publishing rights. That's a right of the lyrics of the song and the right of the tune of the song. These are
separate rights. According to Indian Copyright Act, the lyrics rights stay with us for 60 years from the death of the artist who wrote the song.
And composition rights, the tune rights are valid with us for 60 years from the death of the
composer. So we still have a very, very long way to go for many of our superhit songs even a
song one right would have come outside 60 years, the other rights are still sitting there with us
only</t>
  </si>
  <si>
    <t>8.Yes. See, in our case, things like YouTube revenues are completely dependent on new music releases, they jump there, and you immediately see an impact on it.</t>
  </si>
  <si>
    <t>9.Unlike the music business, which keeps on growing on a steady basis because songs are being listen on Spotify and YouTube on daily basis. Movies and series you prepare for a period of a few quarters and then you release it in the quarter that it gets released, is where the revenue gets booked.</t>
  </si>
  <si>
    <r>
      <t xml:space="preserve">10.we have given the guidance that at any particular time, total capital invested in video and live will </t>
    </r>
    <r>
      <rPr>
        <b/>
        <sz val="11"/>
        <color theme="1"/>
        <rFont val="Aptos Narrow"/>
        <family val="2"/>
        <scheme val="minor"/>
      </rPr>
      <t>not exceed more than 18% of the capital employed</t>
    </r>
    <r>
      <rPr>
        <sz val="11"/>
        <color theme="1"/>
        <rFont val="Aptos Narrow"/>
        <family val="2"/>
        <scheme val="minor"/>
      </rPr>
      <t>. We are far lower than that</t>
    </r>
  </si>
  <si>
    <t>2.Overall, our spend for the new content for this year will be somewhere between INR 350 crores to INR 380 crores</t>
  </si>
  <si>
    <t>3.So sir, we have been stating that we want to get -- acquire 25% to 30% of all new content that comes out. We believe that with this INR 700 crores, we will reach that level. At this moment, we have no intent to increase our market share of new content beyond 30%</t>
  </si>
  <si>
    <t>1.Our investment on content this year was INR316 crores, which was 62% higher than that of financial year</t>
  </si>
  <si>
    <t>2.What I can tell you is that if I have a subscription deal going on with their platform, on an average, the platform shares 50% of whatever they make. So if there's a platform X who are making INR100 net in a month, on an average, they will share INR50, what is called as a content pool. This money gets divided equally amongst all the songs into the number of times the songs are heard during the month.</t>
  </si>
  <si>
    <r>
      <t xml:space="preserve">3.Hopefully, we should be upwards of 20% -- on specific segments of their right now, they're all part of the larger Saregama company. Saregama company </t>
    </r>
    <r>
      <rPr>
        <b/>
        <sz val="11"/>
        <color theme="1"/>
        <rFont val="Aptos Narrow"/>
        <family val="2"/>
        <scheme val="minor"/>
      </rPr>
      <t>music business</t>
    </r>
    <r>
      <rPr>
        <sz val="11"/>
        <color theme="1"/>
        <rFont val="Aptos Narrow"/>
        <family val="2"/>
        <scheme val="minor"/>
      </rPr>
      <t xml:space="preserve"> is going to be growing at </t>
    </r>
    <r>
      <rPr>
        <b/>
        <sz val="11"/>
        <color theme="1"/>
        <rFont val="Aptos Narrow"/>
        <family val="2"/>
        <scheme val="minor"/>
      </rPr>
      <t>23%</t>
    </r>
    <r>
      <rPr>
        <sz val="11"/>
        <color theme="1"/>
        <rFont val="Aptos Narrow"/>
        <family val="2"/>
        <scheme val="minor"/>
      </rPr>
      <t xml:space="preserve">, while </t>
    </r>
    <r>
      <rPr>
        <b/>
        <sz val="11"/>
        <color theme="1"/>
        <rFont val="Aptos Narrow"/>
        <family val="2"/>
        <scheme val="minor"/>
      </rPr>
      <t>Video business</t>
    </r>
    <r>
      <rPr>
        <sz val="11"/>
        <color theme="1"/>
        <rFont val="Aptos Narrow"/>
        <family val="2"/>
        <scheme val="minor"/>
      </rPr>
      <t xml:space="preserve"> is going to be growing at</t>
    </r>
    <r>
      <rPr>
        <b/>
        <sz val="11"/>
        <color theme="1"/>
        <rFont val="Aptos Narrow"/>
        <family val="2"/>
        <scheme val="minor"/>
      </rPr>
      <t xml:space="preserve"> 25%</t>
    </r>
    <r>
      <rPr>
        <sz val="11"/>
        <color theme="1"/>
        <rFont val="Aptos Narrow"/>
        <family val="2"/>
        <scheme val="minor"/>
      </rPr>
      <t xml:space="preserve"> on a medium-term basis.</t>
    </r>
  </si>
  <si>
    <t xml:space="preserve">Asset=Liability </t>
  </si>
  <si>
    <t xml:space="preserve">Any difference </t>
  </si>
  <si>
    <t xml:space="preserve">Earning Before Interest, Tax, Depriciation and Amortization </t>
  </si>
  <si>
    <t>Earning Before Interest and Tax (EBIT)</t>
  </si>
  <si>
    <t>Exceptional Items (Net)</t>
  </si>
  <si>
    <t>Other income</t>
  </si>
  <si>
    <t>Earning before Tax (EBT)</t>
  </si>
  <si>
    <t xml:space="preserve">Tax Expense </t>
  </si>
  <si>
    <t>Profit For the year</t>
  </si>
  <si>
    <t>Revenue from operations</t>
  </si>
  <si>
    <t>Other comprehensive income</t>
  </si>
  <si>
    <t>(d) Income tax relating to items that will not be reclassified subsequently to profit or loss</t>
  </si>
  <si>
    <t xml:space="preserve">Other comprehensive income for the year, net of tax </t>
  </si>
  <si>
    <t xml:space="preserve">Total comprehensive income for the year </t>
  </si>
  <si>
    <t xml:space="preserve">Interim Dividend paid </t>
  </si>
  <si>
    <t xml:space="preserve">Revene Model </t>
  </si>
  <si>
    <t>Sale of service-</t>
  </si>
  <si>
    <t xml:space="preserve">License Fees- Music </t>
  </si>
  <si>
    <t xml:space="preserve">Income from videos </t>
  </si>
  <si>
    <t>Income from events</t>
  </si>
  <si>
    <t xml:space="preserve">Other operating income </t>
  </si>
  <si>
    <t>Carvaan and others</t>
  </si>
  <si>
    <t>Films, Tv and digital content</t>
  </si>
  <si>
    <t xml:space="preserve">Amount written back </t>
  </si>
  <si>
    <t xml:space="preserve">Revenue Model </t>
  </si>
  <si>
    <t>-</t>
  </si>
  <si>
    <t>Assumption Sheet</t>
  </si>
  <si>
    <t>Carvaan Sale ( In Lakhs)</t>
  </si>
  <si>
    <t>Average Selling Price (In Rs.)</t>
  </si>
  <si>
    <t xml:space="preserve">Mgmnt Guidance- Mgmnt will not focus much on this segment and rather focus on music segment </t>
  </si>
  <si>
    <t xml:space="preserve">Y-o-Y Growth in Sale in Quantity of Products </t>
  </si>
  <si>
    <t xml:space="preserve">Y-o-Y Growth in Average Selling Price of Products  </t>
  </si>
  <si>
    <t xml:space="preserve">Y-o-Y Growth in Video Segment </t>
  </si>
  <si>
    <t xml:space="preserve">Mgmnt Guidance </t>
  </si>
  <si>
    <t xml:space="preserve">Y-o-Y Growth in Events Segment </t>
  </si>
  <si>
    <t>Expilict- Lumpier segment of the business.</t>
  </si>
  <si>
    <t>Explicit</t>
  </si>
  <si>
    <t xml:space="preserve">Music Segment </t>
  </si>
  <si>
    <t xml:space="preserve">Y-o-Y Growth in music Segment </t>
  </si>
  <si>
    <t xml:space="preserve">Total Songs </t>
  </si>
  <si>
    <t>2021-2024</t>
  </si>
  <si>
    <t>2001-2020</t>
  </si>
  <si>
    <t>1981-2000</t>
  </si>
  <si>
    <t>1961-1980</t>
  </si>
  <si>
    <t>Till 1960</t>
  </si>
  <si>
    <t xml:space="preserve">Total  </t>
  </si>
  <si>
    <t>Era wise Segment (Count in %)</t>
  </si>
  <si>
    <t>Era wise Segment (Revenue in %)</t>
  </si>
  <si>
    <t>Era wise Segment (Count in Number in Lakhs )</t>
  </si>
  <si>
    <t>Era wise Segment (Revenue per song in actual figures )</t>
  </si>
  <si>
    <t>Mgmnt Guidance</t>
  </si>
  <si>
    <t>Y-o-Y Increase in Number of Songs After 2021</t>
  </si>
  <si>
    <t xml:space="preserve">% of New Content Acquried by Saregama </t>
  </si>
  <si>
    <t xml:space="preserve">Report by EY </t>
  </si>
  <si>
    <t>New Songs made per Year (In Lkahs)</t>
  </si>
  <si>
    <t>Mgmnt Guidance- 30% till FY 2027</t>
  </si>
  <si>
    <t>Y-o-Y Increase in Revenue per song of Songs After 2021</t>
  </si>
  <si>
    <t>Era wise Segment (YoY Growth in Revenue)</t>
  </si>
  <si>
    <t xml:space="preserve">Consists of License Fees and Artist Management </t>
  </si>
  <si>
    <t>Music (Carvaan and Music Rights)</t>
  </si>
  <si>
    <t xml:space="preserve">Opening Inventory </t>
  </si>
  <si>
    <t>Less:Transferred pursuant to the scheme of
arrangement</t>
  </si>
  <si>
    <t xml:space="preserve">Add:Purchase Of inventory </t>
  </si>
  <si>
    <t xml:space="preserve">Less:Closing Inventory </t>
  </si>
  <si>
    <t>Films, Tv serials and Digital content (under production and untelecasted)</t>
  </si>
  <si>
    <t xml:space="preserve">Cost of Music Business </t>
  </si>
  <si>
    <t>Cost of Films, Tv serials and Digital content (under production and untelecasted)</t>
  </si>
  <si>
    <t xml:space="preserve">Opening - Transferred from arrangement+Purchase-Closing </t>
  </si>
  <si>
    <t xml:space="preserve">Opening+Purchase-Closing </t>
  </si>
  <si>
    <t xml:space="preserve">Cost Model </t>
  </si>
  <si>
    <t>Era wise Segment (Revenue in Number in Lakhs )</t>
  </si>
  <si>
    <t xml:space="preserve">Constant Average </t>
  </si>
  <si>
    <t xml:space="preserve">Total Income from Films and events </t>
  </si>
  <si>
    <t>Cost of films and events/Income from films and events</t>
  </si>
  <si>
    <t xml:space="preserve">Total Income from Music </t>
  </si>
  <si>
    <t xml:space="preserve">Cost of music/Income from music </t>
  </si>
  <si>
    <t>Sale of Product-</t>
  </si>
  <si>
    <t>Sale of Service-</t>
  </si>
  <si>
    <t>Permanent + Other than permanent</t>
  </si>
  <si>
    <t>Median Salary BOD</t>
  </si>
  <si>
    <t>Median Salary KMP</t>
  </si>
  <si>
    <t>Median Salary Employee</t>
  </si>
  <si>
    <t>No. of BOD</t>
  </si>
  <si>
    <t>No. of KMP (Key Managerial Personell)</t>
  </si>
  <si>
    <t>Total Number of Employees (Other than BOD and KMP)</t>
  </si>
  <si>
    <t>YoY Increase in Median Salary of BOD</t>
  </si>
  <si>
    <t>YoY Increase in No. of Employee</t>
  </si>
  <si>
    <t xml:space="preserve">Explicit - With Gen AI </t>
  </si>
  <si>
    <t>YoY Increase in Median Salary of Employee (Other than BOD and KMP)</t>
  </si>
  <si>
    <t>Constant Average</t>
  </si>
  <si>
    <t xml:space="preserve">Rolling average of 3 years </t>
  </si>
  <si>
    <t>Royalty expenses</t>
  </si>
  <si>
    <t>Advertisement and sales promotion</t>
  </si>
  <si>
    <t xml:space="preserve">Royalty Expense / License Income </t>
  </si>
  <si>
    <t xml:space="preserve">Constant </t>
  </si>
  <si>
    <t>Advertisment and Sales Promotion Expense/ Revenue from operations</t>
  </si>
  <si>
    <t>9. So, we are continuing at this juncture with the adjusted EBITDA guidance of 30% to 33%, medium- to long-term guidance for our business at a consolidated level.</t>
  </si>
  <si>
    <t>Other Expense/Revenue from Operations</t>
  </si>
  <si>
    <t>Average</t>
  </si>
  <si>
    <t xml:space="preserve">Total Useful Life </t>
  </si>
  <si>
    <t>Age of the Asset</t>
  </si>
  <si>
    <t>Remaining Life of the Asset</t>
  </si>
  <si>
    <t>TOTAL</t>
  </si>
  <si>
    <t xml:space="preserve">Addition/Revenue </t>
  </si>
  <si>
    <t xml:space="preserve">Rolling Average </t>
  </si>
  <si>
    <r>
      <t>1.Let's start with the first vertical, music, which comprises of licensingnand artiste management. This segment grew by 12% on a year-on-year basis. We are confident of a</t>
    </r>
    <r>
      <rPr>
        <b/>
        <sz val="11"/>
        <color theme="1"/>
        <rFont val="Aptos Narrow"/>
        <family val="2"/>
        <scheme val="minor"/>
      </rPr>
      <t>chieving 22% to 23% annual growth on a medium-term basis under the music vertical</t>
    </r>
    <r>
      <rPr>
        <sz val="11"/>
        <color theme="1"/>
        <rFont val="Aptos Narrow"/>
        <family val="2"/>
        <scheme val="minor"/>
      </rPr>
      <t>. We have been maintaining that
position in the past, and we continue maintaining this position.</t>
    </r>
  </si>
  <si>
    <t>10. I want to clarify is our music investment on newer content, we have given a guidance of around INR 1,000 crores over financial year '25, '26 and '27. So we will continue investing, but the increase in the content spend is not going to be so steep as you have seen over these 3 years. It will then start moving at the rate of inflation maybe, which will be anything between 6% to 8% to 10% every year, not this 30% to 40%, at times 50% jump that you have seen over the last 3 years</t>
  </si>
  <si>
    <t>Mgmnt Commentary - 1 to 10 years</t>
  </si>
  <si>
    <t>Mgmnt Commentary - 3 to 5 years</t>
  </si>
  <si>
    <t>Mgmnt Commentary - 5 years</t>
  </si>
  <si>
    <t>Mgmnt Commentary - 8 years</t>
  </si>
  <si>
    <t>Mgmnt Commentary - 7 years</t>
  </si>
  <si>
    <t>TOTAL - Intangible Asset</t>
  </si>
  <si>
    <t>Mgmnt Commentary - 10 years</t>
  </si>
  <si>
    <t>Goodwill</t>
  </si>
  <si>
    <t xml:space="preserve">Closing Accumulated Amortisation/Impairment </t>
  </si>
  <si>
    <t xml:space="preserve">Lease Schedule </t>
  </si>
  <si>
    <t xml:space="preserve">Right of Use Asset (ROU) </t>
  </si>
  <si>
    <t>Opening Balance</t>
  </si>
  <si>
    <t xml:space="preserve">Depreciation </t>
  </si>
  <si>
    <t>Closing Balance</t>
  </si>
  <si>
    <t>Acquisition through business combination</t>
  </si>
  <si>
    <t xml:space="preserve">Payment </t>
  </si>
  <si>
    <t>Payment towards Interest</t>
  </si>
  <si>
    <t>Payment towards Principal</t>
  </si>
  <si>
    <t xml:space="preserve">Towards Current </t>
  </si>
  <si>
    <t xml:space="preserve">Towards Non-Current </t>
  </si>
  <si>
    <t>Lease Liability - Leasehold premises and vehicles</t>
  </si>
  <si>
    <t>Additions during the year</t>
  </si>
  <si>
    <t>Deletions during the year</t>
  </si>
  <si>
    <t>Depreciation charge during the year</t>
  </si>
  <si>
    <t>Carrying amount (net)</t>
  </si>
  <si>
    <t>Gross carrying amount at the beginning of the year</t>
  </si>
  <si>
    <t>Gross carrying amount at the end of the year</t>
  </si>
  <si>
    <t>Accumulated depreciation at the beginning of the year</t>
  </si>
  <si>
    <t>Accumulated depreciation  at the end of the year</t>
  </si>
  <si>
    <t>Effective Interest Rate</t>
  </si>
  <si>
    <t>Average life of the lease</t>
  </si>
  <si>
    <t xml:space="preserve">Notes of account </t>
  </si>
  <si>
    <t xml:space="preserve">Current Lease Liabilty/Total Lease Liability </t>
  </si>
  <si>
    <t>COGS -Music</t>
  </si>
  <si>
    <t>COGS - Films, Tv serials and Digital content</t>
  </si>
  <si>
    <t>Total depreciation and amortisation expense</t>
  </si>
  <si>
    <t>Depreciation on right-of-use assets</t>
  </si>
  <si>
    <t>Depreciation on investment properties</t>
  </si>
  <si>
    <t>Amortisation on Intangible asset</t>
  </si>
  <si>
    <t>Total</t>
  </si>
  <si>
    <t xml:space="preserve">Depreciation &amp; Amortization </t>
  </si>
  <si>
    <t>Depreciation on PPE</t>
  </si>
  <si>
    <t>Amortization on Intangible Asset</t>
  </si>
  <si>
    <t xml:space="preserve">Total </t>
  </si>
  <si>
    <t>Finance Cost</t>
  </si>
  <si>
    <t>Unwinding of discount on financial liabilities/provision</t>
  </si>
  <si>
    <t>On lease liabilities</t>
  </si>
  <si>
    <t>Total Finance Cost</t>
  </si>
  <si>
    <t xml:space="preserve">Effective Interest Rate </t>
  </si>
  <si>
    <t xml:space="preserve">On loans , others and Other Borrowing cost </t>
  </si>
  <si>
    <t>Includes deferred consideration</t>
  </si>
  <si>
    <t>Includes loan Repayable on demand from bank</t>
  </si>
  <si>
    <t xml:space="preserve">Depreciation &amp; Interest Schedule </t>
  </si>
  <si>
    <t>Allowance for expected credit loss written back</t>
  </si>
  <si>
    <t>Provision for Long term Investment write back</t>
  </si>
  <si>
    <t>Profit on sale of property. plant and equipment</t>
  </si>
  <si>
    <t>Profit on sale of investment in mutual fund</t>
  </si>
  <si>
    <t>Fair value gain on mutual fund at FVTPL</t>
  </si>
  <si>
    <t>Gain on sale/ fair valuation of current investments (net)</t>
  </si>
  <si>
    <t>Net gain on foreign currency transactions</t>
  </si>
  <si>
    <t>Insurance claim</t>
  </si>
  <si>
    <t>Other non-operating income</t>
  </si>
  <si>
    <t>Units of Mutual funds</t>
  </si>
  <si>
    <t>Security deposits. Bank deposits with remaining maturity more than 12 months, Contractual investment rights</t>
  </si>
  <si>
    <t>Loans to Employee</t>
  </si>
  <si>
    <t>Security Deposits, Interest accured, other receivable</t>
  </si>
  <si>
    <t>Interest Earning  Investments-</t>
  </si>
  <si>
    <t xml:space="preserve">Other Income Schedule </t>
  </si>
  <si>
    <t xml:space="preserve">Interest income under effective interest method , Profit on sale of investment in mutual fund, Fair value gain on mutual fund at FVTPL, </t>
  </si>
  <si>
    <t xml:space="preserve">Average Interest Yield </t>
  </si>
  <si>
    <t>Investment Property</t>
  </si>
  <si>
    <t>ROU Asset</t>
  </si>
  <si>
    <t>Government Security Market - GS Bond 2029 = 6.4%</t>
  </si>
  <si>
    <t xml:space="preserve">Interest Income Calculated Below </t>
  </si>
  <si>
    <t xml:space="preserve">Rent Income </t>
  </si>
  <si>
    <t>Closing Gross Block of  Non- Current Investment</t>
  </si>
  <si>
    <t>Rental Yeild on Closing Gross Block of Non - Current Investments</t>
  </si>
  <si>
    <t>Comprises a number of residential properties that are leased to third parties</t>
  </si>
  <si>
    <t xml:space="preserve">2% increase every year </t>
  </si>
  <si>
    <t xml:space="preserve">Effective Tax Rate </t>
  </si>
  <si>
    <t xml:space="preserve">Dividends </t>
  </si>
  <si>
    <t>Earnings available to equity shareholders (EAESH)</t>
  </si>
  <si>
    <t>Segment Wise Revenue Breakup</t>
  </si>
  <si>
    <t xml:space="preserve">Total Music Revenue </t>
  </si>
  <si>
    <t>Product, License Fees, Artist Management and others</t>
  </si>
  <si>
    <t xml:space="preserve">Total Revenue from Films, Tv  Serials and Digital Content </t>
  </si>
  <si>
    <t>Also contains revenue from events</t>
  </si>
  <si>
    <t>Closing Inventory of Music</t>
  </si>
  <si>
    <t xml:space="preserve">Inventory turnover ratio for music </t>
  </si>
  <si>
    <t xml:space="preserve">WC Schedule </t>
  </si>
  <si>
    <t xml:space="preserve">Closing Inventory of Films, Tv  Serials and Digital Content </t>
  </si>
  <si>
    <t xml:space="preserve">Inventory turnover ratio for Films, Tv  Serials and Digital Content </t>
  </si>
  <si>
    <t xml:space="preserve">Explicit- With more focus on short videos and more efforts for generative AI produced vidoes </t>
  </si>
  <si>
    <t xml:space="preserve">Total Inventory </t>
  </si>
  <si>
    <t>Trade receivables turnover ratio</t>
  </si>
  <si>
    <t>WC Schedule</t>
  </si>
  <si>
    <t>COGS</t>
  </si>
  <si>
    <t>Closing Inventory</t>
  </si>
  <si>
    <t>Purchases</t>
  </si>
  <si>
    <t>Closing + COGS - Opening</t>
  </si>
  <si>
    <t>Trade Payables - MSME &amp; Others</t>
  </si>
  <si>
    <t>Trade Payable Turnover Ratio</t>
  </si>
  <si>
    <t xml:space="preserve">Days Inventory Outstanding of Films, Tv  Serials and Digital Content </t>
  </si>
  <si>
    <t>Days Inventory Outstanding of Music</t>
  </si>
  <si>
    <t>Days Sales Outstanding</t>
  </si>
  <si>
    <t xml:space="preserve">Days Payable Outstanding </t>
  </si>
  <si>
    <t>Decrease in Other current assets, Loans, Other non-current assets, Investments, other financial asset</t>
  </si>
  <si>
    <t>Capex Schedule</t>
  </si>
  <si>
    <t>Lease Schedule</t>
  </si>
  <si>
    <t>CFS</t>
  </si>
  <si>
    <t>Constant</t>
  </si>
  <si>
    <t>Opening + EAESH</t>
  </si>
  <si>
    <t>DCF Method</t>
  </si>
  <si>
    <t>Cash flow from Operations</t>
  </si>
  <si>
    <t xml:space="preserve">Cash flow from Investing </t>
  </si>
  <si>
    <t>Free Cash flow to Equity</t>
  </si>
  <si>
    <t xml:space="preserve">Date </t>
  </si>
  <si>
    <t xml:space="preserve">Terminal Value </t>
  </si>
  <si>
    <t xml:space="preserve">Risk Free Rate </t>
  </si>
  <si>
    <t>Equity Risk Premium</t>
  </si>
  <si>
    <t>Beta</t>
  </si>
  <si>
    <t>Growth Rate</t>
  </si>
  <si>
    <t xml:space="preserve">Net Borrowings </t>
  </si>
  <si>
    <t xml:space="preserve">Issue - Repayment </t>
  </si>
  <si>
    <t xml:space="preserve">Valuation Schedule </t>
  </si>
  <si>
    <t xml:space="preserve">Growth Rate </t>
  </si>
  <si>
    <t xml:space="preserve">Cost of Equity </t>
  </si>
  <si>
    <t>Value of the Company</t>
  </si>
  <si>
    <t>Total Cash flow</t>
  </si>
  <si>
    <t>FCFE</t>
  </si>
  <si>
    <t>Shares O/s</t>
  </si>
  <si>
    <t xml:space="preserve">Value Per Share </t>
  </si>
  <si>
    <t>Dividend Payout Ratio</t>
  </si>
  <si>
    <t>Explicit- Due to heavy capex company should retain dividends for 2 years and reinvest</t>
  </si>
  <si>
    <t>Asumption Sheet</t>
  </si>
  <si>
    <t>Valuation</t>
  </si>
  <si>
    <t xml:space="preserve">Scenario Analysis </t>
  </si>
  <si>
    <t xml:space="preserve">Income Statement </t>
  </si>
  <si>
    <t xml:space="preserve">Depreciation &amp; Finance Cost Schedule </t>
  </si>
  <si>
    <t xml:space="preserve">Working Capital Schedule </t>
  </si>
  <si>
    <t>Click on a sheet name to navigate directly to that sheet.</t>
  </si>
  <si>
    <t>Once on the sheet, click on the top-left cell (A1) of the sheet (i.e., the sheet name) to return to this page.</t>
  </si>
  <si>
    <t xml:space="preserve">Expicit- Agressive investment till FY 2027 </t>
  </si>
  <si>
    <t>Base Scenario</t>
  </si>
  <si>
    <t>Best Scenario</t>
  </si>
  <si>
    <t>Worst Scenario</t>
  </si>
  <si>
    <t xml:space="preserve">Aquistion of Music </t>
  </si>
  <si>
    <t>Out of 1000 Cr, 172.19 Cr is invested remaning 827.81Cr over 3 years</t>
  </si>
  <si>
    <t>Out of 1000 Cr, 172.19 Cr is invested remaning 827.81Cr over 4 years</t>
  </si>
  <si>
    <t>Mgmnt Guidance - 1000 Cr. Investment between 2025 to 2027 and then increase in Intangible asset at inflation rate of 6%. Therefore,  827.81 Cr in next 2 years</t>
  </si>
  <si>
    <t xml:space="preserve">Thesis </t>
  </si>
  <si>
    <t>Right for 60 years</t>
  </si>
  <si>
    <t xml:space="preserve">Gen Ai for video </t>
  </si>
  <si>
    <t>Spotify will be a paid app eventually</t>
  </si>
  <si>
    <t xml:space="preserve">Focus on short video , reels format are trending </t>
  </si>
  <si>
    <t xml:space="preserve">Annuity type structure </t>
  </si>
  <si>
    <t xml:space="preserve">0.1 Paisa per stream for free , 0.50 paisa per stream for paid </t>
  </si>
  <si>
    <t xml:space="preserve">Anti thesis </t>
  </si>
  <si>
    <t xml:space="preserve">Old Songs collection </t>
  </si>
  <si>
    <t xml:space="preserve">Carvaan business </t>
  </si>
  <si>
    <t>5 year payback</t>
  </si>
  <si>
    <t>Explicit - with gen AI time and cost of production will reduce eventually</t>
  </si>
  <si>
    <t>Increase / (Decrease) in Other financial liabilities, Provisions, Other current liabilities</t>
  </si>
  <si>
    <t>Cash and Cash Equivalents at the beginning of the year</t>
  </si>
  <si>
    <t xml:space="preserve">Less: transferred pursuant to scheme of arrangement </t>
  </si>
  <si>
    <t>Cash and Cash Equivalents at the end of the year</t>
  </si>
  <si>
    <t>Sale of product</t>
  </si>
  <si>
    <t>Working Capital Schedule</t>
  </si>
  <si>
    <t>Interest income under effective interest method</t>
  </si>
  <si>
    <t>Combined entry for Interest income under effective interest method, Profit on sale of investment in mutual fund, Fair value gain on mutual fund at FVTPL</t>
  </si>
  <si>
    <t>Notes</t>
  </si>
  <si>
    <t>Financial Model Layout -</t>
  </si>
  <si>
    <t>Growth Rate at terminal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</si>
</sst>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0.00\ "/>
    <numFmt numFmtId="165" formatCode="[$-F800]dddd\,\ mmmm\ dd\,\ yyyy"/>
  </numFmts>
  <fonts count="19" x14ac:knownFonts="1">
    <font>
      <sz val="11"/>
      <color theme="1"/>
      <name val="Aptos Narrow"/>
      <family val="2"/>
      <scheme val="minor"/>
    </font>
    <font>
      <b/>
      <sz val="11"/>
      <color theme="1"/>
      <name val="Aptos Narrow"/>
      <family val="2"/>
      <scheme val="minor"/>
    </font>
    <font>
      <b/>
      <sz val="11"/>
      <color rgb="FF00B0F0"/>
      <name val="Aptos Narrow"/>
      <family val="2"/>
      <scheme val="minor"/>
    </font>
    <font>
      <sz val="11"/>
      <color rgb="FF00B0F0"/>
      <name val="Aptos Narrow"/>
      <family val="2"/>
      <scheme val="minor"/>
    </font>
    <font>
      <sz val="9"/>
      <color indexed="81"/>
      <name val="Tahoma"/>
      <family val="2"/>
    </font>
    <font>
      <b/>
      <sz val="9"/>
      <color indexed="81"/>
      <name val="Tahoma"/>
      <family val="2"/>
    </font>
    <font>
      <b/>
      <sz val="12"/>
      <color theme="1"/>
      <name val="Aptos Narrow"/>
      <family val="2"/>
      <scheme val="minor"/>
    </font>
    <font>
      <sz val="11"/>
      <color theme="1"/>
      <name val="Aptos Narrow"/>
      <family val="2"/>
      <scheme val="minor"/>
    </font>
    <font>
      <u/>
      <sz val="11"/>
      <color theme="10"/>
      <name val="Aptos Narrow"/>
      <family val="2"/>
      <scheme val="minor"/>
    </font>
    <font>
      <sz val="11"/>
      <name val="Aptos Narrow"/>
      <family val="2"/>
      <scheme val="minor"/>
    </font>
    <font>
      <b/>
      <sz val="11"/>
      <name val="Aptos Narrow"/>
      <family val="2"/>
      <scheme val="minor"/>
    </font>
    <font>
      <sz val="11"/>
      <color theme="0"/>
      <name val="Aptos Narrow"/>
      <family val="2"/>
      <scheme val="minor"/>
    </font>
    <font>
      <b/>
      <sz val="14"/>
      <color theme="1"/>
      <name val="Aptos Narrow"/>
      <family val="2"/>
      <scheme val="minor"/>
    </font>
    <font>
      <sz val="11"/>
      <color rgb="FF0070C0"/>
      <name val="Aptos Narrow"/>
      <family val="2"/>
      <scheme val="minor"/>
    </font>
    <font>
      <sz val="12"/>
      <color rgb="FF0070C0"/>
      <name val="Aptos Narrow"/>
      <family val="2"/>
      <scheme val="minor"/>
    </font>
    <font>
      <i/>
      <u/>
      <sz val="12"/>
      <color theme="1"/>
      <name val="Calibri"/>
      <family val="2"/>
    </font>
    <font>
      <u/>
      <sz val="11"/>
      <name val="Aptos Narrow"/>
      <family val="2"/>
      <scheme val="minor"/>
    </font>
    <font>
      <b/>
      <u/>
      <sz val="14"/>
      <color rgb="FF00B0F0"/>
      <name val="Aptos Narrow"/>
      <family val="2"/>
      <scheme val="minor"/>
    </font>
    <font>
      <u/>
      <sz val="12"/>
      <color rgb="FF00B0F0"/>
      <name val="Aptos Narrow"/>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7" tint="0.59999389629810485"/>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theme="5" tint="0.59999389629810485"/>
        <bgColor indexed="64"/>
      </patternFill>
    </fill>
  </fills>
  <borders count="2">
    <border>
      <left/>
      <right/>
      <top/>
      <bottom/>
      <diagonal/>
    </border>
    <border>
      <left/>
      <right/>
      <top style="thin">
        <color indexed="64"/>
      </top>
      <bottom/>
      <diagonal/>
    </border>
  </borders>
  <cellStyleXfs count="3">
    <xf numFmtId="0" fontId="0" fillId="0" borderId="0"/>
    <xf numFmtId="9" fontId="7" fillId="0" borderId="0" applyFont="0" applyFill="0" applyBorder="0" applyAlignment="0" applyProtection="0"/>
    <xf numFmtId="0" fontId="8" fillId="0" borderId="0" applyNumberFormat="0" applyFill="0" applyBorder="0" applyAlignment="0" applyProtection="0"/>
  </cellStyleXfs>
  <cellXfs count="106">
    <xf numFmtId="0" fontId="0" fillId="0" borderId="0" xfId="0"/>
    <xf numFmtId="0" fontId="1" fillId="0" borderId="0" xfId="0" applyFont="1"/>
    <xf numFmtId="0" fontId="2" fillId="0" borderId="0" xfId="0" applyFont="1"/>
    <xf numFmtId="0" fontId="3" fillId="0" borderId="0" xfId="0" applyFont="1"/>
    <xf numFmtId="164" fontId="0" fillId="0" borderId="0" xfId="0" applyNumberFormat="1" applyAlignment="1">
      <alignment horizontal="center" vertical="center"/>
    </xf>
    <xf numFmtId="164" fontId="3" fillId="0" borderId="0" xfId="0" applyNumberFormat="1" applyFont="1" applyAlignment="1">
      <alignment horizontal="center" vertical="center"/>
    </xf>
    <xf numFmtId="0" fontId="1" fillId="0" borderId="0" xfId="0" applyFont="1" applyAlignment="1">
      <alignment horizontal="left" vertical="center"/>
    </xf>
    <xf numFmtId="0" fontId="0" fillId="0" borderId="0" xfId="0" applyAlignment="1">
      <alignment horizontal="left" vertical="center"/>
    </xf>
    <xf numFmtId="0" fontId="1" fillId="0" borderId="0" xfId="0" applyFont="1" applyAlignment="1">
      <alignment horizontal="center" vertical="center"/>
    </xf>
    <xf numFmtId="0" fontId="2" fillId="0" borderId="0" xfId="0" applyFont="1" applyAlignment="1">
      <alignment horizontal="center" vertical="center"/>
    </xf>
    <xf numFmtId="164" fontId="1" fillId="0" borderId="0" xfId="0" applyNumberFormat="1" applyFont="1" applyAlignment="1">
      <alignment horizontal="center" vertical="center"/>
    </xf>
    <xf numFmtId="164" fontId="2" fillId="0" borderId="0" xfId="0" applyNumberFormat="1" applyFont="1" applyAlignment="1">
      <alignment horizontal="center" vertical="center"/>
    </xf>
    <xf numFmtId="0" fontId="0" fillId="2" borderId="0" xfId="0" applyFill="1"/>
    <xf numFmtId="0" fontId="0" fillId="2" borderId="0" xfId="0" applyFill="1" applyAlignment="1">
      <alignment horizontal="left" vertical="center"/>
    </xf>
    <xf numFmtId="164" fontId="0" fillId="2" borderId="0" xfId="0" applyNumberFormat="1" applyFill="1" applyAlignment="1">
      <alignment horizontal="center" vertical="center"/>
    </xf>
    <xf numFmtId="164" fontId="3" fillId="2" borderId="0" xfId="0" applyNumberFormat="1" applyFont="1" applyFill="1" applyAlignment="1">
      <alignment horizontal="center" vertical="center"/>
    </xf>
    <xf numFmtId="0" fontId="1" fillId="2" borderId="0" xfId="0" applyFont="1" applyFill="1"/>
    <xf numFmtId="0" fontId="1" fillId="2" borderId="0" xfId="0" applyFont="1" applyFill="1" applyAlignment="1">
      <alignment horizontal="left" vertical="center"/>
    </xf>
    <xf numFmtId="164" fontId="1" fillId="2" borderId="0" xfId="0" applyNumberFormat="1" applyFont="1" applyFill="1" applyAlignment="1">
      <alignment horizontal="center" vertical="center"/>
    </xf>
    <xf numFmtId="164" fontId="2" fillId="2" borderId="0" xfId="0" applyNumberFormat="1" applyFont="1" applyFill="1" applyAlignment="1">
      <alignment horizontal="center" vertical="center"/>
    </xf>
    <xf numFmtId="0" fontId="1" fillId="3" borderId="0" xfId="0" applyFont="1" applyFill="1" applyAlignment="1">
      <alignment horizontal="left" vertical="center"/>
    </xf>
    <xf numFmtId="0" fontId="0" fillId="3" borderId="0" xfId="0" applyFill="1" applyAlignment="1">
      <alignment horizontal="left" vertical="center"/>
    </xf>
    <xf numFmtId="164" fontId="0" fillId="3" borderId="0" xfId="0" applyNumberFormat="1" applyFill="1" applyAlignment="1">
      <alignment horizontal="center" vertical="center"/>
    </xf>
    <xf numFmtId="164" fontId="3" fillId="3" borderId="0" xfId="0" applyNumberFormat="1" applyFont="1" applyFill="1" applyAlignment="1">
      <alignment horizontal="center" vertical="center"/>
    </xf>
    <xf numFmtId="0" fontId="0" fillId="0" borderId="0" xfId="0" applyAlignment="1">
      <alignment horizontal="center" vertical="center"/>
    </xf>
    <xf numFmtId="0" fontId="6" fillId="0" borderId="0" xfId="0" applyFont="1"/>
    <xf numFmtId="17" fontId="0" fillId="4" borderId="0" xfId="0" applyNumberFormat="1" applyFill="1"/>
    <xf numFmtId="17" fontId="1" fillId="4" borderId="0" xfId="0" applyNumberFormat="1" applyFont="1" applyFill="1"/>
    <xf numFmtId="4" fontId="0" fillId="0" borderId="0" xfId="0" applyNumberFormat="1" applyAlignment="1">
      <alignment horizontal="center" vertical="center"/>
    </xf>
    <xf numFmtId="10" fontId="0" fillId="0" borderId="0" xfId="1" applyNumberFormat="1" applyFont="1" applyAlignment="1">
      <alignment horizontal="center" vertical="center"/>
    </xf>
    <xf numFmtId="10" fontId="3" fillId="0" borderId="0" xfId="1" applyNumberFormat="1" applyFont="1" applyAlignment="1">
      <alignment horizontal="center" vertical="center"/>
    </xf>
    <xf numFmtId="164" fontId="9" fillId="0" borderId="0" xfId="0" applyNumberFormat="1" applyFont="1" applyAlignment="1">
      <alignment horizontal="center" vertical="center"/>
    </xf>
    <xf numFmtId="164" fontId="10" fillId="0" borderId="0" xfId="0" applyNumberFormat="1" applyFont="1" applyAlignment="1">
      <alignment horizontal="center" vertical="center"/>
    </xf>
    <xf numFmtId="0" fontId="3" fillId="0" borderId="0" xfId="0" applyFont="1" applyAlignment="1">
      <alignment horizontal="center" vertical="center"/>
    </xf>
    <xf numFmtId="0" fontId="10" fillId="2" borderId="0" xfId="0" applyFont="1" applyFill="1" applyAlignment="1">
      <alignment horizontal="left" vertical="center"/>
    </xf>
    <xf numFmtId="164" fontId="10" fillId="2" borderId="0" xfId="0" applyNumberFormat="1" applyFont="1" applyFill="1" applyAlignment="1">
      <alignment horizontal="center" vertical="center"/>
    </xf>
    <xf numFmtId="0" fontId="10" fillId="0" borderId="0" xfId="0" applyFont="1"/>
    <xf numFmtId="0" fontId="9" fillId="0" borderId="0" xfId="0" applyFont="1"/>
    <xf numFmtId="0" fontId="10" fillId="0" borderId="0" xfId="0" applyFont="1" applyAlignment="1">
      <alignment horizontal="center" vertical="center"/>
    </xf>
    <xf numFmtId="10" fontId="9" fillId="0" borderId="0" xfId="1" applyNumberFormat="1" applyFont="1" applyAlignment="1">
      <alignment horizontal="center" vertical="center"/>
    </xf>
    <xf numFmtId="9" fontId="9" fillId="0" borderId="0" xfId="1" applyFont="1" applyAlignment="1">
      <alignment horizontal="center" vertical="center"/>
    </xf>
    <xf numFmtId="10" fontId="9" fillId="0" borderId="0" xfId="1" applyNumberFormat="1" applyFont="1" applyFill="1" applyAlignment="1">
      <alignment horizontal="center" vertical="center"/>
    </xf>
    <xf numFmtId="10" fontId="3" fillId="0" borderId="0" xfId="1" applyNumberFormat="1" applyFont="1" applyFill="1" applyAlignment="1">
      <alignment horizontal="center" vertical="center"/>
    </xf>
    <xf numFmtId="0" fontId="0" fillId="4" borderId="0" xfId="0" applyFill="1" applyAlignment="1">
      <alignment horizontal="left" vertical="center"/>
    </xf>
    <xf numFmtId="164" fontId="3" fillId="4" borderId="0" xfId="0" applyNumberFormat="1" applyFont="1" applyFill="1" applyAlignment="1">
      <alignment horizontal="center" vertical="center"/>
    </xf>
    <xf numFmtId="0" fontId="1" fillId="5" borderId="0" xfId="0" applyFont="1" applyFill="1" applyAlignment="1">
      <alignment horizontal="left" vertical="center"/>
    </xf>
    <xf numFmtId="164" fontId="1" fillId="5" borderId="0" xfId="0" applyNumberFormat="1" applyFont="1" applyFill="1" applyAlignment="1">
      <alignment horizontal="center" vertical="center"/>
    </xf>
    <xf numFmtId="164" fontId="2" fillId="5" borderId="0" xfId="0" applyNumberFormat="1" applyFont="1" applyFill="1" applyAlignment="1">
      <alignment horizontal="center" vertical="center"/>
    </xf>
    <xf numFmtId="9" fontId="0" fillId="0" borderId="0" xfId="1" applyFont="1" applyAlignment="1">
      <alignment horizontal="left" vertical="center"/>
    </xf>
    <xf numFmtId="10" fontId="2" fillId="0" borderId="0" xfId="1" applyNumberFormat="1" applyFont="1" applyAlignment="1">
      <alignment horizontal="center" vertical="center"/>
    </xf>
    <xf numFmtId="164" fontId="0" fillId="4" borderId="0" xfId="0" applyNumberFormat="1" applyFill="1" applyAlignment="1">
      <alignment horizontal="center" vertical="center"/>
    </xf>
    <xf numFmtId="0" fontId="1" fillId="4" borderId="0" xfId="0" applyFont="1" applyFill="1" applyAlignment="1">
      <alignment horizontal="left" vertical="center"/>
    </xf>
    <xf numFmtId="0" fontId="0" fillId="0" borderId="1" xfId="0" applyBorder="1" applyAlignment="1">
      <alignment horizontal="left" vertical="center"/>
    </xf>
    <xf numFmtId="164" fontId="3" fillId="0" borderId="1" xfId="0" applyNumberFormat="1" applyFont="1" applyBorder="1" applyAlignment="1">
      <alignment horizontal="center" vertical="center"/>
    </xf>
    <xf numFmtId="165" fontId="3" fillId="0" borderId="0" xfId="0" applyNumberFormat="1" applyFont="1" applyAlignment="1">
      <alignment horizontal="center" vertical="center"/>
    </xf>
    <xf numFmtId="10" fontId="0" fillId="0" borderId="0" xfId="0" applyNumberFormat="1" applyAlignment="1">
      <alignment horizontal="center" vertical="center"/>
    </xf>
    <xf numFmtId="10" fontId="0" fillId="0" borderId="1" xfId="0" applyNumberFormat="1" applyBorder="1" applyAlignment="1">
      <alignment horizontal="center" vertical="center"/>
    </xf>
    <xf numFmtId="9" fontId="0" fillId="0" borderId="0" xfId="0" applyNumberFormat="1" applyAlignment="1">
      <alignment horizontal="center" vertical="center"/>
    </xf>
    <xf numFmtId="0" fontId="0" fillId="0" borderId="1" xfId="0" applyBorder="1" applyAlignment="1">
      <alignment horizontal="center" vertical="center"/>
    </xf>
    <xf numFmtId="164" fontId="9" fillId="2" borderId="0" xfId="0" applyNumberFormat="1" applyFont="1" applyFill="1" applyAlignment="1">
      <alignment horizontal="center" vertical="center"/>
    </xf>
    <xf numFmtId="0" fontId="12" fillId="0" borderId="0" xfId="0" applyFont="1" applyAlignment="1">
      <alignment horizontal="left" vertical="center"/>
    </xf>
    <xf numFmtId="0" fontId="13" fillId="0" borderId="0" xfId="0" applyFont="1" applyAlignment="1">
      <alignment horizontal="left" vertical="center"/>
    </xf>
    <xf numFmtId="164" fontId="13" fillId="0" borderId="0" xfId="0" applyNumberFormat="1" applyFont="1" applyAlignment="1">
      <alignment horizontal="center" vertical="center"/>
    </xf>
    <xf numFmtId="164" fontId="14" fillId="0" borderId="0" xfId="0" applyNumberFormat="1" applyFont="1" applyAlignment="1">
      <alignment horizontal="center" vertical="center"/>
    </xf>
    <xf numFmtId="2" fontId="1" fillId="0" borderId="0" xfId="0" applyNumberFormat="1" applyFont="1" applyAlignment="1">
      <alignment horizontal="left" vertical="center"/>
    </xf>
    <xf numFmtId="2" fontId="3" fillId="0" borderId="0" xfId="0" applyNumberFormat="1" applyFont="1" applyAlignment="1">
      <alignment horizontal="center" vertical="center"/>
    </xf>
    <xf numFmtId="2" fontId="0" fillId="0" borderId="0" xfId="0" applyNumberFormat="1"/>
    <xf numFmtId="2" fontId="0" fillId="0" borderId="0" xfId="0" applyNumberFormat="1" applyAlignment="1">
      <alignment horizontal="left" vertical="center"/>
    </xf>
    <xf numFmtId="0" fontId="11" fillId="0" borderId="0" xfId="0" applyFont="1" applyAlignment="1">
      <alignment horizontal="center" vertical="center"/>
    </xf>
    <xf numFmtId="0" fontId="15" fillId="0" borderId="0" xfId="0" applyFont="1" applyAlignment="1">
      <alignment horizontal="left" vertical="center"/>
    </xf>
    <xf numFmtId="0" fontId="9" fillId="0" borderId="0" xfId="0" applyFont="1" applyAlignment="1">
      <alignment horizontal="center" vertical="center"/>
    </xf>
    <xf numFmtId="0" fontId="10" fillId="0" borderId="0" xfId="0" applyFont="1" applyAlignment="1">
      <alignment horizontal="left" vertical="center"/>
    </xf>
    <xf numFmtId="0" fontId="9" fillId="0" borderId="0" xfId="0" applyFont="1" applyAlignment="1">
      <alignment horizontal="left" vertical="center"/>
    </xf>
    <xf numFmtId="9" fontId="9" fillId="0" borderId="0" xfId="0" applyNumberFormat="1" applyFont="1" applyAlignment="1">
      <alignment horizontal="left" vertical="center"/>
    </xf>
    <xf numFmtId="9" fontId="16" fillId="0" borderId="0" xfId="2" applyNumberFormat="1" applyFont="1" applyAlignment="1">
      <alignment horizontal="left" vertical="center"/>
    </xf>
    <xf numFmtId="10" fontId="9" fillId="0" borderId="0" xfId="0" applyNumberFormat="1" applyFont="1" applyAlignment="1">
      <alignment horizontal="left" vertical="center"/>
    </xf>
    <xf numFmtId="0" fontId="1" fillId="2" borderId="0" xfId="0" applyFont="1" applyFill="1" applyAlignment="1">
      <alignment horizontal="center" vertical="center"/>
    </xf>
    <xf numFmtId="0" fontId="17" fillId="0" borderId="0" xfId="2" applyFont="1" applyAlignment="1">
      <alignment horizontal="left" vertical="center"/>
    </xf>
    <xf numFmtId="2" fontId="9" fillId="0" borderId="0" xfId="0" applyNumberFormat="1" applyFont="1" applyAlignment="1">
      <alignment horizontal="center" vertical="center"/>
    </xf>
    <xf numFmtId="0" fontId="1" fillId="6" borderId="0" xfId="0" applyFont="1" applyFill="1" applyAlignment="1">
      <alignment horizontal="left" vertical="center"/>
    </xf>
    <xf numFmtId="2" fontId="1" fillId="6" borderId="0" xfId="0" applyNumberFormat="1" applyFont="1" applyFill="1" applyAlignment="1">
      <alignment horizontal="center" vertical="center"/>
    </xf>
    <xf numFmtId="164" fontId="9" fillId="0" borderId="0" xfId="1" applyNumberFormat="1" applyFont="1" applyAlignment="1">
      <alignment horizontal="center" vertical="center"/>
    </xf>
    <xf numFmtId="164" fontId="3" fillId="0" borderId="0" xfId="1" applyNumberFormat="1" applyFont="1" applyAlignment="1">
      <alignment horizontal="center" vertical="center"/>
    </xf>
    <xf numFmtId="2" fontId="9" fillId="0" borderId="0" xfId="1" applyNumberFormat="1" applyFont="1" applyFill="1" applyAlignment="1">
      <alignment horizontal="center" vertical="center"/>
    </xf>
    <xf numFmtId="2" fontId="3" fillId="0" borderId="0" xfId="1" applyNumberFormat="1" applyFont="1" applyFill="1" applyAlignment="1">
      <alignment horizontal="center" vertical="center"/>
    </xf>
    <xf numFmtId="2" fontId="9" fillId="0" borderId="0" xfId="1" applyNumberFormat="1" applyFont="1" applyAlignment="1">
      <alignment horizontal="center" vertical="center"/>
    </xf>
    <xf numFmtId="2" fontId="3" fillId="0" borderId="0" xfId="1" applyNumberFormat="1" applyFont="1" applyAlignment="1">
      <alignment horizontal="center" vertical="center"/>
    </xf>
    <xf numFmtId="2" fontId="10" fillId="0" borderId="0" xfId="0" applyNumberFormat="1" applyFont="1" applyAlignment="1">
      <alignment horizontal="center" vertical="center"/>
    </xf>
    <xf numFmtId="2" fontId="2" fillId="0" borderId="0" xfId="0" applyNumberFormat="1" applyFont="1" applyAlignment="1">
      <alignment horizontal="center" vertical="center"/>
    </xf>
    <xf numFmtId="4" fontId="9" fillId="0" borderId="0" xfId="0" applyNumberFormat="1" applyFont="1" applyAlignment="1">
      <alignment horizontal="center" vertical="center"/>
    </xf>
    <xf numFmtId="4" fontId="9" fillId="2" borderId="0" xfId="0" applyNumberFormat="1" applyFont="1" applyFill="1" applyAlignment="1">
      <alignment horizontal="center" vertical="center"/>
    </xf>
    <xf numFmtId="4" fontId="10" fillId="2" borderId="0" xfId="0" applyNumberFormat="1" applyFont="1" applyFill="1" applyAlignment="1">
      <alignment horizontal="center" vertical="center"/>
    </xf>
    <xf numFmtId="4" fontId="3" fillId="2" borderId="0" xfId="0" applyNumberFormat="1" applyFont="1" applyFill="1" applyAlignment="1">
      <alignment horizontal="center" vertical="center"/>
    </xf>
    <xf numFmtId="4" fontId="2" fillId="2" borderId="0" xfId="0" applyNumberFormat="1" applyFont="1" applyFill="1" applyAlignment="1">
      <alignment horizontal="center" vertical="center"/>
    </xf>
    <xf numFmtId="4" fontId="3" fillId="0" borderId="0" xfId="0" applyNumberFormat="1" applyFont="1" applyAlignment="1">
      <alignment horizontal="center" vertical="center"/>
    </xf>
    <xf numFmtId="0" fontId="1" fillId="4" borderId="1" xfId="0" applyFont="1" applyFill="1" applyBorder="1" applyAlignment="1">
      <alignment horizontal="left" vertical="center"/>
    </xf>
    <xf numFmtId="164" fontId="1" fillId="4" borderId="1" xfId="0" applyNumberFormat="1" applyFont="1" applyFill="1" applyBorder="1" applyAlignment="1">
      <alignment horizontal="center" vertical="center"/>
    </xf>
    <xf numFmtId="164" fontId="2" fillId="4" borderId="1" xfId="0" applyNumberFormat="1" applyFont="1" applyFill="1" applyBorder="1" applyAlignment="1">
      <alignment horizontal="center" vertical="center"/>
    </xf>
    <xf numFmtId="10" fontId="10" fillId="0" borderId="0" xfId="1" applyNumberFormat="1" applyFont="1" applyAlignment="1">
      <alignment horizontal="center" vertical="center"/>
    </xf>
    <xf numFmtId="164" fontId="9" fillId="0" borderId="1" xfId="0" applyNumberFormat="1" applyFont="1" applyBorder="1" applyAlignment="1">
      <alignment horizontal="center" vertical="center"/>
    </xf>
    <xf numFmtId="0" fontId="1" fillId="0" borderId="1" xfId="0" applyFont="1" applyBorder="1" applyAlignment="1">
      <alignment horizontal="left" vertical="center"/>
    </xf>
    <xf numFmtId="164" fontId="1" fillId="0" borderId="1" xfId="0" applyNumberFormat="1" applyFont="1" applyBorder="1" applyAlignment="1">
      <alignment horizontal="center" vertical="center"/>
    </xf>
    <xf numFmtId="4" fontId="1"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0" fontId="17" fillId="0" borderId="0" xfId="2" applyFont="1"/>
    <xf numFmtId="0" fontId="18" fillId="0" borderId="0" xfId="2" applyFont="1" applyAlignment="1">
      <alignment horizontal="left" vertical="center"/>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FF5D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187811</xdr:colOff>
      <xdr:row>0</xdr:row>
      <xdr:rowOff>66582</xdr:rowOff>
    </xdr:from>
    <xdr:to>
      <xdr:col>14</xdr:col>
      <xdr:colOff>412112</xdr:colOff>
      <xdr:row>12</xdr:row>
      <xdr:rowOff>33608</xdr:rowOff>
    </xdr:to>
    <xdr:pic>
      <xdr:nvPicPr>
        <xdr:cNvPr id="2" name="Picture 1">
          <a:extLst>
            <a:ext uri="{FF2B5EF4-FFF2-40B4-BE49-F238E27FC236}">
              <a16:creationId xmlns:a16="http://schemas.microsoft.com/office/drawing/2014/main" id="{66FFCD71-5D26-0757-ADC9-DD7B121AEAE0}"/>
            </a:ext>
          </a:extLst>
        </xdr:cNvPr>
        <xdr:cNvPicPr>
          <a:picLocks noChangeAspect="1"/>
        </xdr:cNvPicPr>
      </xdr:nvPicPr>
      <xdr:blipFill>
        <a:blip xmlns:r="http://schemas.openxmlformats.org/officeDocument/2006/relationships" r:embed="rId1"/>
        <a:stretch>
          <a:fillRect/>
        </a:stretch>
      </xdr:blipFill>
      <xdr:spPr>
        <a:xfrm>
          <a:off x="3235811" y="66582"/>
          <a:ext cx="5710701" cy="2209211"/>
        </a:xfrm>
        <a:prstGeom prst="rect">
          <a:avLst/>
        </a:prstGeom>
        <a:ln>
          <a:solidFill>
            <a:sysClr val="windowText" lastClr="000000"/>
          </a:solidFill>
        </a:ln>
      </xdr:spPr>
    </xdr:pic>
    <xdr:clientData/>
  </xdr:twoCellAnchor>
  <xdr:twoCellAnchor editAs="oneCell">
    <xdr:from>
      <xdr:col>14</xdr:col>
      <xdr:colOff>485439</xdr:colOff>
      <xdr:row>0</xdr:row>
      <xdr:rowOff>54868</xdr:rowOff>
    </xdr:from>
    <xdr:to>
      <xdr:col>23</xdr:col>
      <xdr:colOff>227758</xdr:colOff>
      <xdr:row>17</xdr:row>
      <xdr:rowOff>80637</xdr:rowOff>
    </xdr:to>
    <xdr:pic>
      <xdr:nvPicPr>
        <xdr:cNvPr id="3" name="Picture 2">
          <a:extLst>
            <a:ext uri="{FF2B5EF4-FFF2-40B4-BE49-F238E27FC236}">
              <a16:creationId xmlns:a16="http://schemas.microsoft.com/office/drawing/2014/main" id="{787FF57E-CDA1-F8B2-7D90-9190A4B29871}"/>
            </a:ext>
          </a:extLst>
        </xdr:cNvPr>
        <xdr:cNvPicPr>
          <a:picLocks noChangeAspect="1"/>
        </xdr:cNvPicPr>
      </xdr:nvPicPr>
      <xdr:blipFill>
        <a:blip xmlns:r="http://schemas.openxmlformats.org/officeDocument/2006/relationships" r:embed="rId2"/>
        <a:stretch>
          <a:fillRect/>
        </a:stretch>
      </xdr:blipFill>
      <xdr:spPr>
        <a:xfrm>
          <a:off x="9019839" y="54868"/>
          <a:ext cx="5228719" cy="3182354"/>
        </a:xfrm>
        <a:prstGeom prst="rect">
          <a:avLst/>
        </a:prstGeom>
        <a:ln>
          <a:solidFill>
            <a:sysClr val="windowText" lastClr="000000"/>
          </a:solidFill>
        </a:ln>
      </xdr:spPr>
    </xdr:pic>
    <xdr:clientData/>
  </xdr:twoCellAnchor>
  <xdr:twoCellAnchor editAs="oneCell">
    <xdr:from>
      <xdr:col>19</xdr:col>
      <xdr:colOff>266700</xdr:colOff>
      <xdr:row>19</xdr:row>
      <xdr:rowOff>17585</xdr:rowOff>
    </xdr:from>
    <xdr:to>
      <xdr:col>26</xdr:col>
      <xdr:colOff>311180</xdr:colOff>
      <xdr:row>32</xdr:row>
      <xdr:rowOff>162099</xdr:rowOff>
    </xdr:to>
    <xdr:pic>
      <xdr:nvPicPr>
        <xdr:cNvPr id="4" name="Picture 3">
          <a:extLst>
            <a:ext uri="{FF2B5EF4-FFF2-40B4-BE49-F238E27FC236}">
              <a16:creationId xmlns:a16="http://schemas.microsoft.com/office/drawing/2014/main" id="{EEA52336-0690-67CF-9F68-B744B40E548F}"/>
            </a:ext>
          </a:extLst>
        </xdr:cNvPr>
        <xdr:cNvPicPr>
          <a:picLocks noChangeAspect="1"/>
        </xdr:cNvPicPr>
      </xdr:nvPicPr>
      <xdr:blipFill>
        <a:blip xmlns:r="http://schemas.openxmlformats.org/officeDocument/2006/relationships" r:embed="rId3"/>
        <a:stretch>
          <a:fillRect/>
        </a:stretch>
      </xdr:blipFill>
      <xdr:spPr>
        <a:xfrm>
          <a:off x="11849100" y="3456110"/>
          <a:ext cx="4311680" cy="2497189"/>
        </a:xfrm>
        <a:prstGeom prst="rect">
          <a:avLst/>
        </a:prstGeom>
        <a:ln>
          <a:solidFill>
            <a:sysClr val="windowText" lastClr="000000"/>
          </a:solidFill>
        </a:ln>
      </xdr:spPr>
    </xdr:pic>
    <xdr:clientData/>
  </xdr:twoCellAnchor>
  <xdr:twoCellAnchor editAs="oneCell">
    <xdr:from>
      <xdr:col>23</xdr:col>
      <xdr:colOff>380999</xdr:colOff>
      <xdr:row>0</xdr:row>
      <xdr:rowOff>96174</xdr:rowOff>
    </xdr:from>
    <xdr:to>
      <xdr:col>28</xdr:col>
      <xdr:colOff>47624</xdr:colOff>
      <xdr:row>17</xdr:row>
      <xdr:rowOff>65067</xdr:rowOff>
    </xdr:to>
    <xdr:pic>
      <xdr:nvPicPr>
        <xdr:cNvPr id="5" name="Picture 4">
          <a:extLst>
            <a:ext uri="{FF2B5EF4-FFF2-40B4-BE49-F238E27FC236}">
              <a16:creationId xmlns:a16="http://schemas.microsoft.com/office/drawing/2014/main" id="{23FA12E0-4E1B-611C-392C-78A3F12AC85D}"/>
            </a:ext>
          </a:extLst>
        </xdr:cNvPr>
        <xdr:cNvPicPr>
          <a:picLocks noChangeAspect="1"/>
        </xdr:cNvPicPr>
      </xdr:nvPicPr>
      <xdr:blipFill>
        <a:blip xmlns:r="http://schemas.openxmlformats.org/officeDocument/2006/relationships" r:embed="rId4"/>
        <a:stretch>
          <a:fillRect/>
        </a:stretch>
      </xdr:blipFill>
      <xdr:spPr>
        <a:xfrm>
          <a:off x="14401799" y="96174"/>
          <a:ext cx="2714625" cy="3093093"/>
        </a:xfrm>
        <a:prstGeom prst="rect">
          <a:avLst/>
        </a:prstGeom>
        <a:ln>
          <a:solidFill>
            <a:sysClr val="windowText" lastClr="000000"/>
          </a:solidFill>
        </a:ln>
      </xdr:spPr>
    </xdr:pic>
    <xdr:clientData/>
  </xdr:twoCellAnchor>
  <xdr:twoCellAnchor editAs="oneCell">
    <xdr:from>
      <xdr:col>7</xdr:col>
      <xdr:colOff>22637</xdr:colOff>
      <xdr:row>57</xdr:row>
      <xdr:rowOff>3808</xdr:rowOff>
    </xdr:from>
    <xdr:to>
      <xdr:col>8</xdr:col>
      <xdr:colOff>524752</xdr:colOff>
      <xdr:row>72</xdr:row>
      <xdr:rowOff>18067</xdr:rowOff>
    </xdr:to>
    <xdr:pic>
      <xdr:nvPicPr>
        <xdr:cNvPr id="6" name="Picture 5">
          <a:extLst>
            <a:ext uri="{FF2B5EF4-FFF2-40B4-BE49-F238E27FC236}">
              <a16:creationId xmlns:a16="http://schemas.microsoft.com/office/drawing/2014/main" id="{17ACC8AB-0871-ACDD-7419-D53E1FECAE6A}"/>
            </a:ext>
          </a:extLst>
        </xdr:cNvPr>
        <xdr:cNvPicPr>
          <a:picLocks noChangeAspect="1"/>
        </xdr:cNvPicPr>
      </xdr:nvPicPr>
      <xdr:blipFill rotWithShape="1">
        <a:blip xmlns:r="http://schemas.openxmlformats.org/officeDocument/2006/relationships" r:embed="rId5"/>
        <a:srcRect l="12710"/>
        <a:stretch>
          <a:fillRect/>
        </a:stretch>
      </xdr:blipFill>
      <xdr:spPr>
        <a:xfrm>
          <a:off x="4289837" y="10319383"/>
          <a:ext cx="1111715" cy="2728884"/>
        </a:xfrm>
        <a:prstGeom prst="rect">
          <a:avLst/>
        </a:prstGeom>
        <a:ln>
          <a:solidFill>
            <a:sysClr val="windowText" lastClr="000000"/>
          </a:solidFill>
        </a:ln>
      </xdr:spPr>
    </xdr:pic>
    <xdr:clientData/>
  </xdr:twoCellAnchor>
  <xdr:twoCellAnchor editAs="oneCell">
    <xdr:from>
      <xdr:col>13</xdr:col>
      <xdr:colOff>66675</xdr:colOff>
      <xdr:row>20</xdr:row>
      <xdr:rowOff>89006</xdr:rowOff>
    </xdr:from>
    <xdr:to>
      <xdr:col>18</xdr:col>
      <xdr:colOff>436517</xdr:colOff>
      <xdr:row>31</xdr:row>
      <xdr:rowOff>53437</xdr:rowOff>
    </xdr:to>
    <xdr:pic>
      <xdr:nvPicPr>
        <xdr:cNvPr id="7" name="Picture 6">
          <a:extLst>
            <a:ext uri="{FF2B5EF4-FFF2-40B4-BE49-F238E27FC236}">
              <a16:creationId xmlns:a16="http://schemas.microsoft.com/office/drawing/2014/main" id="{D9FA7D24-B1C7-9E87-696A-7CE8967A2DE8}"/>
            </a:ext>
          </a:extLst>
        </xdr:cNvPr>
        <xdr:cNvPicPr>
          <a:picLocks noChangeAspect="1"/>
        </xdr:cNvPicPr>
      </xdr:nvPicPr>
      <xdr:blipFill>
        <a:blip xmlns:r="http://schemas.openxmlformats.org/officeDocument/2006/relationships" r:embed="rId6"/>
        <a:stretch>
          <a:fillRect/>
        </a:stretch>
      </xdr:blipFill>
      <xdr:spPr>
        <a:xfrm>
          <a:off x="7991475" y="3708506"/>
          <a:ext cx="3417842" cy="1955156"/>
        </a:xfrm>
        <a:prstGeom prst="rect">
          <a:avLst/>
        </a:prstGeom>
        <a:ln>
          <a:solidFill>
            <a:sysClr val="windowText" lastClr="000000"/>
          </a:solidFill>
        </a:ln>
      </xdr:spPr>
    </xdr:pic>
    <xdr:clientData/>
  </xdr:twoCellAnchor>
  <xdr:twoCellAnchor editAs="oneCell">
    <xdr:from>
      <xdr:col>3</xdr:col>
      <xdr:colOff>231571</xdr:colOff>
      <xdr:row>0</xdr:row>
      <xdr:rowOff>123264</xdr:rowOff>
    </xdr:from>
    <xdr:to>
      <xdr:col>4</xdr:col>
      <xdr:colOff>591961</xdr:colOff>
      <xdr:row>12</xdr:row>
      <xdr:rowOff>31771</xdr:rowOff>
    </xdr:to>
    <xdr:pic>
      <xdr:nvPicPr>
        <xdr:cNvPr id="8" name="Picture 7">
          <a:extLst>
            <a:ext uri="{FF2B5EF4-FFF2-40B4-BE49-F238E27FC236}">
              <a16:creationId xmlns:a16="http://schemas.microsoft.com/office/drawing/2014/main" id="{7962C103-43DA-C35D-3971-1D196D5C8DEA}"/>
            </a:ext>
          </a:extLst>
        </xdr:cNvPr>
        <xdr:cNvPicPr>
          <a:picLocks noChangeAspect="1"/>
        </xdr:cNvPicPr>
      </xdr:nvPicPr>
      <xdr:blipFill>
        <a:blip xmlns:r="http://schemas.openxmlformats.org/officeDocument/2006/relationships" r:embed="rId7"/>
        <a:stretch>
          <a:fillRect/>
        </a:stretch>
      </xdr:blipFill>
      <xdr:spPr>
        <a:xfrm>
          <a:off x="2060371" y="123264"/>
          <a:ext cx="969990" cy="2150692"/>
        </a:xfrm>
        <a:prstGeom prst="rect">
          <a:avLst/>
        </a:prstGeom>
      </xdr:spPr>
    </xdr:pic>
    <xdr:clientData/>
  </xdr:twoCellAnchor>
  <xdr:twoCellAnchor editAs="oneCell">
    <xdr:from>
      <xdr:col>0</xdr:col>
      <xdr:colOff>38100</xdr:colOff>
      <xdr:row>20</xdr:row>
      <xdr:rowOff>69264</xdr:rowOff>
    </xdr:from>
    <xdr:to>
      <xdr:col>5</xdr:col>
      <xdr:colOff>365995</xdr:colOff>
      <xdr:row>30</xdr:row>
      <xdr:rowOff>96031</xdr:rowOff>
    </xdr:to>
    <xdr:pic>
      <xdr:nvPicPr>
        <xdr:cNvPr id="9" name="Picture 8">
          <a:extLst>
            <a:ext uri="{FF2B5EF4-FFF2-40B4-BE49-F238E27FC236}">
              <a16:creationId xmlns:a16="http://schemas.microsoft.com/office/drawing/2014/main" id="{65EE0C58-1196-51B6-C185-D0DFAC069DA2}"/>
            </a:ext>
          </a:extLst>
        </xdr:cNvPr>
        <xdr:cNvPicPr>
          <a:picLocks noChangeAspect="1"/>
        </xdr:cNvPicPr>
      </xdr:nvPicPr>
      <xdr:blipFill>
        <a:blip xmlns:r="http://schemas.openxmlformats.org/officeDocument/2006/relationships" r:embed="rId8"/>
        <a:stretch>
          <a:fillRect/>
        </a:stretch>
      </xdr:blipFill>
      <xdr:spPr>
        <a:xfrm>
          <a:off x="38100" y="3726864"/>
          <a:ext cx="3375895" cy="1855567"/>
        </a:xfrm>
        <a:prstGeom prst="rect">
          <a:avLst/>
        </a:prstGeom>
        <a:ln>
          <a:solidFill>
            <a:sysClr val="windowText" lastClr="000000"/>
          </a:solidFill>
        </a:ln>
      </xdr:spPr>
    </xdr:pic>
    <xdr:clientData/>
  </xdr:twoCellAnchor>
  <xdr:twoCellAnchor editAs="oneCell">
    <xdr:from>
      <xdr:col>0</xdr:col>
      <xdr:colOff>141644</xdr:colOff>
      <xdr:row>43</xdr:row>
      <xdr:rowOff>98612</xdr:rowOff>
    </xdr:from>
    <xdr:to>
      <xdr:col>3</xdr:col>
      <xdr:colOff>504942</xdr:colOff>
      <xdr:row>54</xdr:row>
      <xdr:rowOff>45345</xdr:rowOff>
    </xdr:to>
    <xdr:pic>
      <xdr:nvPicPr>
        <xdr:cNvPr id="10" name="Picture 9">
          <a:extLst>
            <a:ext uri="{FF2B5EF4-FFF2-40B4-BE49-F238E27FC236}">
              <a16:creationId xmlns:a16="http://schemas.microsoft.com/office/drawing/2014/main" id="{F34D90F8-6CB7-256F-91E2-B80844172B6F}"/>
            </a:ext>
          </a:extLst>
        </xdr:cNvPr>
        <xdr:cNvPicPr>
          <a:picLocks noChangeAspect="1"/>
        </xdr:cNvPicPr>
      </xdr:nvPicPr>
      <xdr:blipFill>
        <a:blip xmlns:r="http://schemas.openxmlformats.org/officeDocument/2006/relationships" r:embed="rId9"/>
        <a:stretch>
          <a:fillRect/>
        </a:stretch>
      </xdr:blipFill>
      <xdr:spPr>
        <a:xfrm>
          <a:off x="141644" y="7808259"/>
          <a:ext cx="2192098" cy="1918968"/>
        </a:xfrm>
        <a:prstGeom prst="rect">
          <a:avLst/>
        </a:prstGeom>
      </xdr:spPr>
    </xdr:pic>
    <xdr:clientData/>
  </xdr:twoCellAnchor>
  <xdr:twoCellAnchor editAs="oneCell">
    <xdr:from>
      <xdr:col>4</xdr:col>
      <xdr:colOff>180974</xdr:colOff>
      <xdr:row>43</xdr:row>
      <xdr:rowOff>40442</xdr:rowOff>
    </xdr:from>
    <xdr:to>
      <xdr:col>9</xdr:col>
      <xdr:colOff>263457</xdr:colOff>
      <xdr:row>56</xdr:row>
      <xdr:rowOff>16042</xdr:rowOff>
    </xdr:to>
    <xdr:pic>
      <xdr:nvPicPr>
        <xdr:cNvPr id="11" name="Picture 10">
          <a:extLst>
            <a:ext uri="{FF2B5EF4-FFF2-40B4-BE49-F238E27FC236}">
              <a16:creationId xmlns:a16="http://schemas.microsoft.com/office/drawing/2014/main" id="{0ABC3F13-6ADE-BA24-E1FA-F228D69DACBA}"/>
            </a:ext>
          </a:extLst>
        </xdr:cNvPr>
        <xdr:cNvPicPr>
          <a:picLocks noChangeAspect="1"/>
        </xdr:cNvPicPr>
      </xdr:nvPicPr>
      <xdr:blipFill>
        <a:blip xmlns:r="http://schemas.openxmlformats.org/officeDocument/2006/relationships" r:embed="rId10"/>
        <a:stretch>
          <a:fillRect/>
        </a:stretch>
      </xdr:blipFill>
      <xdr:spPr>
        <a:xfrm>
          <a:off x="2619374" y="7822367"/>
          <a:ext cx="3130483" cy="2328275"/>
        </a:xfrm>
        <a:prstGeom prst="rect">
          <a:avLst/>
        </a:prstGeom>
        <a:ln>
          <a:solidFill>
            <a:sysClr val="windowText" lastClr="000000"/>
          </a:solidFill>
        </a:ln>
      </xdr:spPr>
    </xdr:pic>
    <xdr:clientData/>
  </xdr:twoCellAnchor>
  <xdr:twoCellAnchor editAs="oneCell">
    <xdr:from>
      <xdr:col>0</xdr:col>
      <xdr:colOff>38100</xdr:colOff>
      <xdr:row>56</xdr:row>
      <xdr:rowOff>86367</xdr:rowOff>
    </xdr:from>
    <xdr:to>
      <xdr:col>6</xdr:col>
      <xdr:colOff>302181</xdr:colOff>
      <xdr:row>72</xdr:row>
      <xdr:rowOff>125795</xdr:rowOff>
    </xdr:to>
    <xdr:pic>
      <xdr:nvPicPr>
        <xdr:cNvPr id="18" name="Picture 17">
          <a:extLst>
            <a:ext uri="{FF2B5EF4-FFF2-40B4-BE49-F238E27FC236}">
              <a16:creationId xmlns:a16="http://schemas.microsoft.com/office/drawing/2014/main" id="{9BE437C2-B202-9643-CD50-74D94E44F1ED}"/>
            </a:ext>
          </a:extLst>
        </xdr:cNvPr>
        <xdr:cNvPicPr>
          <a:picLocks noChangeAspect="1"/>
        </xdr:cNvPicPr>
      </xdr:nvPicPr>
      <xdr:blipFill>
        <a:blip xmlns:r="http://schemas.openxmlformats.org/officeDocument/2006/relationships" r:embed="rId11"/>
        <a:stretch>
          <a:fillRect/>
        </a:stretch>
      </xdr:blipFill>
      <xdr:spPr>
        <a:xfrm>
          <a:off x="38100" y="10220967"/>
          <a:ext cx="3921681" cy="2935028"/>
        </a:xfrm>
        <a:prstGeom prst="rect">
          <a:avLst/>
        </a:prstGeom>
        <a:ln>
          <a:solidFill>
            <a:sysClr val="windowText" lastClr="000000"/>
          </a:solidFill>
        </a:ln>
      </xdr:spPr>
    </xdr:pic>
    <xdr:clientData/>
  </xdr:twoCellAnchor>
  <xdr:twoCellAnchor editAs="oneCell">
    <xdr:from>
      <xdr:col>6</xdr:col>
      <xdr:colOff>304800</xdr:colOff>
      <xdr:row>20</xdr:row>
      <xdr:rowOff>56114</xdr:rowOff>
    </xdr:from>
    <xdr:to>
      <xdr:col>12</xdr:col>
      <xdr:colOff>491024</xdr:colOff>
      <xdr:row>31</xdr:row>
      <xdr:rowOff>24490</xdr:rowOff>
    </xdr:to>
    <xdr:pic>
      <xdr:nvPicPr>
        <xdr:cNvPr id="12" name="Picture 11">
          <a:extLst>
            <a:ext uri="{FF2B5EF4-FFF2-40B4-BE49-F238E27FC236}">
              <a16:creationId xmlns:a16="http://schemas.microsoft.com/office/drawing/2014/main" id="{738151AA-8FE2-5BB8-D094-1F3FB638C892}"/>
            </a:ext>
          </a:extLst>
        </xdr:cNvPr>
        <xdr:cNvPicPr>
          <a:picLocks noChangeAspect="1"/>
        </xdr:cNvPicPr>
      </xdr:nvPicPr>
      <xdr:blipFill>
        <a:blip xmlns:r="http://schemas.openxmlformats.org/officeDocument/2006/relationships" r:embed="rId12"/>
        <a:stretch>
          <a:fillRect/>
        </a:stretch>
      </xdr:blipFill>
      <xdr:spPr>
        <a:xfrm>
          <a:off x="3962400" y="3675614"/>
          <a:ext cx="3843824" cy="1959101"/>
        </a:xfrm>
        <a:prstGeom prst="rect">
          <a:avLst/>
        </a:prstGeom>
        <a:ln>
          <a:solidFill>
            <a:sysClr val="windowText" lastClr="00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ey.com/en_in/insights/media-entertainment/the-music-economy-creator-the-rise-of-music-publishing-in-india"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8F5CF-A491-4844-A985-E13B6D0DC49E}">
  <dimension ref="A1:K19"/>
  <sheetViews>
    <sheetView showGridLines="0" tabSelected="1" workbookViewId="0">
      <selection activeCell="F11" sqref="F11"/>
    </sheetView>
  </sheetViews>
  <sheetFormatPr defaultRowHeight="14.4" x14ac:dyDescent="0.3"/>
  <cols>
    <col min="1" max="1" width="14.5546875" style="7" bestFit="1" customWidth="1"/>
    <col min="2" max="2" width="32.33203125" style="7" bestFit="1" customWidth="1"/>
    <col min="3" max="6" width="9.109375" style="4" bestFit="1" customWidth="1"/>
    <col min="7" max="11" width="9" style="5" bestFit="1" customWidth="1"/>
  </cols>
  <sheetData>
    <row r="1" spans="1:11" s="1" customFormat="1" x14ac:dyDescent="0.3">
      <c r="A1" s="6"/>
      <c r="B1" s="6"/>
      <c r="G1" s="2"/>
      <c r="H1" s="2"/>
      <c r="I1" s="2"/>
      <c r="J1" s="2"/>
      <c r="K1" s="2"/>
    </row>
    <row r="2" spans="1:11" ht="15.6" x14ac:dyDescent="0.3">
      <c r="B2" s="69" t="s">
        <v>448</v>
      </c>
      <c r="C2"/>
      <c r="D2"/>
      <c r="E2"/>
      <c r="F2"/>
      <c r="G2" s="3"/>
      <c r="H2" s="3"/>
      <c r="I2" s="3"/>
      <c r="J2" s="3"/>
      <c r="K2" s="3"/>
    </row>
    <row r="3" spans="1:11" x14ac:dyDescent="0.3">
      <c r="C3"/>
      <c r="D3"/>
      <c r="E3"/>
      <c r="F3"/>
      <c r="G3" s="3"/>
      <c r="H3" s="3"/>
      <c r="I3" s="3"/>
      <c r="J3" s="3"/>
      <c r="K3" s="3"/>
    </row>
    <row r="4" spans="1:11" s="1" customFormat="1" ht="18" x14ac:dyDescent="0.3">
      <c r="A4" s="6"/>
      <c r="B4" s="60" t="s">
        <v>479</v>
      </c>
      <c r="C4" s="8"/>
      <c r="D4" s="8"/>
      <c r="E4" s="8"/>
      <c r="F4" s="8"/>
      <c r="G4" s="9"/>
      <c r="H4" s="9"/>
      <c r="I4" s="9"/>
      <c r="J4" s="9"/>
      <c r="K4" s="9"/>
    </row>
    <row r="5" spans="1:11" ht="15.6" x14ac:dyDescent="0.3">
      <c r="A5" s="61"/>
      <c r="B5" s="105" t="s">
        <v>443</v>
      </c>
      <c r="C5" s="63"/>
      <c r="D5" s="62"/>
      <c r="E5" s="62"/>
    </row>
    <row r="6" spans="1:11" ht="15.6" x14ac:dyDescent="0.3">
      <c r="A6" s="61"/>
      <c r="B6" s="105" t="s">
        <v>444</v>
      </c>
      <c r="C6" s="63"/>
      <c r="D6" s="62"/>
      <c r="E6" s="62"/>
    </row>
    <row r="7" spans="1:11" ht="15.6" x14ac:dyDescent="0.3">
      <c r="A7" s="61"/>
      <c r="B7" s="105" t="s">
        <v>442</v>
      </c>
      <c r="C7" s="63"/>
      <c r="D7" s="62"/>
      <c r="E7" s="62"/>
    </row>
    <row r="8" spans="1:11" ht="15.6" x14ac:dyDescent="0.3">
      <c r="A8" s="61"/>
      <c r="B8" s="105" t="s">
        <v>56</v>
      </c>
      <c r="C8" s="63"/>
      <c r="D8" s="62"/>
      <c r="E8" s="62"/>
    </row>
    <row r="9" spans="1:11" ht="15.6" x14ac:dyDescent="0.3">
      <c r="A9" s="61"/>
      <c r="B9" s="105" t="s">
        <v>445</v>
      </c>
      <c r="C9" s="63"/>
      <c r="D9" s="62"/>
      <c r="E9" s="62"/>
    </row>
    <row r="10" spans="1:11" ht="15.6" x14ac:dyDescent="0.3">
      <c r="A10" s="61"/>
      <c r="B10" s="105" t="s">
        <v>67</v>
      </c>
      <c r="C10" s="63"/>
      <c r="D10" s="62"/>
      <c r="E10" s="62"/>
    </row>
    <row r="11" spans="1:11" ht="15.6" x14ac:dyDescent="0.3">
      <c r="A11" s="61"/>
      <c r="B11" s="105" t="s">
        <v>225</v>
      </c>
      <c r="C11" s="63"/>
      <c r="D11" s="62"/>
      <c r="E11" s="62"/>
    </row>
    <row r="12" spans="1:11" ht="15.6" x14ac:dyDescent="0.3">
      <c r="A12" s="61"/>
      <c r="B12" s="105" t="s">
        <v>270</v>
      </c>
      <c r="C12" s="63"/>
      <c r="D12" s="62"/>
      <c r="E12" s="62"/>
    </row>
    <row r="13" spans="1:11" ht="15.6" x14ac:dyDescent="0.3">
      <c r="A13" s="61"/>
      <c r="B13" s="105" t="s">
        <v>113</v>
      </c>
      <c r="C13" s="63"/>
      <c r="D13" s="62"/>
      <c r="E13" s="62"/>
    </row>
    <row r="14" spans="1:11" ht="15.6" x14ac:dyDescent="0.3">
      <c r="A14" s="61"/>
      <c r="B14" s="105" t="s">
        <v>446</v>
      </c>
      <c r="C14" s="63"/>
      <c r="D14" s="62"/>
      <c r="E14" s="62"/>
    </row>
    <row r="15" spans="1:11" ht="15.6" x14ac:dyDescent="0.3">
      <c r="A15" s="61"/>
      <c r="B15" s="105" t="s">
        <v>447</v>
      </c>
      <c r="C15" s="63"/>
      <c r="D15" s="62"/>
      <c r="E15" s="62"/>
    </row>
    <row r="16" spans="1:11" ht="15.6" x14ac:dyDescent="0.3">
      <c r="A16" s="61"/>
      <c r="B16" s="105" t="s">
        <v>317</v>
      </c>
      <c r="C16" s="63"/>
      <c r="D16" s="62"/>
      <c r="E16" s="62"/>
    </row>
    <row r="17" spans="1:5" ht="15.6" x14ac:dyDescent="0.3">
      <c r="A17" s="61"/>
      <c r="B17" s="105" t="s">
        <v>375</v>
      </c>
      <c r="C17" s="63"/>
      <c r="D17" s="62"/>
      <c r="E17" s="62"/>
    </row>
    <row r="18" spans="1:5" x14ac:dyDescent="0.3">
      <c r="A18" s="61"/>
      <c r="B18" s="61"/>
      <c r="C18" s="62"/>
      <c r="D18" s="62"/>
      <c r="E18" s="62"/>
    </row>
    <row r="19" spans="1:5" ht="15.6" x14ac:dyDescent="0.3">
      <c r="B19" s="69" t="s">
        <v>449</v>
      </c>
    </row>
  </sheetData>
  <hyperlinks>
    <hyperlink ref="B7" location="'Assumption Sheet'!A1" display="Asumption Sheet" xr:uid="{A23B299E-000D-49BA-AC76-4A1A82B83784}"/>
    <hyperlink ref="B5" location="Valuation!A1" display="Valuation" xr:uid="{A7ED4B90-E056-4C42-9FC7-80600DE70EFB}"/>
    <hyperlink ref="B6" location="'Scenario Analysis '!A1" display="Scenario Analysis " xr:uid="{B188EC25-7311-47DF-BBD9-B4AE64E275A8}"/>
    <hyperlink ref="B8" location="'Balance Sheet'!A1" display="Balance Sheet" xr:uid="{CC6081C6-D50C-49DD-A530-A15068CD57D4}"/>
    <hyperlink ref="B9" location="IS!A1" display="Income Statement " xr:uid="{81B87BBE-A2D9-459B-B28D-B8956AB6FE1D}"/>
    <hyperlink ref="B10" location="CFS!A1" display="Cash Flow Statement" xr:uid="{2E7B30DE-9E3C-40C4-958B-8577DC6DC52D}"/>
    <hyperlink ref="B11" location="'Revenue Model'!A1" display="Revenue Model " xr:uid="{3F733FFF-9B2D-454C-B6F9-7615F1D0CD51}"/>
    <hyperlink ref="B12" location="'Cost Model '!A1" display="Cost Model " xr:uid="{14F57B21-A1DC-4B38-84E3-A670B651B2AB}"/>
    <hyperlink ref="B13" location="'Capex Schedule '!A1" display="Capex Schedule " xr:uid="{B4E75B97-C727-41F6-BE5D-892A19DBF579}"/>
    <hyperlink ref="B14" location="'Depreciation &amp; Finance Cost '!A1" display="Depreciation &amp; Finance Cost Schedule " xr:uid="{2AA6E16C-7953-4376-998C-FD3407A8ADAC}"/>
    <hyperlink ref="B15" location="'WC Schedule '!A1" display="Working Capital Schedule " xr:uid="{98E5FDB0-6CE1-42C7-86C7-EEF362046FFC}"/>
    <hyperlink ref="B16" location="'Lease Schedule '!A1" display="Lease Schedule " xr:uid="{752E6745-70DD-4C1C-8D0D-3ECE8E14D1AA}"/>
    <hyperlink ref="B17" location="'Other Income Schedule '!A1" display="Other Income Schedule " xr:uid="{B475680B-C6E5-4A72-BF97-8C9C9E7B194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3C2A2-EED9-4C8D-9773-19BCCAE6CB4C}">
  <dimension ref="A1:L26"/>
  <sheetViews>
    <sheetView showGridLines="0" workbookViewId="0">
      <pane xSplit="2" ySplit="3" topLeftCell="C4" activePane="bottomRight" state="frozen"/>
      <selection pane="topRight" activeCell="C1" sqref="C1"/>
      <selection pane="bottomLeft" activeCell="A4" sqref="A4"/>
      <selection pane="bottomRight"/>
    </sheetView>
  </sheetViews>
  <sheetFormatPr defaultRowHeight="14.4" x14ac:dyDescent="0.3"/>
  <cols>
    <col min="1" max="1" width="34.109375" style="7" bestFit="1" customWidth="1"/>
    <col min="2" max="2" width="11.33203125" style="7" customWidth="1"/>
    <col min="3" max="4" width="10.109375" style="31" bestFit="1" customWidth="1"/>
    <col min="5" max="5" width="9.44140625" style="31" bestFit="1" customWidth="1"/>
    <col min="6" max="6" width="10.109375" style="31" bestFit="1" customWidth="1"/>
    <col min="7" max="10" width="12.77734375" style="5" bestFit="1" customWidth="1"/>
    <col min="11" max="11" width="13.6640625" style="5" bestFit="1" customWidth="1"/>
  </cols>
  <sheetData>
    <row r="1" spans="1:11" s="1" customFormat="1" ht="18" x14ac:dyDescent="0.3">
      <c r="A1" s="77" t="s">
        <v>443</v>
      </c>
      <c r="B1" s="6"/>
      <c r="C1" s="38"/>
      <c r="D1" s="38"/>
      <c r="E1" s="38"/>
      <c r="F1" s="38"/>
      <c r="G1" s="9"/>
      <c r="H1" s="9"/>
      <c r="I1" s="9"/>
      <c r="J1" s="9"/>
      <c r="K1" s="9"/>
    </row>
    <row r="2" spans="1:11" x14ac:dyDescent="0.3">
      <c r="A2" s="7" t="s">
        <v>1</v>
      </c>
      <c r="C2" s="70"/>
      <c r="D2" s="70"/>
      <c r="E2" s="70"/>
      <c r="F2" s="70"/>
      <c r="G2" s="33"/>
      <c r="H2" s="33"/>
      <c r="I2" s="33"/>
      <c r="J2" s="33"/>
      <c r="K2" s="33"/>
    </row>
    <row r="3" spans="1:11" s="1" customFormat="1" x14ac:dyDescent="0.3">
      <c r="A3" s="6" t="s">
        <v>2</v>
      </c>
      <c r="B3" s="6" t="s">
        <v>3</v>
      </c>
      <c r="C3" s="38" t="s">
        <v>4</v>
      </c>
      <c r="D3" s="38" t="s">
        <v>5</v>
      </c>
      <c r="E3" s="38" t="s">
        <v>6</v>
      </c>
      <c r="F3" s="38" t="s">
        <v>7</v>
      </c>
      <c r="G3" s="9" t="s">
        <v>8</v>
      </c>
      <c r="H3" s="9" t="s">
        <v>9</v>
      </c>
      <c r="I3" s="9" t="s">
        <v>10</v>
      </c>
      <c r="J3" s="9" t="s">
        <v>11</v>
      </c>
      <c r="K3" s="9" t="s">
        <v>12</v>
      </c>
    </row>
    <row r="4" spans="1:11" x14ac:dyDescent="0.3">
      <c r="A4" s="6" t="s">
        <v>420</v>
      </c>
    </row>
    <row r="5" spans="1:11" x14ac:dyDescent="0.3">
      <c r="A5" s="7" t="s">
        <v>421</v>
      </c>
      <c r="C5" s="31">
        <f>CFS!C31</f>
        <v>9442.52</v>
      </c>
      <c r="D5" s="31">
        <f>CFS!D31</f>
        <v>9343.0300000000025</v>
      </c>
      <c r="E5" s="31">
        <f>CFS!E31</f>
        <v>9324.5399999999972</v>
      </c>
      <c r="F5" s="31">
        <f>CFS!F31</f>
        <v>33119.56</v>
      </c>
      <c r="G5" s="5">
        <f>CFS!G31</f>
        <v>30438.285147089628</v>
      </c>
      <c r="H5" s="5">
        <f>CFS!H31</f>
        <v>30188.746719677176</v>
      </c>
      <c r="I5" s="5">
        <f>CFS!I31</f>
        <v>33273.052340354734</v>
      </c>
      <c r="J5" s="5">
        <f>CFS!J31</f>
        <v>39151.891173162519</v>
      </c>
      <c r="K5" s="5">
        <f>CFS!K31</f>
        <v>42967.402860633709</v>
      </c>
    </row>
    <row r="6" spans="1:11" x14ac:dyDescent="0.3">
      <c r="A6" s="7" t="str">
        <f>CFS!A51</f>
        <v>Interest paid</v>
      </c>
      <c r="C6" s="31">
        <f>CFS!C51</f>
        <v>-94.63</v>
      </c>
      <c r="D6" s="31">
        <f>CFS!D51</f>
        <v>-62.22</v>
      </c>
      <c r="E6" s="31">
        <f>CFS!E51</f>
        <v>-298.92</v>
      </c>
      <c r="F6" s="31">
        <f>CFS!F51</f>
        <v>-88.23</v>
      </c>
      <c r="G6" s="5">
        <f>CFS!G51</f>
        <v>-153.11295999999999</v>
      </c>
      <c r="H6" s="5">
        <f>CFS!H51</f>
        <v>-144.20855857574577</v>
      </c>
      <c r="I6" s="5">
        <f>CFS!I51</f>
        <v>-137.96847043483265</v>
      </c>
      <c r="J6" s="5">
        <f>CFS!J51</f>
        <v>-133.59549822130441</v>
      </c>
      <c r="K6" s="5">
        <f>CFS!K51</f>
        <v>-130.53097644717903</v>
      </c>
    </row>
    <row r="7" spans="1:11" x14ac:dyDescent="0.3">
      <c r="A7" s="7" t="s">
        <v>422</v>
      </c>
      <c r="C7" s="31">
        <f>CFS!C41</f>
        <v>-63029.27</v>
      </c>
      <c r="D7" s="31">
        <f>CFS!D41</f>
        <v>-14814.249999999985</v>
      </c>
      <c r="E7" s="31">
        <f>CFS!E41</f>
        <v>1659.4200000000055</v>
      </c>
      <c r="F7" s="31">
        <f>CFS!F41</f>
        <v>-22060.199999999997</v>
      </c>
      <c r="G7" s="5">
        <f>CFS!G41</f>
        <v>-23469.615470293895</v>
      </c>
      <c r="H7" s="5">
        <f>CFS!H41</f>
        <v>-22587.571602425669</v>
      </c>
      <c r="I7" s="5">
        <f>CFS!I41</f>
        <v>-21107.613587817621</v>
      </c>
      <c r="J7" s="5">
        <f>CFS!J41</f>
        <v>2397.1458697524049</v>
      </c>
      <c r="K7" s="5">
        <f>CFS!K41</f>
        <v>5555.1185607740154</v>
      </c>
    </row>
    <row r="8" spans="1:11" x14ac:dyDescent="0.3">
      <c r="A8" s="7" t="s">
        <v>430</v>
      </c>
      <c r="B8" s="7" t="s">
        <v>431</v>
      </c>
      <c r="C8" s="31">
        <f>CFS!C46+CFS!C47</f>
        <v>0</v>
      </c>
      <c r="D8" s="31">
        <f>CFS!D46+CFS!D47</f>
        <v>0</v>
      </c>
      <c r="E8" s="31">
        <f>CFS!E46+CFS!E47</f>
        <v>-140.06</v>
      </c>
      <c r="F8" s="31">
        <f>CFS!F46+CFS!F47</f>
        <v>-165.02</v>
      </c>
      <c r="G8" s="5">
        <f>CFS!G46+CFS!G47</f>
        <v>0</v>
      </c>
      <c r="H8" s="5">
        <f>CFS!H46+CFS!H47</f>
        <v>0</v>
      </c>
      <c r="I8" s="5">
        <f>CFS!I46+CFS!I47</f>
        <v>0</v>
      </c>
      <c r="J8" s="5">
        <f>CFS!J46+CFS!J47</f>
        <v>0</v>
      </c>
      <c r="K8" s="5">
        <f>CFS!K46+CFS!K47</f>
        <v>0</v>
      </c>
    </row>
    <row r="9" spans="1:11" x14ac:dyDescent="0.3">
      <c r="A9" s="52" t="s">
        <v>423</v>
      </c>
      <c r="B9" s="52"/>
      <c r="C9" s="99">
        <f>SUM(C5:C8)</f>
        <v>-53681.38</v>
      </c>
      <c r="D9" s="99">
        <f t="shared" ref="D9:K9" si="0">SUM(D5:D8)</f>
        <v>-5533.4399999999823</v>
      </c>
      <c r="E9" s="99">
        <f t="shared" si="0"/>
        <v>10544.980000000003</v>
      </c>
      <c r="F9" s="99">
        <f t="shared" si="0"/>
        <v>10806.109999999997</v>
      </c>
      <c r="G9" s="53">
        <f t="shared" si="0"/>
        <v>6815.5567167957342</v>
      </c>
      <c r="H9" s="53">
        <f t="shared" si="0"/>
        <v>7456.9665586757619</v>
      </c>
      <c r="I9" s="53">
        <f t="shared" si="0"/>
        <v>12027.47028210228</v>
      </c>
      <c r="J9" s="53">
        <f t="shared" si="0"/>
        <v>41415.441544693618</v>
      </c>
      <c r="K9" s="53">
        <f t="shared" si="0"/>
        <v>48391.990444960538</v>
      </c>
    </row>
    <row r="11" spans="1:11" x14ac:dyDescent="0.3">
      <c r="A11" s="7" t="s">
        <v>426</v>
      </c>
      <c r="B11" s="55">
        <f>'Assumption Sheet'!B149</f>
        <v>6.0299999999999999E-2</v>
      </c>
    </row>
    <row r="12" spans="1:11" x14ac:dyDescent="0.3">
      <c r="A12" s="7" t="s">
        <v>428</v>
      </c>
      <c r="B12" s="24">
        <f>'Assumption Sheet'!B150</f>
        <v>0.59</v>
      </c>
    </row>
    <row r="13" spans="1:11" x14ac:dyDescent="0.3">
      <c r="A13" s="7" t="s">
        <v>427</v>
      </c>
      <c r="B13" s="55">
        <f>'Assumption Sheet'!B151</f>
        <v>7.0800000000000002E-2</v>
      </c>
    </row>
    <row r="14" spans="1:11" x14ac:dyDescent="0.3">
      <c r="A14" s="52" t="s">
        <v>434</v>
      </c>
      <c r="B14" s="56">
        <f>B11+(B12*B13)</f>
        <v>0.102072</v>
      </c>
    </row>
    <row r="15" spans="1:11" x14ac:dyDescent="0.3">
      <c r="B15" s="24"/>
    </row>
    <row r="16" spans="1:11" x14ac:dyDescent="0.3">
      <c r="A16" s="7" t="s">
        <v>480</v>
      </c>
      <c r="B16" s="57">
        <f>'Assumption Sheet'!B152</f>
        <v>0.05</v>
      </c>
    </row>
    <row r="17" spans="1:12" x14ac:dyDescent="0.3">
      <c r="B17" s="24"/>
    </row>
    <row r="18" spans="1:12" x14ac:dyDescent="0.3">
      <c r="A18" s="7" t="s">
        <v>424</v>
      </c>
      <c r="B18" s="24"/>
      <c r="G18" s="54">
        <v>46112</v>
      </c>
      <c r="H18" s="54">
        <v>46477</v>
      </c>
      <c r="I18" s="54">
        <v>46843</v>
      </c>
      <c r="J18" s="54">
        <v>47208</v>
      </c>
      <c r="K18" s="54">
        <v>47573</v>
      </c>
      <c r="L18" s="54"/>
    </row>
    <row r="19" spans="1:12" x14ac:dyDescent="0.3">
      <c r="A19" s="7" t="s">
        <v>437</v>
      </c>
      <c r="B19" s="24"/>
      <c r="G19" s="5">
        <f>G9</f>
        <v>6815.5567167957342</v>
      </c>
      <c r="H19" s="5">
        <f>H9</f>
        <v>7456.9665586757619</v>
      </c>
      <c r="I19" s="5">
        <f>I9</f>
        <v>12027.47028210228</v>
      </c>
      <c r="J19" s="5">
        <f>J9</f>
        <v>41415.441544693618</v>
      </c>
      <c r="K19" s="5">
        <f>K9</f>
        <v>48391.990444960538</v>
      </c>
    </row>
    <row r="20" spans="1:12" x14ac:dyDescent="0.3">
      <c r="A20" s="7" t="s">
        <v>425</v>
      </c>
      <c r="B20" s="24"/>
      <c r="K20" s="5">
        <f>(K19*(1+B16))/(B14-B16)</f>
        <v>975794.86033201288</v>
      </c>
    </row>
    <row r="21" spans="1:12" x14ac:dyDescent="0.3">
      <c r="A21" s="52" t="s">
        <v>436</v>
      </c>
      <c r="B21" s="58"/>
      <c r="C21" s="99"/>
      <c r="D21" s="99"/>
      <c r="E21" s="99"/>
      <c r="F21" s="99"/>
      <c r="G21" s="53">
        <f>SUM(G19:G20)</f>
        <v>6815.5567167957342</v>
      </c>
      <c r="H21" s="53">
        <f t="shared" ref="H21:K21" si="1">SUM(H19:H20)</f>
        <v>7456.9665586757619</v>
      </c>
      <c r="I21" s="53">
        <f t="shared" si="1"/>
        <v>12027.47028210228</v>
      </c>
      <c r="J21" s="53">
        <f t="shared" si="1"/>
        <v>41415.441544693618</v>
      </c>
      <c r="K21" s="53">
        <f t="shared" si="1"/>
        <v>1024186.8507769734</v>
      </c>
    </row>
    <row r="22" spans="1:12" x14ac:dyDescent="0.3">
      <c r="B22" s="24"/>
    </row>
    <row r="23" spans="1:12" x14ac:dyDescent="0.3">
      <c r="A23" s="7" t="s">
        <v>435</v>
      </c>
      <c r="B23" s="24">
        <f>XNPV(B14,G21:K21,G18:K18)</f>
        <v>748517.1855600538</v>
      </c>
    </row>
    <row r="24" spans="1:12" x14ac:dyDescent="0.3">
      <c r="A24" s="7" t="s">
        <v>438</v>
      </c>
      <c r="B24" s="24">
        <v>1928.09</v>
      </c>
    </row>
    <row r="25" spans="1:12" x14ac:dyDescent="0.3">
      <c r="B25" s="24"/>
    </row>
    <row r="26" spans="1:12" x14ac:dyDescent="0.3">
      <c r="A26" s="79" t="s">
        <v>439</v>
      </c>
      <c r="B26" s="80">
        <f>B23/B24</f>
        <v>388.21693259134884</v>
      </c>
    </row>
  </sheetData>
  <hyperlinks>
    <hyperlink ref="A1" location="'Navigation Pane'!B4" display="Valuation Sheet" xr:uid="{4FB9A01A-1D06-4274-8335-1AF56AD175A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9304E-6CCE-4DC6-B256-5454BA313695}">
  <dimension ref="A1:P55"/>
  <sheetViews>
    <sheetView showGridLines="0" workbookViewId="0">
      <pane xSplit="2" ySplit="5" topLeftCell="C18" activePane="bottomRight" state="frozen"/>
      <selection pane="topRight" activeCell="C1" sqref="C1"/>
      <selection pane="bottomLeft" activeCell="A6" sqref="A6"/>
      <selection pane="bottomRight"/>
    </sheetView>
  </sheetViews>
  <sheetFormatPr defaultRowHeight="14.4" x14ac:dyDescent="0.3"/>
  <cols>
    <col min="1" max="1" width="46" style="7" bestFit="1" customWidth="1"/>
    <col min="2" max="2" width="10.109375" style="7" bestFit="1" customWidth="1"/>
    <col min="3" max="5" width="8.44140625" style="31" bestFit="1" customWidth="1"/>
    <col min="6" max="7" width="9.44140625" style="31" bestFit="1" customWidth="1"/>
    <col min="8" max="10" width="9.44140625" style="5" bestFit="1" customWidth="1"/>
    <col min="11" max="11" width="8.44140625" style="5" bestFit="1" customWidth="1"/>
  </cols>
  <sheetData>
    <row r="1" spans="1:16" s="1" customFormat="1" ht="18" x14ac:dyDescent="0.3">
      <c r="A1" s="77" t="s">
        <v>444</v>
      </c>
      <c r="B1" s="6"/>
      <c r="C1" s="38"/>
      <c r="D1" s="38"/>
      <c r="E1" s="38"/>
      <c r="F1" s="38"/>
      <c r="G1" s="38"/>
      <c r="H1" s="9"/>
      <c r="I1" s="9"/>
      <c r="J1" s="9"/>
      <c r="K1" s="9"/>
    </row>
    <row r="2" spans="1:16" x14ac:dyDescent="0.3">
      <c r="A2" s="7" t="s">
        <v>1</v>
      </c>
      <c r="C2" s="70"/>
      <c r="D2" s="70"/>
      <c r="E2" s="70"/>
      <c r="F2" s="70"/>
      <c r="G2" s="70"/>
      <c r="H2" s="33"/>
      <c r="I2" s="33"/>
      <c r="J2" s="33"/>
      <c r="K2" s="33"/>
    </row>
    <row r="3" spans="1:16" s="1" customFormat="1" x14ac:dyDescent="0.3">
      <c r="A3" s="6" t="s">
        <v>2</v>
      </c>
      <c r="B3" s="6" t="s">
        <v>3</v>
      </c>
      <c r="C3" s="38" t="s">
        <v>4</v>
      </c>
      <c r="D3" s="38" t="s">
        <v>5</v>
      </c>
      <c r="E3" s="38" t="s">
        <v>6</v>
      </c>
      <c r="F3" s="38" t="s">
        <v>7</v>
      </c>
      <c r="G3" s="38" t="s">
        <v>8</v>
      </c>
      <c r="H3" s="9" t="s">
        <v>9</v>
      </c>
      <c r="I3" s="9" t="s">
        <v>10</v>
      </c>
      <c r="J3" s="9" t="s">
        <v>11</v>
      </c>
      <c r="K3" s="9" t="s">
        <v>12</v>
      </c>
    </row>
    <row r="5" spans="1:16" x14ac:dyDescent="0.3">
      <c r="A5" s="79" t="str">
        <f>Valuation!A26</f>
        <v xml:space="preserve">Value Per Share </v>
      </c>
      <c r="B5" s="80">
        <f>Valuation!B26</f>
        <v>388.21693259134884</v>
      </c>
    </row>
    <row r="6" spans="1:16" s="66" customFormat="1" x14ac:dyDescent="0.3">
      <c r="A6" s="64"/>
      <c r="B6" s="64"/>
      <c r="C6" s="78"/>
      <c r="D6" s="78"/>
      <c r="E6" s="78"/>
      <c r="F6" s="78"/>
      <c r="G6" s="78"/>
      <c r="H6" s="65"/>
      <c r="I6" s="65"/>
      <c r="J6" s="65"/>
      <c r="K6" s="65"/>
    </row>
    <row r="7" spans="1:16" s="66" customFormat="1" x14ac:dyDescent="0.3">
      <c r="A7" s="17" t="s">
        <v>231</v>
      </c>
      <c r="B7" s="76">
        <v>2</v>
      </c>
      <c r="C7" s="78"/>
      <c r="D7" s="78"/>
      <c r="E7" s="78"/>
      <c r="F7" s="78"/>
      <c r="G7" s="78"/>
      <c r="H7" s="65"/>
      <c r="I7" s="65"/>
      <c r="J7" s="65"/>
      <c r="K7" s="65"/>
    </row>
    <row r="8" spans="1:16" s="66" customFormat="1" x14ac:dyDescent="0.3">
      <c r="A8" s="7" t="s">
        <v>452</v>
      </c>
      <c r="B8" s="64"/>
      <c r="C8" s="83" t="str">
        <f>'Assumption Sheet'!C8</f>
        <v>-</v>
      </c>
      <c r="D8" s="83">
        <f>'Assumption Sheet'!D8</f>
        <v>0.39900249376558627</v>
      </c>
      <c r="E8" s="83">
        <f>'Assumption Sheet'!E8</f>
        <v>0.2228163992869876</v>
      </c>
      <c r="F8" s="83">
        <f>'Assumption Sheet'!F8</f>
        <v>-0.36734693877551028</v>
      </c>
      <c r="G8" s="83">
        <v>-0.05</v>
      </c>
      <c r="H8" s="84">
        <v>-0.05</v>
      </c>
      <c r="I8" s="84">
        <v>-0.05</v>
      </c>
      <c r="J8" s="84">
        <v>-0.05</v>
      </c>
      <c r="K8" s="84">
        <v>-0.05</v>
      </c>
    </row>
    <row r="9" spans="1:16" s="66" customFormat="1" x14ac:dyDescent="0.3">
      <c r="A9" s="7" t="s">
        <v>451</v>
      </c>
      <c r="B9" s="67" t="s">
        <v>230</v>
      </c>
      <c r="C9" s="83" t="str">
        <f>'Assumption Sheet'!C8</f>
        <v>-</v>
      </c>
      <c r="D9" s="83">
        <f>'Assumption Sheet'!D8</f>
        <v>0.39900249376558627</v>
      </c>
      <c r="E9" s="83">
        <f>'Assumption Sheet'!E8</f>
        <v>0.2228163992869876</v>
      </c>
      <c r="F9" s="83">
        <f>'Assumption Sheet'!F8</f>
        <v>-0.36734693877551028</v>
      </c>
      <c r="G9" s="85">
        <v>-0.2</v>
      </c>
      <c r="H9" s="86">
        <v>-0.2</v>
      </c>
      <c r="I9" s="86">
        <v>-0.2</v>
      </c>
      <c r="J9" s="86">
        <v>-0.2</v>
      </c>
      <c r="K9" s="86">
        <v>-0.2</v>
      </c>
    </row>
    <row r="10" spans="1:16" s="66" customFormat="1" x14ac:dyDescent="0.3">
      <c r="A10" s="7" t="s">
        <v>453</v>
      </c>
      <c r="B10" s="64"/>
      <c r="C10" s="83" t="str">
        <f>'Assumption Sheet'!C8</f>
        <v>-</v>
      </c>
      <c r="D10" s="83">
        <f>'Assumption Sheet'!D8</f>
        <v>0.39900249376558627</v>
      </c>
      <c r="E10" s="83">
        <f>'Assumption Sheet'!E8</f>
        <v>0.2228163992869876</v>
      </c>
      <c r="F10" s="83">
        <f>'Assumption Sheet'!F8</f>
        <v>-0.36734693877551028</v>
      </c>
      <c r="G10" s="83">
        <v>-0.4</v>
      </c>
      <c r="H10" s="84">
        <v>-0.4</v>
      </c>
      <c r="I10" s="84">
        <v>-0.4</v>
      </c>
      <c r="J10" s="84">
        <v>-0.4</v>
      </c>
      <c r="K10" s="84">
        <v>-0.4</v>
      </c>
    </row>
    <row r="11" spans="1:16" s="66" customFormat="1" x14ac:dyDescent="0.3">
      <c r="A11" s="64"/>
      <c r="B11" s="64"/>
      <c r="C11" s="78"/>
      <c r="D11" s="78"/>
      <c r="E11" s="78"/>
      <c r="F11" s="78"/>
      <c r="G11" s="78"/>
      <c r="H11" s="65"/>
      <c r="I11" s="65"/>
      <c r="J11" s="65"/>
      <c r="K11" s="65"/>
    </row>
    <row r="12" spans="1:16" x14ac:dyDescent="0.3">
      <c r="C12" s="78"/>
      <c r="D12" s="78"/>
      <c r="E12" s="78"/>
      <c r="F12" s="78"/>
      <c r="G12" s="78"/>
      <c r="H12" s="65"/>
      <c r="I12" s="65"/>
      <c r="J12" s="65"/>
      <c r="K12" s="65"/>
    </row>
    <row r="13" spans="1:16" x14ac:dyDescent="0.3">
      <c r="A13" s="17" t="s">
        <v>257</v>
      </c>
      <c r="B13" s="76">
        <v>2</v>
      </c>
      <c r="C13" s="78"/>
      <c r="D13" s="87"/>
      <c r="E13" s="78"/>
      <c r="F13" s="78"/>
      <c r="G13" s="78"/>
      <c r="H13" s="65"/>
      <c r="I13" s="65"/>
      <c r="J13" s="65"/>
      <c r="K13" s="65"/>
    </row>
    <row r="14" spans="1:16" x14ac:dyDescent="0.3">
      <c r="A14" s="7" t="s">
        <v>452</v>
      </c>
      <c r="C14" s="85">
        <f>'Assumption Sheet'!C22</f>
        <v>0</v>
      </c>
      <c r="D14" s="85">
        <f>'Assumption Sheet'!D22</f>
        <v>0</v>
      </c>
      <c r="E14" s="85">
        <f>'Assumption Sheet'!E22</f>
        <v>-0.25654146494493113</v>
      </c>
      <c r="F14" s="85">
        <f>'Assumption Sheet'!F22</f>
        <v>9.1999196068353051E-2</v>
      </c>
      <c r="G14" s="85">
        <v>0.2</v>
      </c>
      <c r="H14" s="86">
        <v>0.25</v>
      </c>
      <c r="I14" s="86">
        <v>0.15</v>
      </c>
      <c r="J14" s="86">
        <v>0.13</v>
      </c>
      <c r="K14" s="86">
        <v>0.14000000000000001</v>
      </c>
      <c r="N14" s="30"/>
      <c r="O14" s="24"/>
      <c r="P14" s="68">
        <v>1</v>
      </c>
    </row>
    <row r="15" spans="1:16" x14ac:dyDescent="0.3">
      <c r="A15" s="7" t="s">
        <v>451</v>
      </c>
      <c r="B15" s="7" t="s">
        <v>450</v>
      </c>
      <c r="C15" s="85">
        <f>'Assumption Sheet'!C22</f>
        <v>0</v>
      </c>
      <c r="D15" s="85">
        <f>'Assumption Sheet'!D22</f>
        <v>0</v>
      </c>
      <c r="E15" s="85">
        <f>'Assumption Sheet'!E22</f>
        <v>-0.25654146494493113</v>
      </c>
      <c r="F15" s="85">
        <f>'Assumption Sheet'!F22</f>
        <v>9.1999196068353051E-2</v>
      </c>
      <c r="G15" s="85">
        <v>0.15</v>
      </c>
      <c r="H15" s="86">
        <v>0.2</v>
      </c>
      <c r="I15" s="86">
        <v>0.1</v>
      </c>
      <c r="J15" s="86">
        <v>0.08</v>
      </c>
      <c r="K15" s="86">
        <v>0.09</v>
      </c>
      <c r="N15" s="30"/>
      <c r="O15" s="24"/>
      <c r="P15" s="68">
        <v>2</v>
      </c>
    </row>
    <row r="16" spans="1:16" x14ac:dyDescent="0.3">
      <c r="A16" s="7" t="s">
        <v>453</v>
      </c>
      <c r="C16" s="85">
        <f>'Assumption Sheet'!C22</f>
        <v>0</v>
      </c>
      <c r="D16" s="85">
        <f>'Assumption Sheet'!D22</f>
        <v>0</v>
      </c>
      <c r="E16" s="85">
        <f>'Assumption Sheet'!E22</f>
        <v>-0.25654146494493113</v>
      </c>
      <c r="F16" s="85">
        <f>'Assumption Sheet'!F22</f>
        <v>9.1999196068353051E-2</v>
      </c>
      <c r="G16" s="85">
        <v>0.1</v>
      </c>
      <c r="H16" s="86">
        <v>0.15</v>
      </c>
      <c r="I16" s="86">
        <v>0.05</v>
      </c>
      <c r="J16" s="86">
        <v>0.03</v>
      </c>
      <c r="K16" s="86">
        <v>0.04</v>
      </c>
      <c r="O16" s="24"/>
      <c r="P16" s="68">
        <v>3</v>
      </c>
    </row>
    <row r="17" spans="1:16" x14ac:dyDescent="0.3">
      <c r="C17" s="85"/>
      <c r="D17" s="85"/>
      <c r="E17" s="85"/>
      <c r="F17" s="85"/>
      <c r="G17" s="85"/>
      <c r="H17" s="86"/>
      <c r="I17" s="86"/>
      <c r="J17" s="86"/>
      <c r="K17" s="86"/>
      <c r="O17" s="24"/>
      <c r="P17" s="24"/>
    </row>
    <row r="18" spans="1:16" x14ac:dyDescent="0.3">
      <c r="C18" s="85"/>
      <c r="D18" s="85"/>
      <c r="E18" s="85"/>
      <c r="F18" s="85"/>
      <c r="G18" s="85"/>
      <c r="H18" s="86"/>
      <c r="I18" s="86"/>
      <c r="J18" s="86"/>
      <c r="K18" s="86"/>
      <c r="O18" s="24"/>
      <c r="P18" s="24"/>
    </row>
    <row r="19" spans="1:16" x14ac:dyDescent="0.3">
      <c r="A19" s="17" t="s">
        <v>239</v>
      </c>
      <c r="B19" s="76">
        <v>2</v>
      </c>
      <c r="C19" s="85"/>
      <c r="D19" s="85"/>
      <c r="E19" s="85"/>
      <c r="F19" s="85"/>
      <c r="G19" s="85"/>
      <c r="H19" s="86"/>
      <c r="I19" s="86"/>
      <c r="J19" s="86"/>
      <c r="K19" s="86"/>
      <c r="O19" s="24"/>
      <c r="P19" s="24"/>
    </row>
    <row r="20" spans="1:16" x14ac:dyDescent="0.3">
      <c r="A20" s="7" t="s">
        <v>452</v>
      </c>
      <c r="C20" s="85">
        <f>'Assumption Sheet'!C25</f>
        <v>0</v>
      </c>
      <c r="D20" s="85">
        <f>'Assumption Sheet'!D25</f>
        <v>0.15947793558012435</v>
      </c>
      <c r="E20" s="85">
        <f>'Assumption Sheet'!E25</f>
        <v>0.18474449522226832</v>
      </c>
      <c r="F20" s="85">
        <f>'Assumption Sheet'!F25</f>
        <v>0.21817234552464293</v>
      </c>
      <c r="G20" s="85">
        <v>0.3</v>
      </c>
      <c r="H20" s="86">
        <v>0.3</v>
      </c>
      <c r="I20" s="86">
        <v>0.3</v>
      </c>
      <c r="J20" s="86">
        <v>0.3</v>
      </c>
      <c r="K20" s="86">
        <v>0.3</v>
      </c>
      <c r="O20" s="24"/>
      <c r="P20" s="24"/>
    </row>
    <row r="21" spans="1:16" x14ac:dyDescent="0.3">
      <c r="A21" s="7" t="s">
        <v>451</v>
      </c>
      <c r="B21" s="7" t="s">
        <v>234</v>
      </c>
      <c r="C21" s="85">
        <f>'Assumption Sheet'!C25</f>
        <v>0</v>
      </c>
      <c r="D21" s="85">
        <f>'Assumption Sheet'!D25</f>
        <v>0.15947793558012435</v>
      </c>
      <c r="E21" s="85">
        <f>'Assumption Sheet'!E25</f>
        <v>0.18474449522226832</v>
      </c>
      <c r="F21" s="85">
        <f>'Assumption Sheet'!F25</f>
        <v>0.21817234552464293</v>
      </c>
      <c r="G21" s="85">
        <v>0.21</v>
      </c>
      <c r="H21" s="86">
        <v>0.21</v>
      </c>
      <c r="I21" s="86">
        <v>0.21</v>
      </c>
      <c r="J21" s="86">
        <v>0.21</v>
      </c>
      <c r="K21" s="86">
        <v>0.21</v>
      </c>
      <c r="O21" s="24"/>
      <c r="P21" s="24"/>
    </row>
    <row r="22" spans="1:16" x14ac:dyDescent="0.3">
      <c r="A22" s="7" t="s">
        <v>453</v>
      </c>
      <c r="C22" s="85">
        <f>'Assumption Sheet'!C25</f>
        <v>0</v>
      </c>
      <c r="D22" s="85">
        <f>'Assumption Sheet'!D25</f>
        <v>0.15947793558012435</v>
      </c>
      <c r="E22" s="85">
        <f>'Assumption Sheet'!E25</f>
        <v>0.18474449522226832</v>
      </c>
      <c r="F22" s="85">
        <f>'Assumption Sheet'!F25</f>
        <v>0.21817234552464293</v>
      </c>
      <c r="G22" s="85">
        <v>0.15</v>
      </c>
      <c r="H22" s="86">
        <v>0.15</v>
      </c>
      <c r="I22" s="86">
        <v>0.15</v>
      </c>
      <c r="J22" s="86">
        <v>0.15</v>
      </c>
      <c r="K22" s="86">
        <v>0.15</v>
      </c>
    </row>
    <row r="23" spans="1:16" x14ac:dyDescent="0.3">
      <c r="C23" s="85"/>
      <c r="D23" s="85"/>
      <c r="E23" s="85"/>
      <c r="F23" s="85"/>
      <c r="G23" s="85"/>
      <c r="H23" s="86"/>
      <c r="I23" s="86"/>
      <c r="J23" s="86"/>
      <c r="K23" s="86"/>
    </row>
    <row r="24" spans="1:16" x14ac:dyDescent="0.3">
      <c r="A24" s="17" t="s">
        <v>233</v>
      </c>
      <c r="B24" s="76">
        <v>3</v>
      </c>
      <c r="C24" s="85"/>
      <c r="D24" s="85"/>
      <c r="E24" s="85"/>
      <c r="F24" s="85"/>
      <c r="G24" s="85"/>
      <c r="H24" s="86"/>
      <c r="I24" s="86"/>
      <c r="J24" s="86"/>
      <c r="K24" s="86"/>
    </row>
    <row r="25" spans="1:16" x14ac:dyDescent="0.3">
      <c r="A25" s="7" t="s">
        <v>452</v>
      </c>
      <c r="C25" s="85" t="str">
        <f>'Assumption Sheet'!C28</f>
        <v>-</v>
      </c>
      <c r="D25" s="85">
        <f>'Assumption Sheet'!D28</f>
        <v>5.9298006764246791E-2</v>
      </c>
      <c r="E25" s="85">
        <f>'Assumption Sheet'!E28</f>
        <v>6.8260206946338275E-2</v>
      </c>
      <c r="F25" s="85">
        <f>'Assumption Sheet'!F28</f>
        <v>0.65688472778177642</v>
      </c>
      <c r="G25" s="85">
        <v>0.4</v>
      </c>
      <c r="H25" s="86">
        <v>0.4</v>
      </c>
      <c r="I25" s="86">
        <v>0.4</v>
      </c>
      <c r="J25" s="86">
        <v>0.4</v>
      </c>
      <c r="K25" s="86">
        <v>0.4</v>
      </c>
    </row>
    <row r="26" spans="1:16" x14ac:dyDescent="0.3">
      <c r="A26" s="7" t="s">
        <v>451</v>
      </c>
      <c r="B26" s="7" t="s">
        <v>234</v>
      </c>
      <c r="C26" s="85" t="str">
        <f>'Assumption Sheet'!C28</f>
        <v>-</v>
      </c>
      <c r="D26" s="85">
        <f>'Assumption Sheet'!D28</f>
        <v>5.9298006764246791E-2</v>
      </c>
      <c r="E26" s="85">
        <f>'Assumption Sheet'!E28</f>
        <v>6.8260206946338275E-2</v>
      </c>
      <c r="F26" s="85">
        <f>'Assumption Sheet'!F28</f>
        <v>0.65688472778177642</v>
      </c>
      <c r="G26" s="85">
        <v>0.25</v>
      </c>
      <c r="H26" s="86">
        <v>0.25</v>
      </c>
      <c r="I26" s="86">
        <v>0.25</v>
      </c>
      <c r="J26" s="86">
        <v>0.25</v>
      </c>
      <c r="K26" s="86">
        <v>0.25</v>
      </c>
    </row>
    <row r="27" spans="1:16" x14ac:dyDescent="0.3">
      <c r="A27" s="7" t="s">
        <v>453</v>
      </c>
      <c r="C27" s="85" t="str">
        <f>'Assumption Sheet'!C28</f>
        <v>-</v>
      </c>
      <c r="D27" s="85">
        <f>'Assumption Sheet'!D28</f>
        <v>5.9298006764246791E-2</v>
      </c>
      <c r="E27" s="85">
        <f>'Assumption Sheet'!E28</f>
        <v>6.8260206946338275E-2</v>
      </c>
      <c r="F27" s="85">
        <f>'Assumption Sheet'!F28</f>
        <v>0.65688472778177642</v>
      </c>
      <c r="G27" s="85">
        <v>0.15</v>
      </c>
      <c r="H27" s="86">
        <v>0.15</v>
      </c>
      <c r="I27" s="86">
        <v>0.15</v>
      </c>
      <c r="J27" s="86">
        <v>0.15</v>
      </c>
      <c r="K27" s="86">
        <v>0.15</v>
      </c>
    </row>
    <row r="28" spans="1:16" x14ac:dyDescent="0.3">
      <c r="C28" s="85"/>
      <c r="D28" s="85"/>
      <c r="E28" s="85"/>
      <c r="F28" s="85"/>
      <c r="G28" s="85"/>
      <c r="H28" s="86"/>
      <c r="I28" s="86"/>
      <c r="J28" s="86"/>
      <c r="K28" s="86"/>
    </row>
    <row r="29" spans="1:16" x14ac:dyDescent="0.3">
      <c r="C29" s="78"/>
      <c r="D29" s="78"/>
      <c r="E29" s="78"/>
      <c r="F29" s="78"/>
      <c r="G29" s="78"/>
      <c r="H29" s="65"/>
      <c r="I29" s="65"/>
      <c r="J29" s="65"/>
      <c r="K29" s="65"/>
    </row>
    <row r="30" spans="1:16" s="1" customFormat="1" x14ac:dyDescent="0.3">
      <c r="A30" s="17" t="s">
        <v>235</v>
      </c>
      <c r="B30" s="76">
        <v>3</v>
      </c>
      <c r="C30" s="87"/>
      <c r="D30" s="87"/>
      <c r="E30" s="87"/>
      <c r="F30" s="87"/>
      <c r="G30" s="87"/>
      <c r="H30" s="88"/>
      <c r="I30" s="88"/>
      <c r="J30" s="88"/>
      <c r="K30" s="88"/>
    </row>
    <row r="31" spans="1:16" x14ac:dyDescent="0.3">
      <c r="A31" s="7" t="s">
        <v>452</v>
      </c>
      <c r="C31" s="85">
        <v>0</v>
      </c>
      <c r="D31" s="85">
        <v>0</v>
      </c>
      <c r="E31" s="85">
        <v>-0.72543640694002443</v>
      </c>
      <c r="F31" s="85">
        <v>20.220619415698906</v>
      </c>
      <c r="G31" s="85">
        <v>0.4</v>
      </c>
      <c r="H31" s="86">
        <v>0.4</v>
      </c>
      <c r="I31" s="86">
        <v>0.4</v>
      </c>
      <c r="J31" s="86">
        <v>0.4</v>
      </c>
      <c r="K31" s="86">
        <v>0.4</v>
      </c>
    </row>
    <row r="32" spans="1:16" x14ac:dyDescent="0.3">
      <c r="A32" s="7" t="s">
        <v>451</v>
      </c>
      <c r="C32" s="85">
        <v>0</v>
      </c>
      <c r="D32" s="85">
        <v>0</v>
      </c>
      <c r="E32" s="85">
        <v>-0.72543640694002443</v>
      </c>
      <c r="F32" s="85">
        <v>20.220619415698906</v>
      </c>
      <c r="G32" s="85">
        <v>0.15</v>
      </c>
      <c r="H32" s="86">
        <v>0.15</v>
      </c>
      <c r="I32" s="86">
        <v>0.15</v>
      </c>
      <c r="J32" s="86">
        <v>0.15</v>
      </c>
      <c r="K32" s="86">
        <v>0.15</v>
      </c>
    </row>
    <row r="33" spans="1:11" x14ac:dyDescent="0.3">
      <c r="A33" s="7" t="s">
        <v>453</v>
      </c>
      <c r="C33" s="85">
        <v>0</v>
      </c>
      <c r="D33" s="85">
        <v>0</v>
      </c>
      <c r="E33" s="85">
        <v>-0.72543640694002443</v>
      </c>
      <c r="F33" s="85">
        <v>20.220619415698906</v>
      </c>
      <c r="G33" s="85">
        <v>-0.1</v>
      </c>
      <c r="H33" s="86">
        <v>-0.1</v>
      </c>
      <c r="I33" s="86">
        <v>-0.1</v>
      </c>
      <c r="J33" s="86">
        <v>-0.1</v>
      </c>
      <c r="K33" s="86">
        <v>-0.1</v>
      </c>
    </row>
    <row r="34" spans="1:11" x14ac:dyDescent="0.3">
      <c r="C34" s="78"/>
      <c r="D34" s="78"/>
      <c r="E34" s="78"/>
      <c r="F34" s="78"/>
      <c r="G34" s="78"/>
      <c r="H34" s="65"/>
      <c r="I34" s="65"/>
      <c r="J34" s="65"/>
      <c r="K34" s="65"/>
    </row>
    <row r="35" spans="1:11" x14ac:dyDescent="0.3">
      <c r="A35" s="17" t="s">
        <v>454</v>
      </c>
      <c r="B35" s="76">
        <v>2</v>
      </c>
      <c r="C35" s="78"/>
      <c r="D35" s="78"/>
      <c r="E35" s="78"/>
      <c r="F35" s="78"/>
      <c r="G35" s="78"/>
      <c r="H35" s="65"/>
      <c r="I35" s="65"/>
      <c r="J35" s="65"/>
      <c r="K35" s="65"/>
    </row>
    <row r="36" spans="1:11" x14ac:dyDescent="0.3">
      <c r="A36" s="7" t="s">
        <v>452</v>
      </c>
      <c r="B36" s="7" t="s">
        <v>457</v>
      </c>
      <c r="C36" s="78">
        <f>'Assumption Sheet'!C97</f>
        <v>5209.07</v>
      </c>
      <c r="D36" s="78">
        <f>'Assumption Sheet'!D97</f>
        <v>7200.22</v>
      </c>
      <c r="E36" s="78">
        <f>'Assumption Sheet'!E97</f>
        <v>9882.27</v>
      </c>
      <c r="F36" s="78">
        <f>'Assumption Sheet'!F97</f>
        <v>17218.87</v>
      </c>
      <c r="G36" s="78">
        <v>41390.565000000002</v>
      </c>
      <c r="H36" s="65">
        <v>41390.565000000002</v>
      </c>
      <c r="I36" s="65">
        <v>7486.15</v>
      </c>
      <c r="J36" s="65">
        <f>I36*(1+6%)</f>
        <v>7935.3190000000004</v>
      </c>
      <c r="K36" s="65">
        <f t="shared" ref="K36" si="0">J36*(1+6%)</f>
        <v>8411.4381400000002</v>
      </c>
    </row>
    <row r="37" spans="1:11" x14ac:dyDescent="0.3">
      <c r="A37" s="7" t="s">
        <v>451</v>
      </c>
      <c r="B37" s="7" t="s">
        <v>455</v>
      </c>
      <c r="C37" s="78">
        <f>'Assumption Sheet'!C97</f>
        <v>5209.07</v>
      </c>
      <c r="D37" s="78">
        <f>'Assumption Sheet'!D97</f>
        <v>7200.22</v>
      </c>
      <c r="E37" s="78">
        <f>'Assumption Sheet'!E97</f>
        <v>9882.27</v>
      </c>
      <c r="F37" s="78">
        <f>'Assumption Sheet'!F97</f>
        <v>17218.87</v>
      </c>
      <c r="G37" s="78">
        <v>27593.710000000003</v>
      </c>
      <c r="H37" s="65">
        <v>27593.710000000003</v>
      </c>
      <c r="I37" s="65">
        <v>27593.710000000003</v>
      </c>
      <c r="J37" s="65">
        <v>7486.15</v>
      </c>
      <c r="K37" s="65">
        <f>J37*(1+6%)</f>
        <v>7935.3190000000004</v>
      </c>
    </row>
    <row r="38" spans="1:11" x14ac:dyDescent="0.3">
      <c r="A38" s="7" t="s">
        <v>453</v>
      </c>
      <c r="B38" s="7" t="s">
        <v>456</v>
      </c>
      <c r="C38" s="78">
        <f>'Assumption Sheet'!C97</f>
        <v>5209.07</v>
      </c>
      <c r="D38" s="78">
        <f>'Assumption Sheet'!D97</f>
        <v>7200.22</v>
      </c>
      <c r="E38" s="78">
        <f>'Assumption Sheet'!E97</f>
        <v>9882.27</v>
      </c>
      <c r="F38" s="78">
        <f>'Assumption Sheet'!F97</f>
        <v>17218.87</v>
      </c>
      <c r="G38" s="78">
        <v>20695.282500000001</v>
      </c>
      <c r="H38" s="65">
        <v>20695.282500000001</v>
      </c>
      <c r="I38" s="65">
        <v>20695.282500000001</v>
      </c>
      <c r="J38" s="65">
        <v>20695.282500000001</v>
      </c>
      <c r="K38" s="65">
        <v>7486.15</v>
      </c>
    </row>
    <row r="39" spans="1:11" x14ac:dyDescent="0.3">
      <c r="C39" s="78"/>
      <c r="D39" s="78"/>
      <c r="E39" s="78"/>
      <c r="F39" s="78"/>
      <c r="G39" s="78"/>
      <c r="H39" s="65"/>
      <c r="I39" s="65"/>
      <c r="J39" s="65"/>
      <c r="K39" s="65"/>
    </row>
    <row r="40" spans="1:11" x14ac:dyDescent="0.3">
      <c r="A40" s="17" t="s">
        <v>433</v>
      </c>
      <c r="B40" s="76">
        <v>2</v>
      </c>
    </row>
    <row r="41" spans="1:11" x14ac:dyDescent="0.3">
      <c r="A41" s="7" t="s">
        <v>452</v>
      </c>
      <c r="B41" s="57">
        <v>7.0000000000000007E-2</v>
      </c>
    </row>
    <row r="42" spans="1:11" x14ac:dyDescent="0.3">
      <c r="A42" s="7" t="s">
        <v>451</v>
      </c>
      <c r="B42" s="57">
        <v>0.05</v>
      </c>
    </row>
    <row r="43" spans="1:11" x14ac:dyDescent="0.3">
      <c r="A43" s="7" t="s">
        <v>453</v>
      </c>
      <c r="B43" s="57">
        <v>0.03</v>
      </c>
    </row>
    <row r="46" spans="1:11" x14ac:dyDescent="0.3">
      <c r="A46" s="7" t="s">
        <v>458</v>
      </c>
    </row>
    <row r="47" spans="1:11" x14ac:dyDescent="0.3">
      <c r="A47" s="7" t="s">
        <v>459</v>
      </c>
      <c r="B47" s="7" t="s">
        <v>468</v>
      </c>
    </row>
    <row r="48" spans="1:11" x14ac:dyDescent="0.3">
      <c r="A48" s="7" t="s">
        <v>460</v>
      </c>
    </row>
    <row r="49" spans="1:2" x14ac:dyDescent="0.3">
      <c r="A49" s="7" t="s">
        <v>461</v>
      </c>
      <c r="B49" s="7" t="s">
        <v>464</v>
      </c>
    </row>
    <row r="50" spans="1:2" x14ac:dyDescent="0.3">
      <c r="A50" s="7" t="s">
        <v>462</v>
      </c>
    </row>
    <row r="51" spans="1:2" x14ac:dyDescent="0.3">
      <c r="A51" s="7" t="s">
        <v>463</v>
      </c>
    </row>
    <row r="52" spans="1:2" x14ac:dyDescent="0.3">
      <c r="A52" s="7" t="s">
        <v>466</v>
      </c>
    </row>
    <row r="54" spans="1:2" x14ac:dyDescent="0.3">
      <c r="A54" s="7" t="s">
        <v>465</v>
      </c>
    </row>
    <row r="55" spans="1:2" x14ac:dyDescent="0.3">
      <c r="A55" s="7" t="s">
        <v>467</v>
      </c>
    </row>
  </sheetData>
  <dataValidations count="1">
    <dataValidation type="list" allowBlank="1" showInputMessage="1" showErrorMessage="1" promptTitle="Select your scenario " prompt="1 - Best Case Scenario _x000a_2 - Base Case Scenario _x000a_3 - Worst Case Scenario " sqref="B13 B7 B30 B19 B24 B35 B40" xr:uid="{677F6182-8E5D-4287-975C-3F9F07A21DB6}">
      <formula1>$P$14:$P$16</formula1>
    </dataValidation>
  </dataValidations>
  <hyperlinks>
    <hyperlink ref="A1" location="'Navigation Pane'!B4" display="Scenario Analysis " xr:uid="{59594B10-3E92-4EC5-A708-A2B5319BCC1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58793-F9B0-49C7-9C1B-676A0F470952}">
  <dimension ref="A1:L152"/>
  <sheetViews>
    <sheetView showGridLines="0" workbookViewId="0">
      <pane xSplit="2" ySplit="3" topLeftCell="C4" activePane="bottomRight" state="frozen"/>
      <selection pane="topRight" activeCell="C1" sqref="C1"/>
      <selection pane="bottomLeft" activeCell="A4" sqref="A4"/>
      <selection pane="bottomRight"/>
    </sheetView>
  </sheetViews>
  <sheetFormatPr defaultRowHeight="14.4" x14ac:dyDescent="0.3"/>
  <cols>
    <col min="1" max="1" width="68.21875" style="7" bestFit="1" customWidth="1"/>
    <col min="2" max="2" width="15.44140625" style="72" customWidth="1"/>
    <col min="3" max="3" width="9.109375" style="31" bestFit="1" customWidth="1"/>
    <col min="4" max="5" width="9.44140625" style="31" bestFit="1" customWidth="1"/>
    <col min="6" max="6" width="11" style="31" bestFit="1" customWidth="1"/>
    <col min="7" max="7" width="9.44140625" style="5" bestFit="1" customWidth="1"/>
    <col min="8" max="11" width="11" style="5" bestFit="1" customWidth="1"/>
  </cols>
  <sheetData>
    <row r="1" spans="1:11" s="1" customFormat="1" ht="18" x14ac:dyDescent="0.3">
      <c r="A1" s="77" t="s">
        <v>227</v>
      </c>
      <c r="B1" s="71"/>
      <c r="C1" s="38"/>
      <c r="D1" s="38"/>
      <c r="E1" s="38"/>
      <c r="F1" s="38"/>
      <c r="G1" s="9"/>
      <c r="H1" s="9"/>
      <c r="I1" s="9"/>
      <c r="J1" s="9"/>
      <c r="K1" s="9"/>
    </row>
    <row r="2" spans="1:11" x14ac:dyDescent="0.3">
      <c r="A2" s="7" t="s">
        <v>1</v>
      </c>
      <c r="C2" s="70"/>
      <c r="D2" s="70"/>
      <c r="E2" s="70"/>
      <c r="F2" s="70"/>
      <c r="G2" s="33"/>
      <c r="H2" s="33"/>
      <c r="I2" s="33"/>
      <c r="J2" s="33"/>
      <c r="K2" s="33"/>
    </row>
    <row r="3" spans="1:11" s="1" customFormat="1" x14ac:dyDescent="0.3">
      <c r="A3" s="6" t="s">
        <v>2</v>
      </c>
      <c r="B3" s="71" t="s">
        <v>3</v>
      </c>
      <c r="C3" s="38" t="s">
        <v>4</v>
      </c>
      <c r="D3" s="38" t="s">
        <v>5</v>
      </c>
      <c r="E3" s="38" t="s">
        <v>6</v>
      </c>
      <c r="F3" s="38" t="s">
        <v>7</v>
      </c>
      <c r="G3" s="9" t="s">
        <v>8</v>
      </c>
      <c r="H3" s="9" t="s">
        <v>9</v>
      </c>
      <c r="I3" s="9" t="s">
        <v>10</v>
      </c>
      <c r="J3" s="9" t="s">
        <v>11</v>
      </c>
      <c r="K3" s="9" t="s">
        <v>12</v>
      </c>
    </row>
    <row r="5" spans="1:11" s="16" customFormat="1" x14ac:dyDescent="0.3">
      <c r="A5" s="17" t="s">
        <v>225</v>
      </c>
      <c r="B5" s="34"/>
      <c r="C5" s="35"/>
      <c r="D5" s="35"/>
      <c r="E5" s="35"/>
      <c r="F5" s="35"/>
      <c r="G5" s="19"/>
      <c r="H5" s="19"/>
      <c r="I5" s="19"/>
      <c r="J5" s="19"/>
      <c r="K5" s="19"/>
    </row>
    <row r="6" spans="1:11" s="1" customFormat="1" x14ac:dyDescent="0.3">
      <c r="A6" s="6"/>
      <c r="B6" s="71"/>
      <c r="C6" s="32"/>
      <c r="D6" s="32"/>
      <c r="E6" s="32"/>
      <c r="F6" s="32"/>
      <c r="G6" s="11"/>
      <c r="H6" s="11"/>
      <c r="I6" s="11"/>
      <c r="J6" s="11"/>
      <c r="K6" s="11"/>
    </row>
    <row r="7" spans="1:11" s="1" customFormat="1" x14ac:dyDescent="0.3">
      <c r="A7" s="6" t="str">
        <f>'Revenue Model'!A18</f>
        <v>Sale of product</v>
      </c>
      <c r="B7" s="71"/>
      <c r="C7" s="32"/>
      <c r="D7" s="32"/>
      <c r="E7" s="32"/>
      <c r="F7" s="32"/>
      <c r="G7" s="11"/>
      <c r="H7" s="11"/>
      <c r="I7" s="11"/>
      <c r="J7" s="11"/>
      <c r="K7" s="11"/>
    </row>
    <row r="8" spans="1:11" s="1" customFormat="1" x14ac:dyDescent="0.3">
      <c r="A8" s="7" t="str">
        <f>'Revenue Model'!A21</f>
        <v xml:space="preserve">Y-o-Y Growth in Sale in Quantity of Products </v>
      </c>
      <c r="B8" s="72" t="s">
        <v>230</v>
      </c>
      <c r="C8" s="32" t="str">
        <f>'Revenue Model'!C21</f>
        <v>-</v>
      </c>
      <c r="D8" s="81">
        <f>'Revenue Model'!D21</f>
        <v>0.39900249376558627</v>
      </c>
      <c r="E8" s="81">
        <f>'Revenue Model'!E21</f>
        <v>0.2228163992869876</v>
      </c>
      <c r="F8" s="81">
        <f>'Revenue Model'!F21</f>
        <v>-0.36734693877551028</v>
      </c>
      <c r="G8" s="82">
        <f>CHOOSE('Scenario Analysis '!$B$7,'Scenario Analysis '!G8,'Scenario Analysis '!G9,'Scenario Analysis '!G10)</f>
        <v>-0.2</v>
      </c>
      <c r="H8" s="82">
        <f>CHOOSE('Scenario Analysis '!$B$7,'Scenario Analysis '!H8,'Scenario Analysis '!H9,'Scenario Analysis '!H10)</f>
        <v>-0.2</v>
      </c>
      <c r="I8" s="82">
        <f>CHOOSE('Scenario Analysis '!$B$7,'Scenario Analysis '!I8,'Scenario Analysis '!I9,'Scenario Analysis '!I10)</f>
        <v>-0.2</v>
      </c>
      <c r="J8" s="82">
        <f>CHOOSE('Scenario Analysis '!$B$7,'Scenario Analysis '!J8,'Scenario Analysis '!J9,'Scenario Analysis '!J10)</f>
        <v>-0.2</v>
      </c>
      <c r="K8" s="82">
        <f>CHOOSE('Scenario Analysis '!$B$7,'Scenario Analysis '!K8,'Scenario Analysis '!K9,'Scenario Analysis '!K10)</f>
        <v>-0.2</v>
      </c>
    </row>
    <row r="9" spans="1:11" x14ac:dyDescent="0.3">
      <c r="A9" s="7" t="str">
        <f>'Revenue Model'!A22</f>
        <v xml:space="preserve">Y-o-Y Growth in Average Selling Price of Products  </v>
      </c>
      <c r="B9" s="72" t="s">
        <v>230</v>
      </c>
      <c r="C9" s="81" t="str">
        <f>'Revenue Model'!C22</f>
        <v>-</v>
      </c>
      <c r="D9" s="81">
        <f>'Revenue Model'!D22</f>
        <v>-0.1029012332082534</v>
      </c>
      <c r="E9" s="81">
        <f>'Revenue Model'!E22</f>
        <v>-0.16933017158406971</v>
      </c>
      <c r="F9" s="81">
        <f>'Revenue Model'!F22</f>
        <v>-5.6007884087978521E-3</v>
      </c>
      <c r="G9" s="82">
        <v>-0.2</v>
      </c>
      <c r="H9" s="82">
        <v>-0.2</v>
      </c>
      <c r="I9" s="82">
        <v>-0.2</v>
      </c>
      <c r="J9" s="82">
        <v>-0.2</v>
      </c>
      <c r="K9" s="82">
        <v>-0.2</v>
      </c>
    </row>
    <row r="10" spans="1:11" x14ac:dyDescent="0.3">
      <c r="C10" s="81"/>
      <c r="D10" s="81"/>
      <c r="E10" s="81"/>
      <c r="F10" s="81"/>
      <c r="G10" s="82"/>
      <c r="H10" s="82"/>
      <c r="I10" s="82"/>
      <c r="J10" s="82"/>
      <c r="K10" s="82"/>
    </row>
    <row r="11" spans="1:11" x14ac:dyDescent="0.3">
      <c r="A11" s="6" t="s">
        <v>218</v>
      </c>
    </row>
    <row r="12" spans="1:11" x14ac:dyDescent="0.3">
      <c r="A12" s="7" t="str">
        <f>'Revenue Model'!A42</f>
        <v>Era wise Segment (YoY Growth in Revenue)</v>
      </c>
    </row>
    <row r="13" spans="1:11" x14ac:dyDescent="0.3">
      <c r="A13" s="7" t="str">
        <f>'Revenue Model'!A44</f>
        <v>2001-2020</v>
      </c>
      <c r="B13" s="72" t="s">
        <v>251</v>
      </c>
      <c r="C13" s="31" t="str">
        <f>'Revenue Model'!C44</f>
        <v>-</v>
      </c>
      <c r="D13" s="81">
        <f>'Revenue Model'!D44</f>
        <v>-0.39997016833728571</v>
      </c>
      <c r="E13" s="81">
        <f>'Revenue Model'!E44</f>
        <v>4.2213282343337877E-2</v>
      </c>
      <c r="F13" s="81">
        <f>'Revenue Model'!F44</f>
        <v>-5.1684908677482988E-2</v>
      </c>
      <c r="G13" s="82">
        <v>0.06</v>
      </c>
      <c r="H13" s="82">
        <v>0.06</v>
      </c>
      <c r="I13" s="82">
        <v>0.06</v>
      </c>
      <c r="J13" s="82">
        <v>0.06</v>
      </c>
      <c r="K13" s="82">
        <v>0.06</v>
      </c>
    </row>
    <row r="14" spans="1:11" x14ac:dyDescent="0.3">
      <c r="A14" s="7" t="str">
        <f>'Revenue Model'!A45</f>
        <v>1981-2000</v>
      </c>
      <c r="B14" s="72" t="s">
        <v>251</v>
      </c>
      <c r="C14" s="31" t="str">
        <f>'Revenue Model'!C45</f>
        <v>-</v>
      </c>
      <c r="D14" s="81">
        <f>'Revenue Model'!D45</f>
        <v>-7.6877182057362603E-2</v>
      </c>
      <c r="E14" s="81">
        <f>'Revenue Model'!E45</f>
        <v>9.7066612992987134E-2</v>
      </c>
      <c r="F14" s="81">
        <f>'Revenue Model'!F45</f>
        <v>1.3511753850940167E-2</v>
      </c>
      <c r="G14" s="82">
        <v>0.06</v>
      </c>
      <c r="H14" s="82">
        <v>0.06</v>
      </c>
      <c r="I14" s="82">
        <v>0.06</v>
      </c>
      <c r="J14" s="82">
        <v>0.06</v>
      </c>
      <c r="K14" s="82">
        <v>0.06</v>
      </c>
    </row>
    <row r="15" spans="1:11" x14ac:dyDescent="0.3">
      <c r="A15" s="7" t="str">
        <f>'Revenue Model'!A46</f>
        <v>1961-1980</v>
      </c>
      <c r="B15" s="72" t="s">
        <v>251</v>
      </c>
      <c r="C15" s="31" t="str">
        <f>'Revenue Model'!C46</f>
        <v>-</v>
      </c>
      <c r="D15" s="81">
        <f>'Revenue Model'!D46</f>
        <v>8.4672907478180903E-2</v>
      </c>
      <c r="E15" s="81">
        <f>'Revenue Model'!E46</f>
        <v>-2.1151772027808824E-2</v>
      </c>
      <c r="F15" s="81">
        <f>'Revenue Model'!F46</f>
        <v>3.6034237269849889E-2</v>
      </c>
      <c r="G15" s="82">
        <v>0.06</v>
      </c>
      <c r="H15" s="82">
        <v>0.06</v>
      </c>
      <c r="I15" s="82">
        <v>0.06</v>
      </c>
      <c r="J15" s="82">
        <v>0.06</v>
      </c>
      <c r="K15" s="82">
        <v>0.06</v>
      </c>
    </row>
    <row r="16" spans="1:11" x14ac:dyDescent="0.3">
      <c r="A16" s="7" t="str">
        <f>'Revenue Model'!A47</f>
        <v>Till 1960</v>
      </c>
      <c r="B16" s="72" t="s">
        <v>237</v>
      </c>
      <c r="C16" s="31" t="str">
        <f>'Revenue Model'!C47</f>
        <v>-</v>
      </c>
      <c r="D16" s="81">
        <f>'Revenue Model'!D47</f>
        <v>4.8808775027744389E-3</v>
      </c>
      <c r="E16" s="81">
        <f>'Revenue Model'!E47</f>
        <v>0.31015070513200982</v>
      </c>
      <c r="F16" s="81">
        <f>'Revenue Model'!F47</f>
        <v>0.126124170945489</v>
      </c>
      <c r="G16" s="82">
        <v>0.04</v>
      </c>
      <c r="H16" s="82">
        <v>0.04</v>
      </c>
      <c r="I16" s="82">
        <v>0.04</v>
      </c>
      <c r="J16" s="82">
        <v>0.04</v>
      </c>
      <c r="K16" s="82">
        <v>0.04</v>
      </c>
    </row>
    <row r="17" spans="1:11" x14ac:dyDescent="0.3">
      <c r="D17" s="81"/>
      <c r="E17" s="81"/>
      <c r="F17" s="81"/>
      <c r="G17" s="82"/>
      <c r="H17" s="82"/>
      <c r="I17" s="82"/>
      <c r="J17" s="82"/>
      <c r="K17" s="82"/>
    </row>
    <row r="18" spans="1:11" x14ac:dyDescent="0.3">
      <c r="A18" s="7" t="str">
        <f>'Revenue Model'!A65</f>
        <v>Y-o-Y Increase in Number of Songs After 2021</v>
      </c>
      <c r="C18" s="31" t="str">
        <f>'Revenue Model'!C65</f>
        <v>-</v>
      </c>
      <c r="D18" s="31">
        <f>'Revenue Model'!D65</f>
        <v>0.12</v>
      </c>
      <c r="E18" s="31">
        <f>'Revenue Model'!E65</f>
        <v>0.10400000000000004</v>
      </c>
      <c r="F18" s="31">
        <f>'Revenue Model'!F65</f>
        <v>5.5999999999999994E-2</v>
      </c>
      <c r="G18" s="5">
        <f>G19*G20</f>
        <v>0.06</v>
      </c>
      <c r="H18" s="5">
        <f t="shared" ref="H18:K18" si="0">H19*H20</f>
        <v>6.6000000000000003E-2</v>
      </c>
      <c r="I18" s="5">
        <f t="shared" si="0"/>
        <v>4.6000000000000006E-2</v>
      </c>
      <c r="J18" s="5">
        <f t="shared" si="0"/>
        <v>4.8000000000000001E-2</v>
      </c>
      <c r="K18" s="5">
        <f t="shared" si="0"/>
        <v>0.05</v>
      </c>
    </row>
    <row r="19" spans="1:11" x14ac:dyDescent="0.3">
      <c r="A19" s="7" t="s">
        <v>253</v>
      </c>
      <c r="B19" s="73" t="s">
        <v>256</v>
      </c>
      <c r="C19" s="31" t="s">
        <v>226</v>
      </c>
      <c r="D19" s="31" t="s">
        <v>226</v>
      </c>
      <c r="E19" s="31" t="s">
        <v>226</v>
      </c>
      <c r="F19" s="31" t="s">
        <v>226</v>
      </c>
      <c r="G19" s="82">
        <v>0.3</v>
      </c>
      <c r="H19" s="82">
        <v>0.3</v>
      </c>
      <c r="I19" s="82">
        <v>0.2</v>
      </c>
      <c r="J19" s="82">
        <v>0.2</v>
      </c>
      <c r="K19" s="82">
        <v>0.2</v>
      </c>
    </row>
    <row r="20" spans="1:11" x14ac:dyDescent="0.3">
      <c r="A20" s="7" t="s">
        <v>255</v>
      </c>
      <c r="B20" s="74" t="s">
        <v>254</v>
      </c>
      <c r="C20" s="31" t="s">
        <v>226</v>
      </c>
      <c r="D20" s="31" t="s">
        <v>226</v>
      </c>
      <c r="E20" s="31" t="s">
        <v>226</v>
      </c>
      <c r="F20" s="31" t="s">
        <v>226</v>
      </c>
      <c r="G20" s="5">
        <v>0.2</v>
      </c>
      <c r="H20" s="5">
        <v>0.22</v>
      </c>
      <c r="I20" s="5">
        <v>0.23</v>
      </c>
      <c r="J20" s="5">
        <v>0.24</v>
      </c>
      <c r="K20" s="5">
        <v>0.25</v>
      </c>
    </row>
    <row r="22" spans="1:11" x14ac:dyDescent="0.3">
      <c r="A22" s="7" t="str">
        <f>'Revenue Model'!A75</f>
        <v>Y-o-Y Increase in Revenue per song of Songs After 2021</v>
      </c>
      <c r="C22" s="81">
        <f>'Revenue Model'!C75</f>
        <v>0</v>
      </c>
      <c r="D22" s="81">
        <f>'Revenue Model'!D75</f>
        <v>0</v>
      </c>
      <c r="E22" s="81">
        <f>'Revenue Model'!E75</f>
        <v>-0.25654146494493113</v>
      </c>
      <c r="F22" s="81">
        <f>'Revenue Model'!F75</f>
        <v>9.1999196068353051E-2</v>
      </c>
      <c r="G22" s="82">
        <f>CHOOSE('Scenario Analysis '!$B$13,'Scenario Analysis '!G14,'Scenario Analysis '!G15,'Scenario Analysis '!G16)</f>
        <v>0.15</v>
      </c>
      <c r="H22" s="82">
        <f>CHOOSE('Scenario Analysis '!$B$13,'Scenario Analysis '!H14,'Scenario Analysis '!H15,'Scenario Analysis '!H16)</f>
        <v>0.2</v>
      </c>
      <c r="I22" s="82">
        <f>CHOOSE('Scenario Analysis '!$B$13,'Scenario Analysis '!I14,'Scenario Analysis '!I15,'Scenario Analysis '!I16)</f>
        <v>0.1</v>
      </c>
      <c r="J22" s="82">
        <f>CHOOSE('Scenario Analysis '!$B$13,'Scenario Analysis '!J14,'Scenario Analysis '!J15,'Scenario Analysis '!J16)</f>
        <v>0.08</v>
      </c>
      <c r="K22" s="82">
        <f>CHOOSE('Scenario Analysis '!$B$13,'Scenario Analysis '!K14,'Scenario Analysis '!K15,'Scenario Analysis '!K16)</f>
        <v>0.09</v>
      </c>
    </row>
    <row r="24" spans="1:11" x14ac:dyDescent="0.3">
      <c r="A24" s="6" t="s">
        <v>143</v>
      </c>
    </row>
    <row r="25" spans="1:11" x14ac:dyDescent="0.3">
      <c r="A25" s="7" t="str">
        <f>'Revenue Model'!A79</f>
        <v xml:space="preserve">Y-o-Y Growth in music Segment </v>
      </c>
      <c r="C25" s="31">
        <f>'Revenue Model'!C79</f>
        <v>0</v>
      </c>
      <c r="D25" s="81">
        <f>'Revenue Model'!D79</f>
        <v>0.15947793558012435</v>
      </c>
      <c r="E25" s="81">
        <f>'Revenue Model'!E79</f>
        <v>0.18474449522226832</v>
      </c>
      <c r="F25" s="81">
        <f>'Revenue Model'!F79</f>
        <v>0.21817234552464293</v>
      </c>
      <c r="G25" s="82">
        <f>CHOOSE('Scenario Analysis '!$B$19,'Scenario Analysis '!G20,'Scenario Analysis '!G21,'Scenario Analysis '!G22)</f>
        <v>0.21</v>
      </c>
      <c r="H25" s="82">
        <f>CHOOSE('Scenario Analysis '!$B$19,'Scenario Analysis '!H20,'Scenario Analysis '!H21,'Scenario Analysis '!H22)</f>
        <v>0.21</v>
      </c>
      <c r="I25" s="82">
        <f>CHOOSE('Scenario Analysis '!$B$19,'Scenario Analysis '!I20,'Scenario Analysis '!I21,'Scenario Analysis '!I22)</f>
        <v>0.21</v>
      </c>
      <c r="J25" s="82">
        <f>CHOOSE('Scenario Analysis '!$B$19,'Scenario Analysis '!J20,'Scenario Analysis '!J21,'Scenario Analysis '!J22)</f>
        <v>0.21</v>
      </c>
      <c r="K25" s="82">
        <f>CHOOSE('Scenario Analysis '!$B$19,'Scenario Analysis '!K20,'Scenario Analysis '!K21,'Scenario Analysis '!K22)</f>
        <v>0.21</v>
      </c>
    </row>
    <row r="26" spans="1:11" x14ac:dyDescent="0.3">
      <c r="C26" s="81"/>
      <c r="D26" s="81"/>
      <c r="E26" s="81"/>
      <c r="F26" s="81"/>
      <c r="G26" s="82"/>
      <c r="H26" s="82"/>
      <c r="I26" s="82"/>
      <c r="J26" s="82"/>
      <c r="K26" s="82"/>
    </row>
    <row r="27" spans="1:11" x14ac:dyDescent="0.3">
      <c r="A27" s="6" t="s">
        <v>219</v>
      </c>
    </row>
    <row r="28" spans="1:11" x14ac:dyDescent="0.3">
      <c r="A28" s="7" t="str">
        <f>'Revenue Model'!A83</f>
        <v xml:space="preserve">Y-o-Y Growth in Video Segment </v>
      </c>
      <c r="C28" s="81" t="str">
        <f>'Revenue Model'!C83</f>
        <v>-</v>
      </c>
      <c r="D28" s="81">
        <f>'Revenue Model'!D83</f>
        <v>5.9298006764246791E-2</v>
      </c>
      <c r="E28" s="81">
        <f>'Revenue Model'!E83</f>
        <v>6.8260206946338275E-2</v>
      </c>
      <c r="F28" s="81">
        <f>'Revenue Model'!F83</f>
        <v>0.65688472778177642</v>
      </c>
      <c r="G28" s="82">
        <f>CHOOSE('Scenario Analysis '!$B$24,'Scenario Analysis '!G25,'Scenario Analysis '!G26,'Scenario Analysis '!G27)</f>
        <v>0.15</v>
      </c>
      <c r="H28" s="82">
        <f>CHOOSE('Scenario Analysis '!$B$24,'Scenario Analysis '!H25,'Scenario Analysis '!H26,'Scenario Analysis '!H27)</f>
        <v>0.15</v>
      </c>
      <c r="I28" s="82">
        <f>CHOOSE('Scenario Analysis '!$B$24,'Scenario Analysis '!I25,'Scenario Analysis '!I26,'Scenario Analysis '!I27)</f>
        <v>0.15</v>
      </c>
      <c r="J28" s="82">
        <f>CHOOSE('Scenario Analysis '!$B$24,'Scenario Analysis '!J25,'Scenario Analysis '!J26,'Scenario Analysis '!J27)</f>
        <v>0.15</v>
      </c>
      <c r="K28" s="82">
        <f>CHOOSE('Scenario Analysis '!$B$24,'Scenario Analysis '!K25,'Scenario Analysis '!K26,'Scenario Analysis '!K27)</f>
        <v>0.15</v>
      </c>
    </row>
    <row r="29" spans="1:11" x14ac:dyDescent="0.3">
      <c r="C29" s="81"/>
      <c r="D29" s="81"/>
      <c r="E29" s="81"/>
      <c r="F29" s="81"/>
      <c r="G29" s="82"/>
      <c r="H29" s="82"/>
      <c r="I29" s="82"/>
      <c r="J29" s="82"/>
      <c r="K29" s="82"/>
    </row>
    <row r="30" spans="1:11" x14ac:dyDescent="0.3">
      <c r="A30" s="6" t="s">
        <v>220</v>
      </c>
    </row>
    <row r="31" spans="1:11" x14ac:dyDescent="0.3">
      <c r="A31" s="7" t="str">
        <f>'Revenue Model'!A86</f>
        <v xml:space="preserve">Y-o-Y Growth in Events Segment </v>
      </c>
      <c r="B31" s="72" t="s">
        <v>236</v>
      </c>
      <c r="C31" s="81">
        <f>'Revenue Model'!C86</f>
        <v>0</v>
      </c>
      <c r="D31" s="81">
        <f>'Revenue Model'!D86</f>
        <v>0</v>
      </c>
      <c r="E31" s="81">
        <f>'Revenue Model'!E86</f>
        <v>-0.72543640694002443</v>
      </c>
      <c r="F31" s="81">
        <f>'Revenue Model'!F86</f>
        <v>20.220619415698906</v>
      </c>
      <c r="G31" s="82">
        <f>CHOOSE('Scenario Analysis '!$B$30,'Scenario Analysis '!G31,'Scenario Analysis '!G32,'Scenario Analysis '!G33)</f>
        <v>-0.1</v>
      </c>
      <c r="H31" s="82">
        <f>CHOOSE('Scenario Analysis '!$B$30,'Scenario Analysis '!H31,'Scenario Analysis '!H32,'Scenario Analysis '!H33)</f>
        <v>-0.1</v>
      </c>
      <c r="I31" s="82">
        <f>CHOOSE('Scenario Analysis '!$B$30,'Scenario Analysis '!I31,'Scenario Analysis '!I32,'Scenario Analysis '!I33)</f>
        <v>-0.1</v>
      </c>
      <c r="J31" s="82">
        <f>CHOOSE('Scenario Analysis '!$B$30,'Scenario Analysis '!J31,'Scenario Analysis '!J32,'Scenario Analysis '!J33)</f>
        <v>-0.1</v>
      </c>
      <c r="K31" s="82">
        <f>CHOOSE('Scenario Analysis '!$B$30,'Scenario Analysis '!K31,'Scenario Analysis '!K32,'Scenario Analysis '!K33)</f>
        <v>-0.1</v>
      </c>
    </row>
    <row r="32" spans="1:11" x14ac:dyDescent="0.3">
      <c r="C32" s="81"/>
      <c r="D32" s="81"/>
      <c r="E32" s="81"/>
      <c r="F32" s="81"/>
      <c r="G32" s="82"/>
      <c r="H32" s="82"/>
      <c r="I32" s="82"/>
      <c r="J32" s="82"/>
      <c r="K32" s="82"/>
    </row>
    <row r="33" spans="1:11" x14ac:dyDescent="0.3">
      <c r="A33" s="6" t="s">
        <v>221</v>
      </c>
    </row>
    <row r="34" spans="1:11" x14ac:dyDescent="0.3">
      <c r="A34" s="7" t="str">
        <f>'Revenue Model'!A88</f>
        <v xml:space="preserve">Other operating income </v>
      </c>
      <c r="B34" s="72" t="s">
        <v>237</v>
      </c>
      <c r="C34" s="31">
        <f>'Revenue Model'!C88</f>
        <v>1327.06</v>
      </c>
      <c r="D34" s="31">
        <f>'Revenue Model'!D88</f>
        <v>3036.74</v>
      </c>
      <c r="E34" s="31">
        <f>'Revenue Model'!E88</f>
        <v>4503.17</v>
      </c>
      <c r="F34" s="31">
        <f>'Revenue Model'!F88</f>
        <v>467.2</v>
      </c>
      <c r="G34" s="5">
        <v>0</v>
      </c>
      <c r="H34" s="5">
        <v>0</v>
      </c>
      <c r="I34" s="5">
        <v>0</v>
      </c>
      <c r="J34" s="5">
        <v>0</v>
      </c>
      <c r="K34" s="5">
        <v>0</v>
      </c>
    </row>
    <row r="37" spans="1:11" s="16" customFormat="1" x14ac:dyDescent="0.3">
      <c r="A37" s="17" t="s">
        <v>270</v>
      </c>
      <c r="B37" s="34"/>
      <c r="C37" s="35"/>
      <c r="D37" s="35"/>
      <c r="E37" s="35"/>
      <c r="F37" s="35"/>
      <c r="G37" s="19"/>
      <c r="H37" s="19"/>
      <c r="I37" s="19"/>
      <c r="J37" s="19"/>
      <c r="K37" s="19"/>
    </row>
    <row r="38" spans="1:11" s="1" customFormat="1" x14ac:dyDescent="0.3">
      <c r="A38" s="6"/>
      <c r="B38" s="71"/>
      <c r="C38" s="32"/>
      <c r="D38" s="32"/>
      <c r="E38" s="32"/>
      <c r="F38" s="32"/>
      <c r="G38" s="11"/>
      <c r="H38" s="11"/>
      <c r="I38" s="11"/>
      <c r="J38" s="11"/>
      <c r="K38" s="11"/>
    </row>
    <row r="39" spans="1:11" s="1" customFormat="1" x14ac:dyDescent="0.3">
      <c r="A39" s="6" t="str">
        <f>'Cost Model '!A5</f>
        <v xml:space="preserve">Cost of Music Business </v>
      </c>
      <c r="B39" s="71"/>
      <c r="C39" s="32"/>
      <c r="D39" s="32"/>
      <c r="E39" s="32"/>
      <c r="F39" s="32"/>
      <c r="G39" s="11"/>
      <c r="H39" s="11"/>
      <c r="I39" s="11"/>
      <c r="J39" s="11"/>
      <c r="K39" s="11"/>
    </row>
    <row r="40" spans="1:11" x14ac:dyDescent="0.3">
      <c r="A40" s="7" t="str">
        <f>'Cost Model '!A12</f>
        <v xml:space="preserve">Cost of music/Income from music </v>
      </c>
      <c r="B40" s="72" t="s">
        <v>272</v>
      </c>
      <c r="C40" s="81">
        <f>'Cost Model '!C12</f>
        <v>0.14866214862730737</v>
      </c>
      <c r="D40" s="81">
        <f>'Cost Model '!D12</f>
        <v>0.16563742462889072</v>
      </c>
      <c r="E40" s="81">
        <f>'Cost Model '!E12</f>
        <v>0.17010660702696512</v>
      </c>
      <c r="F40" s="81">
        <f>'Cost Model '!F12</f>
        <v>0.12630644434220764</v>
      </c>
      <c r="G40" s="82">
        <f>AVERAGE($C$40:$F$40)</f>
        <v>0.1526781561563427</v>
      </c>
      <c r="H40" s="82">
        <f t="shared" ref="H40:K40" si="1">AVERAGE($C$40:$F$40)</f>
        <v>0.1526781561563427</v>
      </c>
      <c r="I40" s="82">
        <f t="shared" si="1"/>
        <v>0.1526781561563427</v>
      </c>
      <c r="J40" s="82">
        <f t="shared" si="1"/>
        <v>0.1526781561563427</v>
      </c>
      <c r="K40" s="82">
        <f t="shared" si="1"/>
        <v>0.1526781561563427</v>
      </c>
    </row>
    <row r="41" spans="1:11" x14ac:dyDescent="0.3">
      <c r="C41" s="81"/>
      <c r="D41" s="81"/>
      <c r="E41" s="81"/>
      <c r="F41" s="81"/>
      <c r="G41" s="82"/>
      <c r="H41" s="82"/>
      <c r="I41" s="82"/>
      <c r="J41" s="82"/>
      <c r="K41" s="82"/>
    </row>
    <row r="42" spans="1:11" x14ac:dyDescent="0.3">
      <c r="A42" s="6" t="str">
        <f>'Cost Model '!A15</f>
        <v>Cost of Films, Tv serials and Digital content (under production and untelecasted)</v>
      </c>
      <c r="C42" s="81"/>
      <c r="D42" s="81"/>
      <c r="E42" s="81"/>
      <c r="F42" s="81"/>
      <c r="G42" s="82"/>
      <c r="H42" s="82"/>
      <c r="I42" s="82"/>
      <c r="J42" s="82"/>
      <c r="K42" s="82"/>
    </row>
    <row r="43" spans="1:11" x14ac:dyDescent="0.3">
      <c r="A43" s="7" t="str">
        <f>'Cost Model '!A21</f>
        <v>Cost of films and events/Income from films and events</v>
      </c>
      <c r="B43" s="72" t="s">
        <v>469</v>
      </c>
      <c r="C43" s="81">
        <f>'Cost Model '!C21</f>
        <v>0.72255650626566903</v>
      </c>
      <c r="D43" s="81">
        <f>'Cost Model '!D21</f>
        <v>0.85209773884429818</v>
      </c>
      <c r="E43" s="81">
        <f>'Cost Model '!E21</f>
        <v>0.96749628600793602</v>
      </c>
      <c r="F43" s="81">
        <f>'Cost Model '!F21</f>
        <v>0.95554219573914523</v>
      </c>
      <c r="G43" s="82">
        <v>0.8</v>
      </c>
      <c r="H43" s="82">
        <v>0.8</v>
      </c>
      <c r="I43" s="82">
        <v>0.75</v>
      </c>
      <c r="J43" s="82">
        <v>0.7</v>
      </c>
      <c r="K43" s="82">
        <v>0.7</v>
      </c>
    </row>
    <row r="45" spans="1:11" x14ac:dyDescent="0.3">
      <c r="A45" s="6" t="str">
        <f>'Cost Model '!A24</f>
        <v>Employee benefits expense</v>
      </c>
    </row>
    <row r="46" spans="1:11" x14ac:dyDescent="0.3">
      <c r="A46" s="7" t="str">
        <f>'Cost Model '!A26</f>
        <v>No. of BOD</v>
      </c>
      <c r="C46" s="31">
        <f>'Cost Model '!C26</f>
        <v>0</v>
      </c>
      <c r="D46" s="31">
        <f>'Cost Model '!D26</f>
        <v>8</v>
      </c>
      <c r="E46" s="31">
        <f>'Cost Model '!E26</f>
        <v>7</v>
      </c>
      <c r="F46" s="31">
        <f>'Cost Model '!F26</f>
        <v>8</v>
      </c>
      <c r="G46" s="5">
        <v>8</v>
      </c>
      <c r="H46" s="5">
        <v>8</v>
      </c>
      <c r="I46" s="5">
        <v>8</v>
      </c>
      <c r="J46" s="5">
        <v>8</v>
      </c>
      <c r="K46" s="5">
        <v>8</v>
      </c>
    </row>
    <row r="47" spans="1:11" x14ac:dyDescent="0.3">
      <c r="A47" s="7" t="str">
        <f>'Cost Model '!A28</f>
        <v>YoY Increase in Median Salary of BOD</v>
      </c>
      <c r="B47" s="72" t="s">
        <v>290</v>
      </c>
      <c r="C47" s="31" t="str">
        <f>'Cost Model '!C28</f>
        <v>-</v>
      </c>
      <c r="D47" s="31" t="str">
        <f>'Cost Model '!D28</f>
        <v>-</v>
      </c>
      <c r="E47" s="31">
        <f>'Cost Model '!E28</f>
        <v>0</v>
      </c>
      <c r="F47" s="81">
        <f>'Cost Model '!F28</f>
        <v>0.76543209876543195</v>
      </c>
      <c r="G47" s="82">
        <f>AVERAGE($E$47:$F$47)</f>
        <v>0.38271604938271597</v>
      </c>
      <c r="H47" s="82">
        <f t="shared" ref="H47:K47" si="2">AVERAGE($E$47:$F$47)</f>
        <v>0.38271604938271597</v>
      </c>
      <c r="I47" s="82">
        <f t="shared" si="2"/>
        <v>0.38271604938271597</v>
      </c>
      <c r="J47" s="82">
        <f t="shared" si="2"/>
        <v>0.38271604938271597</v>
      </c>
      <c r="K47" s="82">
        <f t="shared" si="2"/>
        <v>0.38271604938271597</v>
      </c>
    </row>
    <row r="49" spans="1:11" x14ac:dyDescent="0.3">
      <c r="A49" s="7" t="str">
        <f>'Cost Model '!A30</f>
        <v>No. of KMP (Key Managerial Personell)</v>
      </c>
      <c r="C49" s="31">
        <f>'Cost Model '!C30</f>
        <v>3</v>
      </c>
      <c r="D49" s="31">
        <f>'Cost Model '!D30</f>
        <v>3</v>
      </c>
      <c r="E49" s="31">
        <f>'Cost Model '!E30</f>
        <v>3</v>
      </c>
      <c r="F49" s="31">
        <f>'Cost Model '!F30</f>
        <v>3</v>
      </c>
      <c r="G49" s="5">
        <v>3</v>
      </c>
      <c r="H49" s="5">
        <v>3</v>
      </c>
      <c r="I49" s="5">
        <v>3</v>
      </c>
      <c r="J49" s="5">
        <v>3</v>
      </c>
      <c r="K49" s="5">
        <v>3</v>
      </c>
    </row>
    <row r="50" spans="1:11" x14ac:dyDescent="0.3">
      <c r="A50" s="7" t="str">
        <f>'Cost Model '!A32</f>
        <v>YoY Increase in Median Salary of BOD</v>
      </c>
      <c r="B50" s="72" t="s">
        <v>291</v>
      </c>
      <c r="C50" s="81" t="str">
        <f>'Cost Model '!C32</f>
        <v>-</v>
      </c>
      <c r="D50" s="81">
        <f>'Cost Model '!D32</f>
        <v>0.47750211306120427</v>
      </c>
      <c r="E50" s="81">
        <f>'Cost Model '!E32</f>
        <v>0.19687384325470259</v>
      </c>
      <c r="F50" s="81">
        <f>'Cost Model '!F32</f>
        <v>0.18997680466718236</v>
      </c>
      <c r="G50" s="82">
        <f>AVERAGE(D50:F50)</f>
        <v>0.28811758699436307</v>
      </c>
      <c r="H50" s="82">
        <f t="shared" ref="H50:K50" si="3">AVERAGE(E50:G50)</f>
        <v>0.22498941163874933</v>
      </c>
      <c r="I50" s="82">
        <f t="shared" si="3"/>
        <v>0.23436126776676491</v>
      </c>
      <c r="J50" s="82">
        <f t="shared" si="3"/>
        <v>0.2491560887999591</v>
      </c>
      <c r="K50" s="82">
        <f t="shared" si="3"/>
        <v>0.23616892273515777</v>
      </c>
    </row>
    <row r="52" spans="1:11" x14ac:dyDescent="0.3">
      <c r="A52" s="7" t="str">
        <f>'Cost Model '!A34</f>
        <v>Total Number of Employees (Other than BOD and KMP)</v>
      </c>
      <c r="C52" s="31">
        <f>'Cost Model '!C34</f>
        <v>407</v>
      </c>
      <c r="D52" s="31">
        <f>'Cost Model '!D34</f>
        <v>372</v>
      </c>
      <c r="E52" s="31">
        <f>'Cost Model '!E34</f>
        <v>454</v>
      </c>
      <c r="F52" s="31">
        <f>'Cost Model '!F34</f>
        <v>396</v>
      </c>
      <c r="G52" s="5">
        <f>F52+G53</f>
        <v>446</v>
      </c>
      <c r="H52" s="5">
        <f>G52+H53</f>
        <v>496</v>
      </c>
      <c r="I52" s="5">
        <f>H52+I53</f>
        <v>546</v>
      </c>
      <c r="J52" s="5">
        <f>I52+J53</f>
        <v>596</v>
      </c>
      <c r="K52" s="5">
        <f>J52+K53</f>
        <v>646</v>
      </c>
    </row>
    <row r="53" spans="1:11" x14ac:dyDescent="0.3">
      <c r="A53" s="7" t="s">
        <v>287</v>
      </c>
      <c r="B53" s="72" t="s">
        <v>288</v>
      </c>
      <c r="D53" s="31">
        <f>D52-C52</f>
        <v>-35</v>
      </c>
      <c r="E53" s="31">
        <f>E52-D52</f>
        <v>82</v>
      </c>
      <c r="F53" s="31">
        <f>F52-E52</f>
        <v>-58</v>
      </c>
      <c r="G53" s="5">
        <v>50</v>
      </c>
      <c r="H53" s="5">
        <v>50</v>
      </c>
      <c r="I53" s="5">
        <v>50</v>
      </c>
      <c r="J53" s="5">
        <v>50</v>
      </c>
      <c r="K53" s="5">
        <v>50</v>
      </c>
    </row>
    <row r="54" spans="1:11" x14ac:dyDescent="0.3">
      <c r="A54" s="7" t="str">
        <f>'Cost Model '!A36</f>
        <v>YoY Increase in Median Salary of Employee (Other than BOD and KMP)</v>
      </c>
      <c r="C54" s="81" t="str">
        <f>'Cost Model '!C36</f>
        <v>-</v>
      </c>
      <c r="D54" s="81" t="str">
        <f>'Cost Model '!D36</f>
        <v>-</v>
      </c>
      <c r="E54" s="81">
        <f>'Cost Model '!E36</f>
        <v>-4.2631578947368576E-2</v>
      </c>
      <c r="F54" s="81">
        <f>'Cost Model '!F36</f>
        <v>0.21330401319406289</v>
      </c>
      <c r="G54" s="82">
        <v>0.3</v>
      </c>
      <c r="H54" s="82">
        <v>0.3</v>
      </c>
      <c r="I54" s="82">
        <v>0.3</v>
      </c>
      <c r="J54" s="82">
        <v>0.3</v>
      </c>
      <c r="K54" s="82">
        <v>0.3</v>
      </c>
    </row>
    <row r="56" spans="1:11" x14ac:dyDescent="0.3">
      <c r="A56" s="6" t="str">
        <f>'Cost Model '!A39</f>
        <v>Royalty expenses</v>
      </c>
    </row>
    <row r="57" spans="1:11" x14ac:dyDescent="0.3">
      <c r="A57" s="7" t="str">
        <f>'Cost Model '!A41</f>
        <v xml:space="preserve">Royalty Expense / License Income </v>
      </c>
      <c r="B57" s="72" t="s">
        <v>295</v>
      </c>
      <c r="C57" s="81">
        <f>'Cost Model '!C41</f>
        <v>0.17379465631309554</v>
      </c>
      <c r="D57" s="81">
        <f>'Cost Model '!D41</f>
        <v>0.15562537836073356</v>
      </c>
      <c r="E57" s="81">
        <f>'Cost Model '!E41</f>
        <v>0.12809579544280847</v>
      </c>
      <c r="F57" s="81">
        <f>'Cost Model '!F41</f>
        <v>0.12683351862537812</v>
      </c>
      <c r="G57" s="82">
        <v>0.11</v>
      </c>
      <c r="H57" s="82">
        <v>0.11</v>
      </c>
      <c r="I57" s="82">
        <v>0.11</v>
      </c>
      <c r="J57" s="82">
        <v>0.11</v>
      </c>
      <c r="K57" s="82">
        <v>0.11</v>
      </c>
    </row>
    <row r="59" spans="1:11" x14ac:dyDescent="0.3">
      <c r="A59" s="6" t="str">
        <f>'Cost Model '!A44</f>
        <v>Advertisement and sales promotion</v>
      </c>
    </row>
    <row r="60" spans="1:11" x14ac:dyDescent="0.3">
      <c r="A60" s="7" t="str">
        <f>'Cost Model '!A46</f>
        <v>Advertisment and Sales Promotion Expense/ Revenue from operations</v>
      </c>
      <c r="B60" s="72" t="s">
        <v>290</v>
      </c>
      <c r="C60" s="81">
        <f>'Cost Model '!C46</f>
        <v>8.965006141630194E-2</v>
      </c>
      <c r="D60" s="81">
        <f>'Cost Model '!D46</f>
        <v>0.10468053322386052</v>
      </c>
      <c r="E60" s="81">
        <f>'Cost Model '!E46</f>
        <v>9.4619827547558932E-2</v>
      </c>
      <c r="F60" s="81">
        <f>'Cost Model '!F46</f>
        <v>7.7185395817639293E-2</v>
      </c>
      <c r="G60" s="82">
        <f>AVERAGE($C$60:$F$60)</f>
        <v>9.1533954501340165E-2</v>
      </c>
      <c r="H60" s="82">
        <f t="shared" ref="H60:K60" si="4">AVERAGE($C$60:$F$60)</f>
        <v>9.1533954501340165E-2</v>
      </c>
      <c r="I60" s="82">
        <f t="shared" si="4"/>
        <v>9.1533954501340165E-2</v>
      </c>
      <c r="J60" s="82">
        <f t="shared" si="4"/>
        <v>9.1533954501340165E-2</v>
      </c>
      <c r="K60" s="82">
        <f t="shared" si="4"/>
        <v>9.1533954501340165E-2</v>
      </c>
    </row>
    <row r="61" spans="1:11" x14ac:dyDescent="0.3">
      <c r="C61" s="81"/>
      <c r="D61" s="81"/>
      <c r="E61" s="81"/>
      <c r="F61" s="81"/>
      <c r="G61" s="82"/>
      <c r="H61" s="82"/>
      <c r="I61" s="82"/>
      <c r="J61" s="82"/>
      <c r="K61" s="82"/>
    </row>
    <row r="62" spans="1:11" x14ac:dyDescent="0.3">
      <c r="A62" s="6" t="str">
        <f>'Cost Model '!A49</f>
        <v>Other expenses</v>
      </c>
    </row>
    <row r="63" spans="1:11" x14ac:dyDescent="0.3">
      <c r="A63" s="7" t="str">
        <f>'Cost Model '!A51</f>
        <v>Other Expense/Revenue from Operations</v>
      </c>
      <c r="B63" s="72" t="s">
        <v>299</v>
      </c>
      <c r="C63" s="81">
        <f>'Cost Model '!C51</f>
        <v>0.10636886706729062</v>
      </c>
      <c r="D63" s="81">
        <f>'Cost Model '!D51</f>
        <v>9.9011676557774889E-2</v>
      </c>
      <c r="E63" s="81">
        <f>'Cost Model '!E51</f>
        <v>0.11706130978176948</v>
      </c>
      <c r="F63" s="81">
        <f>'Cost Model '!F51</f>
        <v>7.2616679995929509E-2</v>
      </c>
      <c r="G63" s="82">
        <f>AVERAGE(C63:F63)</f>
        <v>9.8764633350691133E-2</v>
      </c>
      <c r="H63" s="82">
        <f t="shared" ref="H63:K63" si="5">AVERAGE(D63:G63)</f>
        <v>9.6863574921541254E-2</v>
      </c>
      <c r="I63" s="82">
        <f t="shared" si="5"/>
        <v>9.6326549512482845E-2</v>
      </c>
      <c r="J63" s="82">
        <f t="shared" si="5"/>
        <v>9.1142859445161178E-2</v>
      </c>
      <c r="K63" s="82">
        <f t="shared" si="5"/>
        <v>9.5774404307469113E-2</v>
      </c>
    </row>
    <row r="65" spans="1:11" x14ac:dyDescent="0.3">
      <c r="A65" s="7" t="str">
        <f>'Cost Model '!A56</f>
        <v xml:space="preserve">Effective Tax Rate </v>
      </c>
      <c r="B65" s="72" t="s">
        <v>272</v>
      </c>
      <c r="C65" s="81">
        <f>'Cost Model '!C56</f>
        <v>0.25324686760685755</v>
      </c>
      <c r="D65" s="81">
        <f>'Cost Model '!D56</f>
        <v>0.25405669272167558</v>
      </c>
      <c r="E65" s="81">
        <f>'Cost Model '!E56</f>
        <v>0.27042196098243004</v>
      </c>
      <c r="F65" s="81">
        <f>'Cost Model '!F56</f>
        <v>0.2601939356180113</v>
      </c>
      <c r="G65" s="82">
        <f>AVERAGE($C$65:$F$65)</f>
        <v>0.25947986423224367</v>
      </c>
      <c r="H65" s="82">
        <f t="shared" ref="H65:K65" si="6">AVERAGE($C$65:$F$65)</f>
        <v>0.25947986423224367</v>
      </c>
      <c r="I65" s="82">
        <f t="shared" si="6"/>
        <v>0.25947986423224367</v>
      </c>
      <c r="J65" s="82">
        <f t="shared" si="6"/>
        <v>0.25947986423224367</v>
      </c>
      <c r="K65" s="82">
        <f t="shared" si="6"/>
        <v>0.25947986423224367</v>
      </c>
    </row>
    <row r="67" spans="1:11" x14ac:dyDescent="0.3">
      <c r="A67" s="7" t="str">
        <f>'Cost Model '!A61</f>
        <v>Dividend Payout Ratio</v>
      </c>
      <c r="B67" s="72" t="s">
        <v>441</v>
      </c>
      <c r="C67" s="81">
        <f>'Cost Model '!C61</f>
        <v>0.37893525918860421</v>
      </c>
      <c r="D67" s="81">
        <f>'Cost Model '!D61</f>
        <v>0.31257609351754839</v>
      </c>
      <c r="E67" s="81">
        <f>'Cost Model '!E61</f>
        <v>0.39038303942158126</v>
      </c>
      <c r="F67" s="81">
        <f>'Cost Model '!F61</f>
        <v>0.42481602436361326</v>
      </c>
      <c r="G67" s="82">
        <v>0</v>
      </c>
      <c r="H67" s="82">
        <v>0</v>
      </c>
      <c r="I67" s="82">
        <f t="shared" ref="I67:K67" si="7">AVERAGE($C$67:$F$67)</f>
        <v>0.3766776041228368</v>
      </c>
      <c r="J67" s="82">
        <f t="shared" si="7"/>
        <v>0.3766776041228368</v>
      </c>
      <c r="K67" s="82">
        <f t="shared" si="7"/>
        <v>0.3766776041228368</v>
      </c>
    </row>
    <row r="69" spans="1:11" s="16" customFormat="1" x14ac:dyDescent="0.3">
      <c r="A69" s="17" t="s">
        <v>113</v>
      </c>
      <c r="B69" s="34"/>
      <c r="C69" s="35"/>
      <c r="D69" s="35"/>
      <c r="E69" s="35"/>
      <c r="F69" s="35"/>
      <c r="G69" s="19"/>
      <c r="H69" s="19"/>
      <c r="I69" s="19"/>
      <c r="J69" s="19"/>
      <c r="K69" s="19"/>
    </row>
    <row r="70" spans="1:11" s="1" customFormat="1" x14ac:dyDescent="0.3">
      <c r="A70" s="6"/>
      <c r="B70" s="71"/>
      <c r="C70" s="32"/>
      <c r="D70" s="32"/>
      <c r="E70" s="32"/>
      <c r="F70" s="32"/>
      <c r="G70" s="11"/>
      <c r="H70" s="11"/>
      <c r="I70" s="11"/>
      <c r="J70" s="11"/>
      <c r="K70" s="11"/>
    </row>
    <row r="71" spans="1:11" s="1" customFormat="1" x14ac:dyDescent="0.3">
      <c r="A71" s="6" t="s">
        <v>125</v>
      </c>
      <c r="B71" s="71"/>
      <c r="C71" s="32"/>
      <c r="D71" s="32"/>
      <c r="E71" s="32"/>
      <c r="F71" s="32"/>
      <c r="G71" s="11"/>
      <c r="H71" s="11"/>
      <c r="I71" s="11"/>
      <c r="J71" s="11"/>
      <c r="K71" s="11"/>
    </row>
    <row r="72" spans="1:11" x14ac:dyDescent="0.3">
      <c r="A72" s="7" t="str">
        <f>'Capex Schedule '!A17</f>
        <v xml:space="preserve">Addition </v>
      </c>
      <c r="C72" s="31">
        <f>'Capex Schedule '!C17</f>
        <v>0</v>
      </c>
      <c r="D72" s="31">
        <f>'Capex Schedule '!D17</f>
        <v>0</v>
      </c>
      <c r="E72" s="31">
        <f>'Capex Schedule '!E17</f>
        <v>0</v>
      </c>
      <c r="F72" s="31">
        <f>'Capex Schedule '!F17</f>
        <v>0</v>
      </c>
      <c r="G72" s="5">
        <v>0</v>
      </c>
      <c r="H72" s="5">
        <v>0</v>
      </c>
      <c r="I72" s="5">
        <v>0</v>
      </c>
      <c r="J72" s="5">
        <v>0</v>
      </c>
      <c r="K72" s="5">
        <v>0</v>
      </c>
    </row>
    <row r="73" spans="1:11" x14ac:dyDescent="0.3">
      <c r="A73" s="7" t="str">
        <f>'Capex Schedule '!A28</f>
        <v xml:space="preserve">Total Useful Life </v>
      </c>
      <c r="C73" s="31">
        <f>'Capex Schedule '!C28</f>
        <v>17.301470588235293</v>
      </c>
      <c r="D73" s="31">
        <f>'Capex Schedule '!D28</f>
        <v>17.301470588235293</v>
      </c>
      <c r="E73" s="31">
        <f>'Capex Schedule '!E28</f>
        <v>17.301470588235293</v>
      </c>
      <c r="F73" s="31">
        <f>'Capex Schedule '!F28</f>
        <v>17.301470588235293</v>
      </c>
      <c r="G73" s="5">
        <v>17.3</v>
      </c>
      <c r="H73" s="5">
        <v>17.3</v>
      </c>
      <c r="I73" s="5">
        <v>17.3</v>
      </c>
      <c r="J73" s="5">
        <v>17.3</v>
      </c>
      <c r="K73" s="5">
        <v>17.3</v>
      </c>
    </row>
    <row r="75" spans="1:11" x14ac:dyDescent="0.3">
      <c r="A75" s="6" t="s">
        <v>126</v>
      </c>
    </row>
    <row r="76" spans="1:11" x14ac:dyDescent="0.3">
      <c r="A76" s="7" t="str">
        <f>'Capex Schedule '!A36</f>
        <v xml:space="preserve">Addition </v>
      </c>
      <c r="C76" s="31">
        <f>'Capex Schedule '!C36</f>
        <v>0</v>
      </c>
      <c r="D76" s="31">
        <f>'Capex Schedule '!D36</f>
        <v>0</v>
      </c>
      <c r="E76" s="31">
        <f>'Capex Schedule '!E36</f>
        <v>0</v>
      </c>
      <c r="F76" s="31">
        <f>'Capex Schedule '!F36</f>
        <v>0</v>
      </c>
      <c r="G76" s="5">
        <v>0</v>
      </c>
      <c r="H76" s="5">
        <v>0</v>
      </c>
      <c r="I76" s="5">
        <v>0</v>
      </c>
      <c r="J76" s="5">
        <v>0</v>
      </c>
      <c r="K76" s="5">
        <v>0</v>
      </c>
    </row>
    <row r="77" spans="1:11" x14ac:dyDescent="0.3">
      <c r="A77" s="7" t="str">
        <f>'Capex Schedule '!A47</f>
        <v xml:space="preserve">Total Useful Life </v>
      </c>
      <c r="C77" s="31">
        <f>'Capex Schedule '!C47</f>
        <v>47.137499999999996</v>
      </c>
      <c r="D77" s="31">
        <f>'Capex Schedule '!D47</f>
        <v>47.137499999999996</v>
      </c>
      <c r="E77" s="31">
        <f>'Capex Schedule '!E47</f>
        <v>47.137499999999996</v>
      </c>
      <c r="F77" s="31">
        <f>'Capex Schedule '!F47</f>
        <v>47.137499999999996</v>
      </c>
      <c r="G77" s="5">
        <v>47.137499999999996</v>
      </c>
      <c r="H77" s="5">
        <v>47.137499999999996</v>
      </c>
      <c r="I77" s="5">
        <v>47.137499999999996</v>
      </c>
      <c r="J77" s="5">
        <v>47.137499999999996</v>
      </c>
      <c r="K77" s="5">
        <v>47.137499999999996</v>
      </c>
    </row>
    <row r="79" spans="1:11" x14ac:dyDescent="0.3">
      <c r="A79" s="6" t="s">
        <v>127</v>
      </c>
    </row>
    <row r="80" spans="1:11" x14ac:dyDescent="0.3">
      <c r="A80" s="7" t="str">
        <f>'Capex Schedule '!A54</f>
        <v xml:space="preserve">Addition </v>
      </c>
      <c r="C80" s="31">
        <f>'Capex Schedule '!C54</f>
        <v>0</v>
      </c>
      <c r="D80" s="31">
        <f>'Capex Schedule '!D54</f>
        <v>0</v>
      </c>
      <c r="E80" s="31">
        <f>'Capex Schedule '!E54</f>
        <v>0</v>
      </c>
      <c r="F80" s="31">
        <f>'Capex Schedule '!F54</f>
        <v>22.05</v>
      </c>
      <c r="G80" s="5">
        <v>0</v>
      </c>
      <c r="H80" s="5">
        <v>0</v>
      </c>
      <c r="I80" s="5">
        <v>0</v>
      </c>
      <c r="J80" s="5">
        <v>0</v>
      </c>
      <c r="K80" s="5">
        <v>0</v>
      </c>
    </row>
    <row r="81" spans="1:12" x14ac:dyDescent="0.3">
      <c r="A81" s="7" t="str">
        <f>'Capex Schedule '!A65</f>
        <v xml:space="preserve">Total Useful Life </v>
      </c>
      <c r="C81" s="31">
        <f>'Capex Schedule '!C65</f>
        <v>0</v>
      </c>
      <c r="D81" s="31">
        <f>'Capex Schedule '!D65</f>
        <v>0</v>
      </c>
      <c r="E81" s="31">
        <f>'Capex Schedule '!E65</f>
        <v>0</v>
      </c>
      <c r="F81" s="31">
        <f>'Capex Schedule '!F65</f>
        <v>8.2320261437908506</v>
      </c>
      <c r="G81" s="5">
        <v>8.2320261437908506</v>
      </c>
      <c r="H81" s="5">
        <v>8.2320261437908506</v>
      </c>
      <c r="I81" s="5">
        <v>8.2320261437908506</v>
      </c>
      <c r="J81" s="5">
        <v>8.2320261437908506</v>
      </c>
      <c r="K81" s="5">
        <v>8.2320261437908506</v>
      </c>
    </row>
    <row r="83" spans="1:12" x14ac:dyDescent="0.3">
      <c r="A83" s="6" t="s">
        <v>128</v>
      </c>
    </row>
    <row r="84" spans="1:12" x14ac:dyDescent="0.3">
      <c r="A84" s="7" t="str">
        <f>'Capex Schedule '!A72</f>
        <v xml:space="preserve">Addition </v>
      </c>
      <c r="B84" s="72" t="s">
        <v>237</v>
      </c>
      <c r="C84" s="31">
        <f>'Capex Schedule '!C72</f>
        <v>4.99</v>
      </c>
      <c r="D84" s="31">
        <f>'Capex Schedule '!D72</f>
        <v>524.54999999999995</v>
      </c>
      <c r="E84" s="31">
        <f>'Capex Schedule '!E72</f>
        <v>251.7</v>
      </c>
      <c r="F84" s="31">
        <f>'Capex Schedule '!F72</f>
        <v>60.94</v>
      </c>
      <c r="G84" s="5">
        <v>50</v>
      </c>
      <c r="H84" s="5">
        <v>50</v>
      </c>
      <c r="I84" s="5">
        <v>50</v>
      </c>
      <c r="J84" s="5">
        <v>50</v>
      </c>
      <c r="K84" s="5">
        <v>50</v>
      </c>
    </row>
    <row r="85" spans="1:12" x14ac:dyDescent="0.3">
      <c r="A85" s="7" t="str">
        <f>'Capex Schedule '!A83</f>
        <v xml:space="preserve">Total Useful Life </v>
      </c>
      <c r="C85" s="31">
        <f>'Capex Schedule '!C83</f>
        <v>10.467625899280575</v>
      </c>
      <c r="D85" s="31">
        <f>'Capex Schedule '!D83</f>
        <v>22.338783970520499</v>
      </c>
      <c r="E85" s="31">
        <f>'Capex Schedule '!E83</f>
        <v>12.245342807758787</v>
      </c>
      <c r="F85" s="31">
        <f>'Capex Schedule '!F83</f>
        <v>10.892394228417707</v>
      </c>
      <c r="G85" s="5">
        <v>10</v>
      </c>
      <c r="H85" s="5">
        <v>9.5</v>
      </c>
      <c r="I85" s="5">
        <v>9</v>
      </c>
      <c r="J85" s="5">
        <v>8.5</v>
      </c>
      <c r="K85" s="5">
        <v>8</v>
      </c>
    </row>
    <row r="87" spans="1:12" x14ac:dyDescent="0.3">
      <c r="A87" s="6" t="s">
        <v>129</v>
      </c>
    </row>
    <row r="88" spans="1:12" x14ac:dyDescent="0.3">
      <c r="A88" s="7" t="str">
        <f>'Capex Schedule '!A90</f>
        <v xml:space="preserve">Addition </v>
      </c>
      <c r="C88" s="31">
        <f>'Capex Schedule '!C90</f>
        <v>183.15</v>
      </c>
      <c r="D88" s="31">
        <f>'Capex Schedule '!D90</f>
        <v>367.37</v>
      </c>
      <c r="E88" s="31">
        <f>'Capex Schedule '!E90</f>
        <v>273.57</v>
      </c>
      <c r="F88" s="31">
        <f>'Capex Schedule '!F90</f>
        <v>159.88</v>
      </c>
      <c r="G88" s="5">
        <f>IS!G4*'Assumption Sheet'!G89</f>
        <v>408.46943850393257</v>
      </c>
      <c r="H88" s="5">
        <f>IS!H4*'Assumption Sheet'!H89</f>
        <v>457.2812926073853</v>
      </c>
      <c r="I88" s="5">
        <f>IS!I4*'Assumption Sheet'!I89</f>
        <v>449.38722716936417</v>
      </c>
      <c r="J88" s="5">
        <f>IS!J4*'Assumption Sheet'!J89</f>
        <v>489.91106788940857</v>
      </c>
      <c r="K88" s="5">
        <f>IS!K4*'Assumption Sheet'!K89</f>
        <v>639.3504202361222</v>
      </c>
    </row>
    <row r="89" spans="1:12" x14ac:dyDescent="0.3">
      <c r="A89" s="7" t="s">
        <v>304</v>
      </c>
      <c r="B89" s="72" t="s">
        <v>305</v>
      </c>
      <c r="C89" s="81">
        <f>C88/IS!C4</f>
        <v>3.1543454014242522E-3</v>
      </c>
      <c r="D89" s="81">
        <f>D88/IS!D4</f>
        <v>4.9872308861053692E-3</v>
      </c>
      <c r="E89" s="81">
        <f>E88/IS!E4</f>
        <v>3.4068323445462291E-3</v>
      </c>
      <c r="F89" s="81">
        <f>F88/IS!F4</f>
        <v>1.3649119619832577E-3</v>
      </c>
      <c r="G89" s="82">
        <f>AVERAGE(C89:F89)</f>
        <v>3.2283301485147766E-3</v>
      </c>
      <c r="H89" s="82">
        <f t="shared" ref="H89:K89" si="8">AVERAGE(D89:G89)</f>
        <v>3.246826335287408E-3</v>
      </c>
      <c r="I89" s="82">
        <f t="shared" si="8"/>
        <v>2.8117251975829181E-3</v>
      </c>
      <c r="J89" s="82">
        <f t="shared" si="8"/>
        <v>2.66294841084209E-3</v>
      </c>
      <c r="K89" s="82">
        <f t="shared" si="8"/>
        <v>2.9874575230567982E-3</v>
      </c>
    </row>
    <row r="90" spans="1:12" x14ac:dyDescent="0.3">
      <c r="A90" s="7" t="str">
        <f>'Capex Schedule '!A101</f>
        <v xml:space="preserve">Total Useful Life </v>
      </c>
      <c r="B90" s="72" t="s">
        <v>305</v>
      </c>
      <c r="C90" s="31">
        <f>'Capex Schedule '!C101</f>
        <v>7.3768661922701275</v>
      </c>
      <c r="D90" s="31">
        <f>'Capex Schedule '!D101</f>
        <v>7.8146863090836707</v>
      </c>
      <c r="E90" s="31">
        <f>'Capex Schedule '!E101</f>
        <v>6.7643891858393372</v>
      </c>
      <c r="F90" s="31">
        <f>'Capex Schedule '!F101</f>
        <v>7.1069703768490697</v>
      </c>
      <c r="G90" s="5">
        <f>AVERAGE(C90:F90)</f>
        <v>7.2657280160105513</v>
      </c>
      <c r="H90" s="5">
        <f t="shared" ref="H90:K90" si="9">AVERAGE(D90:G90)</f>
        <v>7.2379434719456572</v>
      </c>
      <c r="I90" s="5">
        <f t="shared" si="9"/>
        <v>7.0937577626611539</v>
      </c>
      <c r="J90" s="5">
        <f t="shared" si="9"/>
        <v>7.1760999068666091</v>
      </c>
      <c r="K90" s="5">
        <f t="shared" si="9"/>
        <v>7.1933822893709927</v>
      </c>
    </row>
    <row r="92" spans="1:12" x14ac:dyDescent="0.3">
      <c r="A92" s="64" t="s">
        <v>130</v>
      </c>
    </row>
    <row r="93" spans="1:12" x14ac:dyDescent="0.3">
      <c r="A93" s="7" t="str">
        <f>'Capex Schedule '!A108</f>
        <v xml:space="preserve">Addition </v>
      </c>
      <c r="B93" s="72" t="s">
        <v>237</v>
      </c>
      <c r="C93" s="31">
        <f>'Capex Schedule '!C108</f>
        <v>0</v>
      </c>
      <c r="D93" s="31">
        <f>'Capex Schedule '!D108</f>
        <v>0</v>
      </c>
      <c r="E93" s="31">
        <f>'Capex Schedule '!E108</f>
        <v>4.63</v>
      </c>
      <c r="F93" s="31">
        <f>'Capex Schedule '!F108</f>
        <v>0</v>
      </c>
      <c r="G93" s="5">
        <v>0</v>
      </c>
      <c r="H93" s="5">
        <v>0</v>
      </c>
      <c r="I93" s="5">
        <v>0</v>
      </c>
      <c r="J93" s="5">
        <v>0</v>
      </c>
      <c r="K93" s="5">
        <v>0</v>
      </c>
    </row>
    <row r="94" spans="1:12" x14ac:dyDescent="0.3">
      <c r="A94" s="7" t="str">
        <f>'Capex Schedule '!A119</f>
        <v xml:space="preserve">Total Useful Life </v>
      </c>
      <c r="C94" s="31">
        <f>'Capex Schedule '!C119</f>
        <v>0</v>
      </c>
      <c r="D94" s="31">
        <f>'Capex Schedule '!D119</f>
        <v>0</v>
      </c>
      <c r="E94" s="31">
        <f>'Capex Schedule '!E119</f>
        <v>0</v>
      </c>
      <c r="F94" s="31">
        <f>'Capex Schedule '!F119</f>
        <v>16.913793103448278</v>
      </c>
      <c r="G94" s="5">
        <v>16.913793103448278</v>
      </c>
      <c r="H94" s="5">
        <v>16.913793103448278</v>
      </c>
      <c r="I94" s="5">
        <v>16.913793103448278</v>
      </c>
      <c r="J94" s="5">
        <v>16.913793103448278</v>
      </c>
      <c r="K94" s="5">
        <v>16.913793103448278</v>
      </c>
    </row>
    <row r="95" spans="1:12" x14ac:dyDescent="0.3">
      <c r="L95" s="5"/>
    </row>
    <row r="96" spans="1:12" x14ac:dyDescent="0.3">
      <c r="A96" s="6" t="s">
        <v>132</v>
      </c>
    </row>
    <row r="97" spans="1:11" x14ac:dyDescent="0.3">
      <c r="A97" s="7" t="str">
        <f>'Capex Schedule '!A148</f>
        <v xml:space="preserve">Addition </v>
      </c>
      <c r="C97" s="31">
        <f>'Capex Schedule '!C148</f>
        <v>5209.07</v>
      </c>
      <c r="D97" s="31">
        <f>'Capex Schedule '!D148</f>
        <v>7200.22</v>
      </c>
      <c r="E97" s="31">
        <f>'Capex Schedule '!E148</f>
        <v>9882.27</v>
      </c>
      <c r="F97" s="31">
        <f>'Capex Schedule '!F148</f>
        <v>17218.87</v>
      </c>
      <c r="G97" s="5">
        <f>CHOOSE('Scenario Analysis '!$B$35,'Scenario Analysis '!G36,'Scenario Analysis '!G37,'Scenario Analysis '!G38)</f>
        <v>27593.710000000003</v>
      </c>
      <c r="H97" s="5">
        <f>CHOOSE('Scenario Analysis '!$B$35,'Scenario Analysis '!H36,'Scenario Analysis '!H37,'Scenario Analysis '!H38)</f>
        <v>27593.710000000003</v>
      </c>
      <c r="I97" s="5">
        <f>CHOOSE('Scenario Analysis '!$B$35,'Scenario Analysis '!I36,'Scenario Analysis '!I37,'Scenario Analysis '!I38)</f>
        <v>27593.710000000003</v>
      </c>
      <c r="J97" s="5">
        <f>CHOOSE('Scenario Analysis '!$B$35,'Scenario Analysis '!J36,'Scenario Analysis '!J37,'Scenario Analysis '!J38)</f>
        <v>7486.15</v>
      </c>
      <c r="K97" s="5">
        <f>CHOOSE('Scenario Analysis '!$B$35,'Scenario Analysis '!K36,'Scenario Analysis '!K37,'Scenario Analysis '!K38)</f>
        <v>7935.3190000000004</v>
      </c>
    </row>
    <row r="98" spans="1:11" x14ac:dyDescent="0.3">
      <c r="A98" s="7" t="str">
        <f>'Capex Schedule '!A161</f>
        <v xml:space="preserve">Total Useful Life </v>
      </c>
      <c r="B98" s="72" t="s">
        <v>308</v>
      </c>
      <c r="C98" s="31">
        <f>'Capex Schedule '!C161</f>
        <v>0</v>
      </c>
      <c r="D98" s="31">
        <f>'Capex Schedule '!D161</f>
        <v>8.5160437752180869</v>
      </c>
      <c r="E98" s="31">
        <f>'Capex Schedule '!E161</f>
        <v>8.3339701974278686</v>
      </c>
      <c r="F98" s="31">
        <f>'Capex Schedule '!F161</f>
        <v>8.6206568760098801</v>
      </c>
      <c r="G98" s="5">
        <v>10</v>
      </c>
      <c r="H98" s="5">
        <v>10</v>
      </c>
      <c r="I98" s="5">
        <v>10</v>
      </c>
      <c r="J98" s="5">
        <v>10</v>
      </c>
      <c r="K98" s="5">
        <v>10</v>
      </c>
    </row>
    <row r="100" spans="1:11" x14ac:dyDescent="0.3">
      <c r="A100" s="6" t="s">
        <v>138</v>
      </c>
    </row>
    <row r="101" spans="1:11" x14ac:dyDescent="0.3">
      <c r="A101" s="7" t="str">
        <f>'Capex Schedule '!A168</f>
        <v xml:space="preserve">Addition </v>
      </c>
      <c r="B101" s="72" t="s">
        <v>237</v>
      </c>
      <c r="C101" s="31">
        <f>'Capex Schedule '!C168</f>
        <v>78.540000000000006</v>
      </c>
      <c r="D101" s="31">
        <f>'Capex Schedule '!D168</f>
        <v>5.21</v>
      </c>
      <c r="E101" s="31">
        <f>'Capex Schedule '!E168</f>
        <v>1</v>
      </c>
      <c r="F101" s="31">
        <f>'Capex Schedule '!F168</f>
        <v>566.53</v>
      </c>
      <c r="G101" s="5">
        <v>400</v>
      </c>
      <c r="H101" s="5">
        <v>300</v>
      </c>
      <c r="I101" s="5">
        <v>200</v>
      </c>
      <c r="J101" s="5">
        <v>100</v>
      </c>
      <c r="K101" s="5">
        <v>100</v>
      </c>
    </row>
    <row r="102" spans="1:11" x14ac:dyDescent="0.3">
      <c r="A102" s="7" t="str">
        <f>'Capex Schedule '!A181</f>
        <v xml:space="preserve">Total Useful Life </v>
      </c>
      <c r="B102" s="72" t="s">
        <v>309</v>
      </c>
      <c r="C102" s="31">
        <f>'Capex Schedule '!C181</f>
        <v>5.1264258555133084</v>
      </c>
      <c r="D102" s="31">
        <f>'Capex Schedule '!D181</f>
        <v>8.7681081081081089</v>
      </c>
      <c r="E102" s="31">
        <f>'Capex Schedule '!E181</f>
        <v>8.6035846072746445</v>
      </c>
      <c r="F102" s="31">
        <f>'Capex Schedule '!F181</f>
        <v>6.6758759491354862</v>
      </c>
      <c r="G102" s="5">
        <v>10</v>
      </c>
      <c r="H102" s="5">
        <v>10</v>
      </c>
      <c r="I102" s="5">
        <v>10</v>
      </c>
      <c r="J102" s="5">
        <v>10</v>
      </c>
      <c r="K102" s="5">
        <v>10</v>
      </c>
    </row>
    <row r="104" spans="1:11" x14ac:dyDescent="0.3">
      <c r="A104" s="6" t="s">
        <v>139</v>
      </c>
    </row>
    <row r="105" spans="1:11" x14ac:dyDescent="0.3">
      <c r="A105" s="7" t="str">
        <f>'Capex Schedule '!A188</f>
        <v xml:space="preserve">Addition </v>
      </c>
      <c r="C105" s="31">
        <f>'Capex Schedule '!C188</f>
        <v>0</v>
      </c>
      <c r="D105" s="31">
        <f>'Capex Schedule '!D188</f>
        <v>0</v>
      </c>
      <c r="E105" s="31">
        <f>'Capex Schedule '!E188</f>
        <v>0</v>
      </c>
      <c r="F105" s="31">
        <f>'Capex Schedule '!F188</f>
        <v>6</v>
      </c>
      <c r="G105" s="5">
        <v>0</v>
      </c>
      <c r="H105" s="5">
        <v>0</v>
      </c>
      <c r="I105" s="5">
        <v>0</v>
      </c>
      <c r="J105" s="5">
        <v>0</v>
      </c>
      <c r="K105" s="5">
        <v>0</v>
      </c>
    </row>
    <row r="106" spans="1:11" x14ac:dyDescent="0.3">
      <c r="A106" s="7" t="str">
        <f>'Capex Schedule '!A201</f>
        <v xml:space="preserve">Total Useful Life </v>
      </c>
      <c r="B106" s="72" t="s">
        <v>310</v>
      </c>
      <c r="C106" s="31">
        <f>'Capex Schedule '!C201</f>
        <v>0</v>
      </c>
      <c r="D106" s="31">
        <f>'Capex Schedule '!D201</f>
        <v>0</v>
      </c>
      <c r="E106" s="31">
        <f>'Capex Schedule '!E201</f>
        <v>11.647557328015953</v>
      </c>
      <c r="F106" s="31">
        <f>'Capex Schedule '!F201</f>
        <v>4.7846744844318643</v>
      </c>
      <c r="G106" s="5">
        <v>5</v>
      </c>
      <c r="H106" s="5">
        <v>5</v>
      </c>
      <c r="I106" s="5">
        <v>5</v>
      </c>
      <c r="J106" s="5">
        <v>5</v>
      </c>
      <c r="K106" s="5">
        <v>5</v>
      </c>
    </row>
    <row r="108" spans="1:11" x14ac:dyDescent="0.3">
      <c r="A108" s="6" t="s">
        <v>140</v>
      </c>
    </row>
    <row r="109" spans="1:11" x14ac:dyDescent="0.3">
      <c r="A109" s="7" t="str">
        <f>'Capex Schedule '!A239</f>
        <v xml:space="preserve">Total Useful Life </v>
      </c>
      <c r="B109" s="72" t="s">
        <v>314</v>
      </c>
      <c r="C109" s="31">
        <f>'Capex Schedule '!C239</f>
        <v>0</v>
      </c>
      <c r="D109" s="31">
        <f>'Capex Schedule '!D239</f>
        <v>0</v>
      </c>
      <c r="E109" s="31">
        <f>'Capex Schedule '!E239</f>
        <v>24</v>
      </c>
      <c r="F109" s="31">
        <f>'Capex Schedule '!F239</f>
        <v>10</v>
      </c>
      <c r="G109" s="5">
        <v>10</v>
      </c>
      <c r="H109" s="5">
        <v>10</v>
      </c>
      <c r="I109" s="5">
        <v>10</v>
      </c>
      <c r="J109" s="5">
        <v>10</v>
      </c>
      <c r="K109" s="5">
        <v>10</v>
      </c>
    </row>
    <row r="111" spans="1:11" x14ac:dyDescent="0.3">
      <c r="A111" s="6" t="s">
        <v>141</v>
      </c>
    </row>
    <row r="112" spans="1:11" x14ac:dyDescent="0.3">
      <c r="A112" s="7" t="str">
        <f>'Capex Schedule '!A259</f>
        <v xml:space="preserve">Total Useful Life </v>
      </c>
      <c r="B112" s="72" t="s">
        <v>311</v>
      </c>
      <c r="C112" s="31">
        <f>'Capex Schedule '!C259</f>
        <v>0</v>
      </c>
      <c r="D112" s="31">
        <f>'Capex Schedule '!D259</f>
        <v>0</v>
      </c>
      <c r="E112" s="31">
        <f>'Capex Schedule '!E259</f>
        <v>19.199077125906395</v>
      </c>
      <c r="F112" s="31">
        <f>'Capex Schedule '!F259</f>
        <v>7.9997253313190964</v>
      </c>
      <c r="G112" s="5">
        <v>7.9997253313190964</v>
      </c>
      <c r="H112" s="5">
        <v>7.9997253313190964</v>
      </c>
      <c r="I112" s="5">
        <v>7.9997253313190964</v>
      </c>
      <c r="J112" s="5">
        <v>7.9997253313190964</v>
      </c>
      <c r="K112" s="5">
        <v>7.9997253313190964</v>
      </c>
    </row>
    <row r="114" spans="1:11" x14ac:dyDescent="0.3">
      <c r="A114" s="6" t="s">
        <v>142</v>
      </c>
    </row>
    <row r="115" spans="1:11" x14ac:dyDescent="0.3">
      <c r="A115" s="7" t="str">
        <f>'Capex Schedule '!A279</f>
        <v xml:space="preserve">Total Useful Life </v>
      </c>
      <c r="B115" s="72" t="s">
        <v>312</v>
      </c>
      <c r="C115" s="31">
        <f>'Capex Schedule '!C279</f>
        <v>0</v>
      </c>
      <c r="D115" s="31">
        <f>'Capex Schedule '!D279</f>
        <v>0</v>
      </c>
      <c r="E115" s="31">
        <f>'Capex Schedule '!E279</f>
        <v>16.791443850267381</v>
      </c>
      <c r="F115" s="31">
        <f>'Capex Schedule '!F279</f>
        <v>6.9964349376114079</v>
      </c>
      <c r="G115" s="5">
        <v>7</v>
      </c>
      <c r="H115" s="5">
        <v>7</v>
      </c>
      <c r="I115" s="5">
        <v>7</v>
      </c>
      <c r="J115" s="5">
        <v>7</v>
      </c>
      <c r="K115" s="5">
        <v>7</v>
      </c>
    </row>
    <row r="117" spans="1:11" x14ac:dyDescent="0.3">
      <c r="A117" s="6" t="s">
        <v>17</v>
      </c>
    </row>
    <row r="118" spans="1:11" x14ac:dyDescent="0.3">
      <c r="A118" s="7" t="str">
        <f>'Capex Schedule '!A312</f>
        <v>Depreciation charge during the year</v>
      </c>
      <c r="B118" s="72" t="s">
        <v>295</v>
      </c>
      <c r="C118" s="31">
        <f>'Capex Schedule '!C312</f>
        <v>5.54</v>
      </c>
      <c r="D118" s="31">
        <f>'Capex Schedule '!D312</f>
        <v>5.54</v>
      </c>
      <c r="E118" s="31">
        <f>'Capex Schedule '!E312</f>
        <v>5.54</v>
      </c>
      <c r="F118" s="31">
        <f>'Capex Schedule '!F312</f>
        <v>5.54</v>
      </c>
      <c r="G118" s="5">
        <v>5.54</v>
      </c>
      <c r="H118" s="5">
        <v>5.54</v>
      </c>
      <c r="I118" s="5">
        <v>5.54</v>
      </c>
      <c r="J118" s="5">
        <v>5.54</v>
      </c>
      <c r="K118" s="5">
        <v>5.54</v>
      </c>
    </row>
    <row r="121" spans="1:11" s="16" customFormat="1" x14ac:dyDescent="0.3">
      <c r="A121" s="17" t="s">
        <v>317</v>
      </c>
      <c r="B121" s="34"/>
      <c r="C121" s="35"/>
      <c r="D121" s="35"/>
      <c r="E121" s="35"/>
      <c r="F121" s="35"/>
      <c r="G121" s="19"/>
      <c r="H121" s="19"/>
      <c r="I121" s="19"/>
      <c r="J121" s="19"/>
      <c r="K121" s="19"/>
    </row>
    <row r="123" spans="1:11" x14ac:dyDescent="0.3">
      <c r="A123" s="6" t="s">
        <v>318</v>
      </c>
    </row>
    <row r="124" spans="1:11" x14ac:dyDescent="0.3">
      <c r="A124" s="7" t="str">
        <f>'Lease Schedule '!A12</f>
        <v xml:space="preserve">Depreciation </v>
      </c>
      <c r="B124" s="72" t="s">
        <v>237</v>
      </c>
      <c r="C124" s="31">
        <f>'Lease Schedule '!C12</f>
        <v>45.52</v>
      </c>
      <c r="D124" s="31">
        <f>'Lease Schedule '!D12</f>
        <v>59.28</v>
      </c>
      <c r="E124" s="31">
        <f>'Lease Schedule '!E12</f>
        <v>95.03</v>
      </c>
      <c r="F124" s="31">
        <f>'Lease Schedule '!F12</f>
        <v>122.24</v>
      </c>
      <c r="G124" s="5">
        <v>122.4</v>
      </c>
      <c r="H124" s="5">
        <v>20</v>
      </c>
      <c r="I124" s="5">
        <v>20</v>
      </c>
      <c r="J124" s="5">
        <v>20</v>
      </c>
      <c r="K124" s="5">
        <v>20</v>
      </c>
    </row>
    <row r="127" spans="1:11" x14ac:dyDescent="0.3">
      <c r="A127" s="7" t="s">
        <v>340</v>
      </c>
      <c r="B127" s="72" t="s">
        <v>272</v>
      </c>
      <c r="C127" s="81">
        <f>'Lease Schedule '!C28/'Lease Schedule '!C27</f>
        <v>0.45322692042053564</v>
      </c>
      <c r="D127" s="81">
        <f>'Lease Schedule '!D28/'Lease Schedule '!D27</f>
        <v>0.8065964912280702</v>
      </c>
      <c r="E127" s="81">
        <f>'Lease Schedule '!E28/'Lease Schedule '!E27</f>
        <v>0.40354726157750048</v>
      </c>
      <c r="F127" s="81">
        <f>'Lease Schedule '!F28/'Lease Schedule '!F27</f>
        <v>0.47726768684852516</v>
      </c>
      <c r="G127" s="82">
        <f>AVERAGE($C$127,$E$127,$F$127)</f>
        <v>0.4446806229488538</v>
      </c>
      <c r="H127" s="82">
        <f t="shared" ref="H127:K127" si="10">AVERAGE($C$127,$E$127,$F$127)</f>
        <v>0.4446806229488538</v>
      </c>
      <c r="I127" s="82">
        <f t="shared" si="10"/>
        <v>0.4446806229488538</v>
      </c>
      <c r="J127" s="82">
        <f t="shared" si="10"/>
        <v>0.4446806229488538</v>
      </c>
      <c r="K127" s="82">
        <f t="shared" si="10"/>
        <v>0.4446806229488538</v>
      </c>
    </row>
    <row r="128" spans="1:11" x14ac:dyDescent="0.3">
      <c r="A128" s="7" t="str">
        <f>'Lease Schedule '!A31</f>
        <v>Effective Interest Rate</v>
      </c>
      <c r="B128" s="72" t="s">
        <v>237</v>
      </c>
      <c r="C128" s="81">
        <f>'Lease Schedule '!C31</f>
        <v>0.1015242242787153</v>
      </c>
      <c r="D128" s="81">
        <f>'Lease Schedule '!D31</f>
        <v>7.9502724272887723E-2</v>
      </c>
      <c r="E128" s="81">
        <f>'Lease Schedule '!E31</f>
        <v>0.35480701754385968</v>
      </c>
      <c r="F128" s="81">
        <f>'Lease Schedule '!F31</f>
        <v>0.12010995982237259</v>
      </c>
      <c r="G128" s="82">
        <v>0.11</v>
      </c>
      <c r="H128" s="82">
        <v>0.11</v>
      </c>
      <c r="I128" s="82">
        <v>0.11</v>
      </c>
      <c r="J128" s="82">
        <v>0.11</v>
      </c>
      <c r="K128" s="82">
        <v>0.11</v>
      </c>
    </row>
    <row r="129" spans="1:11" x14ac:dyDescent="0.3">
      <c r="A129" s="7" t="str">
        <f>'Lease Schedule '!A32</f>
        <v>Average life of the lease</v>
      </c>
      <c r="B129" s="72" t="s">
        <v>339</v>
      </c>
      <c r="G129" s="5">
        <v>3</v>
      </c>
      <c r="H129" s="5">
        <v>3</v>
      </c>
      <c r="I129" s="5">
        <v>3</v>
      </c>
      <c r="J129" s="5">
        <v>3</v>
      </c>
      <c r="K129" s="5">
        <v>3</v>
      </c>
    </row>
    <row r="132" spans="1:11" s="16" customFormat="1" x14ac:dyDescent="0.3">
      <c r="A132" s="17" t="s">
        <v>360</v>
      </c>
      <c r="B132" s="34"/>
      <c r="C132" s="35"/>
      <c r="D132" s="35"/>
      <c r="E132" s="35"/>
      <c r="F132" s="35"/>
      <c r="G132" s="19"/>
      <c r="H132" s="19"/>
      <c r="I132" s="19"/>
      <c r="J132" s="19"/>
      <c r="K132" s="19"/>
    </row>
    <row r="133" spans="1:11" x14ac:dyDescent="0.3">
      <c r="A133" s="7" t="str">
        <f>'Depreciation &amp; Finance Cost '!A45</f>
        <v xml:space="preserve">Effective Interest Rate </v>
      </c>
      <c r="B133" s="72" t="s">
        <v>237</v>
      </c>
      <c r="C133" s="81">
        <f>'Depreciation &amp; Finance Cost '!C45</f>
        <v>1.1461897031055122E-2</v>
      </c>
      <c r="D133" s="81">
        <f>'Depreciation &amp; Finance Cost '!D45</f>
        <v>1.1003781112828548E-2</v>
      </c>
      <c r="E133" s="81">
        <f>'Depreciation &amp; Finance Cost '!E45</f>
        <v>4.9015283559965962E-2</v>
      </c>
      <c r="F133" s="81">
        <f>'Depreciation &amp; Finance Cost '!F45</f>
        <v>1.0865817072990508E-2</v>
      </c>
      <c r="G133" s="82">
        <v>1.0999999999999999E-2</v>
      </c>
      <c r="H133" s="82">
        <v>1.0999999999999999E-2</v>
      </c>
      <c r="I133" s="82">
        <v>1.0999999999999999E-2</v>
      </c>
      <c r="J133" s="82">
        <v>1.0999999999999999E-2</v>
      </c>
      <c r="K133" s="82">
        <v>1.0999999999999999E-2</v>
      </c>
    </row>
    <row r="136" spans="1:11" s="16" customFormat="1" x14ac:dyDescent="0.3">
      <c r="A136" s="17" t="s">
        <v>375</v>
      </c>
      <c r="B136" s="34"/>
      <c r="C136" s="35"/>
      <c r="D136" s="35"/>
      <c r="E136" s="35"/>
      <c r="F136" s="35"/>
      <c r="G136" s="19"/>
      <c r="H136" s="19"/>
      <c r="I136" s="19"/>
      <c r="J136" s="19"/>
      <c r="K136" s="19"/>
    </row>
    <row r="137" spans="1:11" x14ac:dyDescent="0.3">
      <c r="A137" s="7" t="str">
        <f>'Other Income Schedule '!A34</f>
        <v xml:space="preserve">Average Interest Yield </v>
      </c>
      <c r="B137" s="72" t="s">
        <v>380</v>
      </c>
      <c r="C137" s="81">
        <f>'Other Income Schedule '!C34</f>
        <v>0</v>
      </c>
      <c r="D137" s="81">
        <f>'Other Income Schedule '!D34</f>
        <v>5.2686480818599273E-2</v>
      </c>
      <c r="E137" s="81">
        <f>'Other Income Schedule '!E34</f>
        <v>7.377893551328514E-2</v>
      </c>
      <c r="F137" s="81">
        <f>'Other Income Schedule '!F34</f>
        <v>8.050812030716821E-2</v>
      </c>
      <c r="G137" s="82">
        <v>6.4000000000000001E-2</v>
      </c>
      <c r="H137" s="82">
        <v>6.4000000000000001E-2</v>
      </c>
      <c r="I137" s="82">
        <v>6.4000000000000001E-2</v>
      </c>
      <c r="J137" s="82">
        <v>6.4000000000000001E-2</v>
      </c>
      <c r="K137" s="82">
        <v>6.4000000000000001E-2</v>
      </c>
    </row>
    <row r="138" spans="1:11" x14ac:dyDescent="0.3">
      <c r="A138" s="7" t="str">
        <f>'Other Income Schedule '!A40</f>
        <v>Rental Yeild on Closing Gross Block of Non - Current Investments</v>
      </c>
      <c r="B138" s="72" t="s">
        <v>386</v>
      </c>
      <c r="C138" s="81">
        <f>'Other Income Schedule '!C40</f>
        <v>7.4789284159708744E-2</v>
      </c>
      <c r="D138" s="81">
        <f>'Other Income Schedule '!D40</f>
        <v>7.617427090340706E-2</v>
      </c>
      <c r="E138" s="81">
        <f>'Other Income Schedule '!E40</f>
        <v>9.1844406632107953E-2</v>
      </c>
      <c r="F138" s="81">
        <f>'Other Income Schedule '!F40</f>
        <v>0.10660440821494994</v>
      </c>
      <c r="G138" s="82">
        <f>F138*(1+2%)</f>
        <v>0.10873649637924894</v>
      </c>
      <c r="H138" s="82">
        <f t="shared" ref="H138:K138" si="11">G138*(1+2%)</f>
        <v>0.11091122630683392</v>
      </c>
      <c r="I138" s="82">
        <f t="shared" si="11"/>
        <v>0.1131294508329706</v>
      </c>
      <c r="J138" s="82">
        <f t="shared" si="11"/>
        <v>0.11539203984963002</v>
      </c>
      <c r="K138" s="82">
        <f t="shared" si="11"/>
        <v>0.11769988064662262</v>
      </c>
    </row>
    <row r="141" spans="1:11" s="16" customFormat="1" x14ac:dyDescent="0.3">
      <c r="A141" s="17" t="s">
        <v>397</v>
      </c>
      <c r="B141" s="34"/>
      <c r="C141" s="35"/>
      <c r="D141" s="35"/>
      <c r="E141" s="35"/>
      <c r="F141" s="35"/>
      <c r="G141" s="19"/>
      <c r="H141" s="19"/>
      <c r="I141" s="19"/>
      <c r="J141" s="19"/>
      <c r="K141" s="19"/>
    </row>
    <row r="142" spans="1:11" x14ac:dyDescent="0.3">
      <c r="A142" s="7" t="str">
        <f>'WC Schedule '!A31</f>
        <v>Days Inventory Outstanding of Music</v>
      </c>
      <c r="B142" s="72" t="s">
        <v>237</v>
      </c>
      <c r="C142" s="31">
        <f>'WC Schedule '!C31</f>
        <v>41.770323582714234</v>
      </c>
      <c r="D142" s="31">
        <f>'WC Schedule '!D31</f>
        <v>41.691674938108775</v>
      </c>
      <c r="E142" s="31">
        <f>'WC Schedule '!E31</f>
        <v>57.636018754461396</v>
      </c>
      <c r="F142" s="31">
        <f>'WC Schedule '!F31</f>
        <v>81.21950249719508</v>
      </c>
      <c r="G142" s="5">
        <v>60</v>
      </c>
      <c r="H142" s="5">
        <v>60</v>
      </c>
      <c r="I142" s="5">
        <v>60</v>
      </c>
      <c r="J142" s="5">
        <v>60</v>
      </c>
      <c r="K142" s="5">
        <v>60</v>
      </c>
    </row>
    <row r="143" spans="1:11" x14ac:dyDescent="0.3">
      <c r="A143" s="7" t="str">
        <f>'WC Schedule '!A37</f>
        <v xml:space="preserve">Days Inventory Outstanding of Films, Tv  Serials and Digital Content </v>
      </c>
      <c r="B143" s="72" t="s">
        <v>400</v>
      </c>
      <c r="C143" s="31">
        <f>'WC Schedule '!C37</f>
        <v>1386.7145042424606</v>
      </c>
      <c r="D143" s="31">
        <f>'WC Schedule '!D37</f>
        <v>451.38173818768604</v>
      </c>
      <c r="E143" s="31">
        <f>'WC Schedule '!E37</f>
        <v>829.43939466492452</v>
      </c>
      <c r="F143" s="31">
        <f>'WC Schedule '!F37</f>
        <v>107.89168102728679</v>
      </c>
      <c r="G143" s="5">
        <v>30</v>
      </c>
      <c r="H143" s="5">
        <v>30</v>
      </c>
      <c r="I143" s="5">
        <v>30</v>
      </c>
      <c r="J143" s="5">
        <v>30</v>
      </c>
      <c r="K143" s="5">
        <v>30</v>
      </c>
    </row>
    <row r="144" spans="1:11" x14ac:dyDescent="0.3">
      <c r="A144" s="7" t="str">
        <f>'WC Schedule '!A45</f>
        <v>Days Sales Outstanding</v>
      </c>
      <c r="B144" s="72" t="s">
        <v>237</v>
      </c>
      <c r="C144" s="31">
        <f>'WC Schedule '!C45</f>
        <v>67.767898908009201</v>
      </c>
      <c r="D144" s="31">
        <f>'WC Schedule '!D45</f>
        <v>73.319730005055533</v>
      </c>
      <c r="E144" s="31">
        <f>'WC Schedule '!E45</f>
        <v>72.153186036433198</v>
      </c>
      <c r="F144" s="31">
        <f>'WC Schedule '!F45</f>
        <v>44.626433038040645</v>
      </c>
      <c r="G144" s="5">
        <v>60</v>
      </c>
      <c r="H144" s="5">
        <v>60</v>
      </c>
      <c r="I144" s="5">
        <v>60</v>
      </c>
      <c r="J144" s="5">
        <v>60</v>
      </c>
      <c r="K144" s="5">
        <v>60</v>
      </c>
    </row>
    <row r="145" spans="1:11" x14ac:dyDescent="0.3">
      <c r="A145" s="7" t="str">
        <f>'WC Schedule '!A56</f>
        <v xml:space="preserve">Days Payable Outstanding </v>
      </c>
      <c r="B145" s="72" t="s">
        <v>237</v>
      </c>
      <c r="C145" s="31">
        <f>'WC Schedule '!C56</f>
        <v>131.36412746399526</v>
      </c>
      <c r="D145" s="31">
        <f>'WC Schedule '!D56</f>
        <v>90.266507832048205</v>
      </c>
      <c r="E145" s="31">
        <f>'WC Schedule '!E56</f>
        <v>115.64432107149175</v>
      </c>
      <c r="F145" s="31">
        <f>'WC Schedule '!F56</f>
        <v>85.580291670236022</v>
      </c>
      <c r="G145" s="5">
        <v>110</v>
      </c>
      <c r="H145" s="5">
        <v>100</v>
      </c>
      <c r="I145" s="5">
        <v>100</v>
      </c>
      <c r="J145" s="5">
        <v>100</v>
      </c>
      <c r="K145" s="5">
        <v>100</v>
      </c>
    </row>
    <row r="148" spans="1:11" s="16" customFormat="1" x14ac:dyDescent="0.3">
      <c r="A148" s="17" t="s">
        <v>432</v>
      </c>
      <c r="B148" s="34"/>
      <c r="C148" s="35"/>
      <c r="D148" s="35"/>
      <c r="E148" s="35"/>
      <c r="F148" s="35"/>
      <c r="G148" s="19"/>
      <c r="H148" s="19"/>
      <c r="I148" s="19"/>
      <c r="J148" s="19"/>
      <c r="K148" s="19"/>
    </row>
    <row r="149" spans="1:11" x14ac:dyDescent="0.3">
      <c r="A149" s="7" t="s">
        <v>426</v>
      </c>
      <c r="B149" s="75">
        <v>6.0299999999999999E-2</v>
      </c>
    </row>
    <row r="150" spans="1:11" x14ac:dyDescent="0.3">
      <c r="A150" s="7" t="s">
        <v>428</v>
      </c>
      <c r="B150" s="72">
        <v>0.59</v>
      </c>
    </row>
    <row r="151" spans="1:11" x14ac:dyDescent="0.3">
      <c r="A151" s="7" t="s">
        <v>427</v>
      </c>
      <c r="B151" s="75">
        <v>7.0800000000000002E-2</v>
      </c>
    </row>
    <row r="152" spans="1:11" x14ac:dyDescent="0.3">
      <c r="A152" s="7" t="s">
        <v>429</v>
      </c>
      <c r="B152" s="73">
        <f>CHOOSE('Scenario Analysis '!B40,'Scenario Analysis '!B41,'Scenario Analysis '!B42,'Scenario Analysis '!B43)</f>
        <v>0.05</v>
      </c>
    </row>
  </sheetData>
  <hyperlinks>
    <hyperlink ref="B20" r:id="rId1" xr:uid="{86C512F9-E172-4DAD-9F09-089A301625B1}"/>
    <hyperlink ref="A1" location="'Navigation Pane'!B4" display="Assumption Sheet" xr:uid="{6C02A7CE-16B6-496A-ACFF-C1F04E81FB21}"/>
  </hyperlinks>
  <pageMargins left="0.7" right="0.7" top="0.75" bottom="0.75" header="0.3" footer="0.3"/>
  <pageSetup paperSize="9" orientation="portrait" horizontalDpi="4294967293" verticalDpi="0"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F60FE-90AF-4219-8E27-8FA251D0EB88}">
  <dimension ref="A1:K58"/>
  <sheetViews>
    <sheetView showGridLines="0" zoomScale="97" workbookViewId="0">
      <pane xSplit="2" ySplit="3" topLeftCell="C4" activePane="bottomRight" state="frozen"/>
      <selection pane="topRight" activeCell="C1" sqref="C1"/>
      <selection pane="bottomLeft" activeCell="A4" sqref="A4"/>
      <selection pane="bottomRight"/>
    </sheetView>
  </sheetViews>
  <sheetFormatPr defaultRowHeight="14.4" x14ac:dyDescent="0.3"/>
  <cols>
    <col min="1" max="1" width="42" style="7" customWidth="1"/>
    <col min="2" max="2" width="13.21875" style="7" bestFit="1" customWidth="1"/>
    <col min="3" max="6" width="11.33203125" style="31" bestFit="1" customWidth="1"/>
    <col min="7" max="11" width="11.33203125" style="5" bestFit="1" customWidth="1"/>
  </cols>
  <sheetData>
    <row r="1" spans="1:11" s="1" customFormat="1" ht="18" x14ac:dyDescent="0.3">
      <c r="A1" s="77" t="s">
        <v>56</v>
      </c>
      <c r="B1" s="6"/>
      <c r="C1" s="38"/>
      <c r="D1" s="38"/>
      <c r="E1" s="38"/>
      <c r="F1" s="38"/>
      <c r="G1" s="9"/>
      <c r="H1" s="9"/>
      <c r="I1" s="9"/>
      <c r="J1" s="9"/>
      <c r="K1" s="9"/>
    </row>
    <row r="2" spans="1:11" x14ac:dyDescent="0.3">
      <c r="A2" s="7" t="s">
        <v>1</v>
      </c>
      <c r="C2" s="70"/>
      <c r="D2" s="70"/>
      <c r="E2" s="70"/>
      <c r="F2" s="70"/>
      <c r="G2" s="33"/>
      <c r="H2" s="33"/>
      <c r="I2" s="33"/>
      <c r="J2" s="33"/>
      <c r="K2" s="33"/>
    </row>
    <row r="3" spans="1:11" s="1" customFormat="1" x14ac:dyDescent="0.3">
      <c r="A3" s="6" t="s">
        <v>2</v>
      </c>
      <c r="B3" s="6" t="s">
        <v>3</v>
      </c>
      <c r="C3" s="38" t="s">
        <v>4</v>
      </c>
      <c r="D3" s="38" t="s">
        <v>5</v>
      </c>
      <c r="E3" s="38" t="s">
        <v>6</v>
      </c>
      <c r="F3" s="38" t="s">
        <v>7</v>
      </c>
      <c r="G3" s="9" t="s">
        <v>8</v>
      </c>
      <c r="H3" s="9" t="s">
        <v>9</v>
      </c>
      <c r="I3" s="9" t="s">
        <v>10</v>
      </c>
      <c r="J3" s="9" t="s">
        <v>11</v>
      </c>
      <c r="K3" s="9" t="s">
        <v>12</v>
      </c>
    </row>
    <row r="4" spans="1:11" x14ac:dyDescent="0.3">
      <c r="A4" s="6" t="s">
        <v>13</v>
      </c>
    </row>
    <row r="5" spans="1:11" s="1" customFormat="1" x14ac:dyDescent="0.3">
      <c r="A5" s="6" t="s">
        <v>14</v>
      </c>
      <c r="B5" s="6"/>
      <c r="C5" s="31"/>
      <c r="D5" s="32"/>
      <c r="E5" s="32"/>
      <c r="F5" s="32"/>
      <c r="G5" s="11"/>
      <c r="H5" s="11"/>
      <c r="I5" s="11"/>
      <c r="J5" s="11"/>
      <c r="K5" s="11"/>
    </row>
    <row r="6" spans="1:11" x14ac:dyDescent="0.3">
      <c r="A6" s="7" t="s">
        <v>15</v>
      </c>
      <c r="B6" s="7" t="s">
        <v>415</v>
      </c>
      <c r="C6" s="31">
        <v>21411.360000000001</v>
      </c>
      <c r="D6" s="31">
        <v>22065.72</v>
      </c>
      <c r="E6" s="31">
        <v>22382.16</v>
      </c>
      <c r="F6" s="31">
        <v>22222.07</v>
      </c>
      <c r="G6" s="5">
        <f>'Capex Schedule '!G135</f>
        <v>22219.969387320187</v>
      </c>
      <c r="H6" s="5">
        <f>'Capex Schedule '!H135</f>
        <v>22189.730270521388</v>
      </c>
      <c r="I6" s="5">
        <f>'Capex Schedule '!I135</f>
        <v>22066.613656740174</v>
      </c>
      <c r="J6" s="5">
        <f>'Capex Schedule '!J135</f>
        <v>21905.305547217671</v>
      </c>
      <c r="K6" s="5">
        <f>'Capex Schedule '!K135</f>
        <v>21788.24109567099</v>
      </c>
    </row>
    <row r="7" spans="1:11" x14ac:dyDescent="0.3">
      <c r="A7" s="7" t="s">
        <v>16</v>
      </c>
      <c r="B7" s="7" t="s">
        <v>416</v>
      </c>
      <c r="C7" s="31">
        <v>125.88</v>
      </c>
      <c r="D7" s="31">
        <v>66.599999999999994</v>
      </c>
      <c r="E7" s="31">
        <v>334.55</v>
      </c>
      <c r="F7" s="31">
        <v>212.3</v>
      </c>
      <c r="G7" s="5">
        <f>'Lease Schedule '!G14</f>
        <v>89.9</v>
      </c>
      <c r="H7" s="5">
        <f>'Lease Schedule '!H14</f>
        <v>69.900000000000006</v>
      </c>
      <c r="I7" s="5">
        <f>'Lease Schedule '!I14</f>
        <v>49.900000000000006</v>
      </c>
      <c r="J7" s="5">
        <f>'Lease Schedule '!J14</f>
        <v>29.900000000000006</v>
      </c>
      <c r="K7" s="5">
        <f>'Lease Schedule '!K14</f>
        <v>9.9000000000000057</v>
      </c>
    </row>
    <row r="8" spans="1:11" x14ac:dyDescent="0.3">
      <c r="A8" s="7" t="s">
        <v>17</v>
      </c>
      <c r="B8" s="7" t="s">
        <v>415</v>
      </c>
      <c r="C8" s="31">
        <v>219.49</v>
      </c>
      <c r="D8" s="31">
        <v>213.95</v>
      </c>
      <c r="E8" s="31">
        <v>208.41</v>
      </c>
      <c r="F8" s="31">
        <v>202.87</v>
      </c>
      <c r="G8" s="5">
        <f>'Capex Schedule '!G315</f>
        <v>197.33</v>
      </c>
      <c r="H8" s="5">
        <f>'Capex Schedule '!H315</f>
        <v>191.79000000000002</v>
      </c>
      <c r="I8" s="5">
        <f>'Capex Schedule '!I315</f>
        <v>186.25</v>
      </c>
      <c r="J8" s="5">
        <f>'Capex Schedule '!J315</f>
        <v>180.70999999999998</v>
      </c>
      <c r="K8" s="5">
        <f>'Capex Schedule '!K315</f>
        <v>175.17</v>
      </c>
    </row>
    <row r="9" spans="1:11" x14ac:dyDescent="0.3">
      <c r="A9" s="7" t="s">
        <v>18</v>
      </c>
      <c r="B9" s="7" t="s">
        <v>415</v>
      </c>
      <c r="C9" s="31">
        <v>6016.67</v>
      </c>
      <c r="D9" s="31">
        <v>11425.83</v>
      </c>
      <c r="E9" s="31">
        <v>51299.48</v>
      </c>
      <c r="F9" s="31">
        <v>60823.32</v>
      </c>
      <c r="G9" s="5">
        <f>'Capex Schedule '!G297</f>
        <v>81430.973428571437</v>
      </c>
      <c r="H9" s="5">
        <f>'Capex Schedule '!H297</f>
        <v>99149.245857142858</v>
      </c>
      <c r="I9" s="5">
        <f>'Capex Schedule '!I297</f>
        <v>113988.14728571429</v>
      </c>
      <c r="J9" s="5">
        <f>'Capex Schedule '!J297</f>
        <v>107905.25371428573</v>
      </c>
      <c r="K9" s="5">
        <f>'Capex Schedule '!K297</f>
        <v>101518.27724285716</v>
      </c>
    </row>
    <row r="10" spans="1:11" x14ac:dyDescent="0.3">
      <c r="A10" s="7" t="s">
        <v>19</v>
      </c>
      <c r="B10" s="7" t="s">
        <v>295</v>
      </c>
      <c r="C10" s="31">
        <v>174.52</v>
      </c>
      <c r="D10" s="31">
        <v>404.98</v>
      </c>
      <c r="E10" s="31">
        <v>554.03</v>
      </c>
      <c r="F10" s="31">
        <v>0</v>
      </c>
      <c r="G10" s="5">
        <v>0</v>
      </c>
      <c r="H10" s="5">
        <v>0</v>
      </c>
      <c r="I10" s="5">
        <v>0</v>
      </c>
      <c r="J10" s="5">
        <v>0</v>
      </c>
      <c r="K10" s="5">
        <v>0</v>
      </c>
    </row>
    <row r="11" spans="1:11" x14ac:dyDescent="0.3">
      <c r="A11" s="7" t="s">
        <v>20</v>
      </c>
      <c r="B11" s="7" t="s">
        <v>295</v>
      </c>
      <c r="C11" s="31">
        <v>0</v>
      </c>
      <c r="D11" s="31">
        <v>0</v>
      </c>
      <c r="E11" s="31">
        <v>0</v>
      </c>
      <c r="F11" s="31">
        <v>0</v>
      </c>
      <c r="G11" s="5">
        <v>0</v>
      </c>
      <c r="H11" s="5">
        <v>0</v>
      </c>
      <c r="I11" s="5">
        <v>0</v>
      </c>
      <c r="J11" s="5">
        <v>0</v>
      </c>
      <c r="K11" s="5">
        <v>0</v>
      </c>
    </row>
    <row r="12" spans="1:11" x14ac:dyDescent="0.3">
      <c r="A12" s="7" t="s">
        <v>21</v>
      </c>
      <c r="B12" s="7" t="s">
        <v>295</v>
      </c>
      <c r="C12" s="31">
        <v>14725.69</v>
      </c>
      <c r="D12" s="31">
        <v>5295.59</v>
      </c>
      <c r="E12" s="31">
        <v>1719.12</v>
      </c>
      <c r="F12" s="31">
        <v>779.76</v>
      </c>
      <c r="G12" s="5">
        <v>779.76</v>
      </c>
      <c r="H12" s="5">
        <v>779.76</v>
      </c>
      <c r="I12" s="5">
        <v>779.76</v>
      </c>
      <c r="J12" s="5">
        <v>779.76</v>
      </c>
      <c r="K12" s="5">
        <v>779.76</v>
      </c>
    </row>
    <row r="13" spans="1:11" x14ac:dyDescent="0.3">
      <c r="A13" s="7" t="s">
        <v>22</v>
      </c>
      <c r="B13" s="7" t="s">
        <v>295</v>
      </c>
      <c r="C13" s="31">
        <v>2915.61</v>
      </c>
      <c r="D13" s="31">
        <v>5734.75</v>
      </c>
      <c r="E13" s="31">
        <v>4675.37</v>
      </c>
      <c r="F13" s="31">
        <v>5007.8</v>
      </c>
      <c r="G13" s="5">
        <v>5007.8</v>
      </c>
      <c r="H13" s="5">
        <v>5007.8</v>
      </c>
      <c r="I13" s="5">
        <v>5007.8</v>
      </c>
      <c r="J13" s="5">
        <v>5007.8</v>
      </c>
      <c r="K13" s="5">
        <v>5007.8</v>
      </c>
    </row>
    <row r="14" spans="1:11" s="16" customFormat="1" x14ac:dyDescent="0.3">
      <c r="A14" s="17" t="s">
        <v>23</v>
      </c>
      <c r="B14" s="17"/>
      <c r="C14" s="35">
        <f t="shared" ref="C14:K14" si="0">SUM(C6:C13)</f>
        <v>45589.22</v>
      </c>
      <c r="D14" s="35">
        <f t="shared" si="0"/>
        <v>45207.42</v>
      </c>
      <c r="E14" s="35">
        <f t="shared" si="0"/>
        <v>81173.119999999995</v>
      </c>
      <c r="F14" s="35">
        <f t="shared" si="0"/>
        <v>89248.12</v>
      </c>
      <c r="G14" s="19">
        <f t="shared" si="0"/>
        <v>109725.73281589162</v>
      </c>
      <c r="H14" s="19">
        <f t="shared" si="0"/>
        <v>127388.22612766424</v>
      </c>
      <c r="I14" s="19">
        <f t="shared" si="0"/>
        <v>142078.47094245447</v>
      </c>
      <c r="J14" s="19">
        <f t="shared" si="0"/>
        <v>135808.72926150341</v>
      </c>
      <c r="K14" s="19">
        <f t="shared" si="0"/>
        <v>129279.14833852815</v>
      </c>
    </row>
    <row r="15" spans="1:11" s="1" customFormat="1" x14ac:dyDescent="0.3">
      <c r="A15" s="6" t="s">
        <v>24</v>
      </c>
      <c r="B15" s="6"/>
      <c r="C15" s="32"/>
      <c r="D15" s="32"/>
      <c r="E15" s="32"/>
      <c r="F15" s="32"/>
      <c r="G15" s="5"/>
      <c r="H15" s="11"/>
      <c r="I15" s="11"/>
      <c r="J15" s="11"/>
      <c r="K15" s="11"/>
    </row>
    <row r="16" spans="1:11" x14ac:dyDescent="0.3">
      <c r="A16" s="7" t="s">
        <v>25</v>
      </c>
      <c r="B16" s="7" t="s">
        <v>403</v>
      </c>
      <c r="C16" s="31">
        <v>10543.83</v>
      </c>
      <c r="D16" s="31">
        <v>16425.560000000001</v>
      </c>
      <c r="E16" s="31">
        <v>23925.83</v>
      </c>
      <c r="F16" s="31">
        <v>24021.48</v>
      </c>
      <c r="G16" s="5">
        <f>'WC Schedule '!G39</f>
        <v>15059.714038356164</v>
      </c>
      <c r="H16" s="5">
        <f>'WC Schedule '!H39</f>
        <v>17079.149827068493</v>
      </c>
      <c r="I16" s="5">
        <f>'WC Schedule '!I39</f>
        <v>19764.118354954517</v>
      </c>
      <c r="J16" s="5">
        <f>'WC Schedule '!J39</f>
        <v>23184.465684146759</v>
      </c>
      <c r="K16" s="5">
        <f>'WC Schedule '!K39</f>
        <v>27448.174579801187</v>
      </c>
    </row>
    <row r="17" spans="1:11" x14ac:dyDescent="0.3">
      <c r="A17" s="7" t="s">
        <v>26</v>
      </c>
      <c r="B17" s="7" t="s">
        <v>295</v>
      </c>
      <c r="C17" s="31">
        <v>53076.37</v>
      </c>
      <c r="D17" s="31">
        <v>23877.46</v>
      </c>
      <c r="E17" s="31">
        <v>11772.39</v>
      </c>
      <c r="F17" s="31">
        <v>11120.75</v>
      </c>
      <c r="G17" s="5">
        <v>11120.75</v>
      </c>
      <c r="H17" s="5">
        <v>11120.75</v>
      </c>
      <c r="I17" s="5">
        <v>11120.75</v>
      </c>
      <c r="J17" s="5">
        <v>11120.75</v>
      </c>
      <c r="K17" s="5">
        <v>11120.75</v>
      </c>
    </row>
    <row r="18" spans="1:11" x14ac:dyDescent="0.3">
      <c r="A18" s="7" t="s">
        <v>27</v>
      </c>
      <c r="B18" s="7" t="s">
        <v>403</v>
      </c>
      <c r="C18" s="31">
        <v>10780.25</v>
      </c>
      <c r="D18" s="31">
        <v>14796.95</v>
      </c>
      <c r="E18" s="31">
        <v>15873.78</v>
      </c>
      <c r="F18" s="31">
        <v>14321.51</v>
      </c>
      <c r="G18" s="5">
        <f>'WC Schedule '!G47</f>
        <v>20798.883024657534</v>
      </c>
      <c r="H18" s="5">
        <f>'WC Schedule '!H47</f>
        <v>23151.693311999999</v>
      </c>
      <c r="I18" s="5">
        <f>'WC Schedule '!I47</f>
        <v>26272.792598242184</v>
      </c>
      <c r="J18" s="5">
        <f>'WC Schedule '!J47</f>
        <v>30242.165375982371</v>
      </c>
      <c r="K18" s="5">
        <f>'WC Schedule '!K47</f>
        <v>35179.981106261461</v>
      </c>
    </row>
    <row r="19" spans="1:11" x14ac:dyDescent="0.3">
      <c r="A19" s="7" t="s">
        <v>28</v>
      </c>
      <c r="B19" s="7" t="s">
        <v>417</v>
      </c>
      <c r="C19" s="31">
        <v>15272.6</v>
      </c>
      <c r="D19" s="31">
        <v>1670.34</v>
      </c>
      <c r="E19" s="31">
        <v>5691.91</v>
      </c>
      <c r="F19" s="31">
        <v>6939.1</v>
      </c>
      <c r="G19" s="5">
        <f>CFS!G60</f>
        <v>13673.697612938873</v>
      </c>
      <c r="H19" s="5">
        <f>CFS!H60</f>
        <v>21073.936097606333</v>
      </c>
      <c r="I19" s="5">
        <f>CFS!I60</f>
        <v>21020.623917361438</v>
      </c>
      <c r="J19" s="5">
        <f>CFS!J60</f>
        <v>46714.392443232668</v>
      </c>
      <c r="K19" s="5">
        <f>CFS!K60</f>
        <v>76591.320906731649</v>
      </c>
    </row>
    <row r="20" spans="1:11" x14ac:dyDescent="0.3">
      <c r="A20" s="7" t="s">
        <v>29</v>
      </c>
      <c r="B20" s="7" t="s">
        <v>295</v>
      </c>
      <c r="C20" s="31">
        <v>17100.96</v>
      </c>
      <c r="D20" s="31">
        <v>49156.33</v>
      </c>
      <c r="E20" s="31">
        <v>48517.08</v>
      </c>
      <c r="F20" s="31">
        <v>47430.52</v>
      </c>
      <c r="G20" s="5">
        <v>47430.52</v>
      </c>
      <c r="H20" s="5">
        <v>47430.52</v>
      </c>
      <c r="I20" s="5">
        <v>47430.52</v>
      </c>
      <c r="J20" s="5">
        <v>47430.52</v>
      </c>
      <c r="K20" s="5">
        <v>47430.52</v>
      </c>
    </row>
    <row r="21" spans="1:11" x14ac:dyDescent="0.3">
      <c r="A21" s="7" t="s">
        <v>30</v>
      </c>
      <c r="B21" s="7" t="s">
        <v>295</v>
      </c>
      <c r="C21" s="31">
        <v>2282.09</v>
      </c>
      <c r="D21" s="31">
        <v>2621.31</v>
      </c>
      <c r="E21" s="31">
        <v>2209.2199999999998</v>
      </c>
      <c r="F21" s="31">
        <v>1925.33</v>
      </c>
      <c r="G21" s="5">
        <v>1925.33</v>
      </c>
      <c r="H21" s="5">
        <v>1925.33</v>
      </c>
      <c r="I21" s="5">
        <v>1925.33</v>
      </c>
      <c r="J21" s="5">
        <v>1925.33</v>
      </c>
      <c r="K21" s="5">
        <v>1925.33</v>
      </c>
    </row>
    <row r="22" spans="1:11" x14ac:dyDescent="0.3">
      <c r="A22" s="7" t="s">
        <v>21</v>
      </c>
      <c r="B22" s="7" t="s">
        <v>295</v>
      </c>
      <c r="C22" s="31">
        <v>793.02</v>
      </c>
      <c r="D22" s="31">
        <v>2195.84</v>
      </c>
      <c r="E22" s="31">
        <v>311.7</v>
      </c>
      <c r="F22" s="31">
        <v>326.64</v>
      </c>
      <c r="G22" s="5">
        <v>326.64</v>
      </c>
      <c r="H22" s="5">
        <v>326.64</v>
      </c>
      <c r="I22" s="5">
        <v>326.64</v>
      </c>
      <c r="J22" s="5">
        <v>326.64</v>
      </c>
      <c r="K22" s="5">
        <v>326.64</v>
      </c>
    </row>
    <row r="23" spans="1:11" x14ac:dyDescent="0.3">
      <c r="A23" s="7" t="s">
        <v>31</v>
      </c>
      <c r="B23" s="7" t="s">
        <v>295</v>
      </c>
      <c r="C23" s="31">
        <v>2566.85</v>
      </c>
      <c r="D23" s="31">
        <v>3013.25</v>
      </c>
      <c r="E23" s="31">
        <v>2750.12</v>
      </c>
      <c r="F23" s="31">
        <v>3587.66</v>
      </c>
      <c r="G23" s="5">
        <v>3587.66</v>
      </c>
      <c r="H23" s="5">
        <v>3587.66</v>
      </c>
      <c r="I23" s="5">
        <v>3587.66</v>
      </c>
      <c r="J23" s="5">
        <v>3587.66</v>
      </c>
      <c r="K23" s="5">
        <v>3587.66</v>
      </c>
    </row>
    <row r="24" spans="1:11" x14ac:dyDescent="0.3">
      <c r="A24" s="7" t="s">
        <v>32</v>
      </c>
      <c r="B24" s="7" t="s">
        <v>295</v>
      </c>
      <c r="C24" s="31">
        <v>10782.24</v>
      </c>
      <c r="D24" s="31">
        <v>11446.1</v>
      </c>
      <c r="E24" s="31">
        <v>11153.33</v>
      </c>
      <c r="F24" s="31">
        <v>10594.83</v>
      </c>
      <c r="G24" s="5">
        <v>10594.83</v>
      </c>
      <c r="H24" s="5">
        <v>10594.83</v>
      </c>
      <c r="I24" s="5">
        <v>10594.83</v>
      </c>
      <c r="J24" s="5">
        <v>10594.83</v>
      </c>
      <c r="K24" s="5">
        <v>10594.83</v>
      </c>
    </row>
    <row r="25" spans="1:11" s="16" customFormat="1" x14ac:dyDescent="0.3">
      <c r="A25" s="17" t="s">
        <v>33</v>
      </c>
      <c r="B25" s="17"/>
      <c r="C25" s="35">
        <f t="shared" ref="C25:K25" si="1">SUM(C16:C24)</f>
        <v>123198.21000000002</v>
      </c>
      <c r="D25" s="35">
        <f t="shared" si="1"/>
        <v>125203.14</v>
      </c>
      <c r="E25" s="35">
        <f t="shared" si="1"/>
        <v>122205.36</v>
      </c>
      <c r="F25" s="35">
        <f t="shared" si="1"/>
        <v>120267.81999999999</v>
      </c>
      <c r="G25" s="19">
        <f t="shared" si="1"/>
        <v>124518.02467595258</v>
      </c>
      <c r="H25" s="19">
        <f t="shared" si="1"/>
        <v>136290.50923667481</v>
      </c>
      <c r="I25" s="19">
        <f t="shared" si="1"/>
        <v>142043.26487055811</v>
      </c>
      <c r="J25" s="19">
        <f t="shared" si="1"/>
        <v>175126.75350336178</v>
      </c>
      <c r="K25" s="19">
        <f t="shared" si="1"/>
        <v>214205.20659279427</v>
      </c>
    </row>
    <row r="26" spans="1:11" s="1" customFormat="1" x14ac:dyDescent="0.3">
      <c r="A26" s="6"/>
      <c r="B26" s="6"/>
      <c r="C26" s="32"/>
      <c r="D26" s="32"/>
      <c r="E26" s="32"/>
      <c r="F26" s="32"/>
      <c r="G26" s="5"/>
      <c r="H26" s="11"/>
      <c r="I26" s="11"/>
      <c r="J26" s="11"/>
      <c r="K26" s="11"/>
    </row>
    <row r="27" spans="1:11" s="16" customFormat="1" x14ac:dyDescent="0.3">
      <c r="A27" s="17" t="s">
        <v>34</v>
      </c>
      <c r="B27" s="17"/>
      <c r="C27" s="35">
        <f t="shared" ref="C27:K27" si="2">C14+C25</f>
        <v>168787.43000000002</v>
      </c>
      <c r="D27" s="35">
        <f t="shared" si="2"/>
        <v>170410.56</v>
      </c>
      <c r="E27" s="35">
        <f t="shared" si="2"/>
        <v>203378.47999999998</v>
      </c>
      <c r="F27" s="35">
        <f t="shared" si="2"/>
        <v>209515.94</v>
      </c>
      <c r="G27" s="19">
        <f t="shared" si="2"/>
        <v>234243.75749184418</v>
      </c>
      <c r="H27" s="19">
        <f t="shared" si="2"/>
        <v>263678.73536433908</v>
      </c>
      <c r="I27" s="19">
        <f t="shared" si="2"/>
        <v>284121.73581301258</v>
      </c>
      <c r="J27" s="19">
        <f t="shared" si="2"/>
        <v>310935.48276486516</v>
      </c>
      <c r="K27" s="19">
        <f t="shared" si="2"/>
        <v>343484.35493132239</v>
      </c>
    </row>
    <row r="28" spans="1:11" x14ac:dyDescent="0.3">
      <c r="A28" s="6"/>
    </row>
    <row r="29" spans="1:11" x14ac:dyDescent="0.3">
      <c r="A29" s="6" t="s">
        <v>35</v>
      </c>
    </row>
    <row r="30" spans="1:11" s="1" customFormat="1" x14ac:dyDescent="0.3">
      <c r="A30" s="6" t="s">
        <v>36</v>
      </c>
      <c r="B30" s="6"/>
      <c r="C30" s="32"/>
      <c r="D30" s="32"/>
      <c r="E30" s="32"/>
      <c r="F30" s="32"/>
      <c r="G30" s="5"/>
      <c r="H30" s="11"/>
      <c r="I30" s="11"/>
      <c r="J30" s="11"/>
      <c r="K30" s="11"/>
    </row>
    <row r="31" spans="1:11" x14ac:dyDescent="0.3">
      <c r="A31" s="7" t="s">
        <v>37</v>
      </c>
      <c r="B31" s="7" t="s">
        <v>418</v>
      </c>
      <c r="C31" s="31">
        <v>1928.09</v>
      </c>
      <c r="D31" s="31">
        <v>1928.09</v>
      </c>
      <c r="E31" s="31">
        <v>1928.09</v>
      </c>
      <c r="F31" s="31">
        <v>1928.09</v>
      </c>
      <c r="G31" s="5">
        <v>1928.09</v>
      </c>
      <c r="H31" s="5">
        <v>1928.09</v>
      </c>
      <c r="I31" s="5">
        <v>1928.09</v>
      </c>
      <c r="J31" s="5">
        <v>1928.09</v>
      </c>
      <c r="K31" s="5">
        <v>1928.09</v>
      </c>
    </row>
    <row r="32" spans="1:11" x14ac:dyDescent="0.3">
      <c r="A32" s="7" t="s">
        <v>38</v>
      </c>
      <c r="B32" s="7" t="s">
        <v>419</v>
      </c>
      <c r="C32" s="31">
        <v>135841.62</v>
      </c>
      <c r="D32" s="31">
        <v>132282.92000000001</v>
      </c>
      <c r="E32" s="31">
        <v>144984.18</v>
      </c>
      <c r="F32" s="31">
        <v>156409.79999999999</v>
      </c>
      <c r="G32" s="5">
        <f>F32+IS!G21</f>
        <v>181535.3192878337</v>
      </c>
      <c r="H32" s="5">
        <f>G32+IS!H21</f>
        <v>208420.0790415587</v>
      </c>
      <c r="I32" s="5">
        <f>H32+IS!I21</f>
        <v>228345.4540712556</v>
      </c>
      <c r="J32" s="5">
        <f>I32+IS!J21</f>
        <v>254315.42273289841</v>
      </c>
      <c r="K32" s="5">
        <f>J32+IS!K21</f>
        <v>284921.65809051908</v>
      </c>
    </row>
    <row r="33" spans="1:11" s="12" customFormat="1" x14ac:dyDescent="0.3">
      <c r="A33" s="13" t="s">
        <v>39</v>
      </c>
      <c r="B33" s="13"/>
      <c r="C33" s="59">
        <f>SUM(C31:C32)</f>
        <v>137769.71</v>
      </c>
      <c r="D33" s="59">
        <f t="shared" ref="D33:K33" si="3">SUM(D31:D32)</f>
        <v>134211.01</v>
      </c>
      <c r="E33" s="59">
        <f t="shared" si="3"/>
        <v>146912.26999999999</v>
      </c>
      <c r="F33" s="59">
        <f t="shared" si="3"/>
        <v>158337.88999999998</v>
      </c>
      <c r="G33" s="15">
        <f t="shared" si="3"/>
        <v>183463.4092878337</v>
      </c>
      <c r="H33" s="15">
        <f t="shared" si="3"/>
        <v>210348.16904155869</v>
      </c>
      <c r="I33" s="15">
        <f t="shared" si="3"/>
        <v>230273.5440712556</v>
      </c>
      <c r="J33" s="15">
        <f t="shared" si="3"/>
        <v>256243.51273289841</v>
      </c>
      <c r="K33" s="15">
        <f t="shared" si="3"/>
        <v>286849.7480905191</v>
      </c>
    </row>
    <row r="34" spans="1:11" x14ac:dyDescent="0.3">
      <c r="A34" s="7" t="s">
        <v>40</v>
      </c>
      <c r="B34" s="7" t="s">
        <v>418</v>
      </c>
      <c r="C34" s="31">
        <v>323.42</v>
      </c>
      <c r="D34" s="31">
        <v>338.52</v>
      </c>
      <c r="E34" s="31">
        <v>344.58</v>
      </c>
      <c r="F34" s="31">
        <v>338.22</v>
      </c>
      <c r="G34" s="5">
        <v>338.22</v>
      </c>
      <c r="H34" s="5">
        <v>338.22</v>
      </c>
      <c r="I34" s="5">
        <v>338.22</v>
      </c>
      <c r="J34" s="5">
        <v>338.22</v>
      </c>
      <c r="K34" s="5">
        <v>338.22</v>
      </c>
    </row>
    <row r="35" spans="1:11" s="16" customFormat="1" x14ac:dyDescent="0.3">
      <c r="A35" s="17" t="s">
        <v>41</v>
      </c>
      <c r="B35" s="17"/>
      <c r="C35" s="35">
        <f>SUM(C33:C34)</f>
        <v>138093.13</v>
      </c>
      <c r="D35" s="35">
        <f t="shared" ref="D35:K35" si="4">SUM(D33:D34)</f>
        <v>134549.53</v>
      </c>
      <c r="E35" s="35">
        <f t="shared" si="4"/>
        <v>147256.84999999998</v>
      </c>
      <c r="F35" s="35">
        <f t="shared" si="4"/>
        <v>158676.10999999999</v>
      </c>
      <c r="G35" s="19">
        <f t="shared" si="4"/>
        <v>183801.6292878337</v>
      </c>
      <c r="H35" s="19">
        <f t="shared" si="4"/>
        <v>210686.38904155869</v>
      </c>
      <c r="I35" s="19">
        <f t="shared" si="4"/>
        <v>230611.7640712556</v>
      </c>
      <c r="J35" s="19">
        <f t="shared" si="4"/>
        <v>256581.73273289841</v>
      </c>
      <c r="K35" s="19">
        <f t="shared" si="4"/>
        <v>287187.96809051908</v>
      </c>
    </row>
    <row r="37" spans="1:11" s="1" customFormat="1" x14ac:dyDescent="0.3">
      <c r="A37" s="6" t="s">
        <v>42</v>
      </c>
      <c r="B37" s="6"/>
      <c r="C37" s="32"/>
      <c r="D37" s="32"/>
      <c r="E37" s="32"/>
      <c r="F37" s="32"/>
      <c r="G37" s="5"/>
      <c r="H37" s="11"/>
      <c r="I37" s="11"/>
      <c r="J37" s="11"/>
      <c r="K37" s="11"/>
    </row>
    <row r="38" spans="1:11" x14ac:dyDescent="0.3">
      <c r="A38" s="7" t="s">
        <v>43</v>
      </c>
      <c r="B38" s="7" t="s">
        <v>416</v>
      </c>
      <c r="C38" s="31">
        <v>71.25</v>
      </c>
      <c r="D38" s="31">
        <v>13.78</v>
      </c>
      <c r="E38" s="31">
        <v>225.65</v>
      </c>
      <c r="F38" s="31">
        <v>141.43</v>
      </c>
      <c r="G38" s="5">
        <f>'Lease Schedule '!G29</f>
        <v>105.28349834077903</v>
      </c>
      <c r="H38" s="5">
        <f>'Lease Schedule '!H29</f>
        <v>73.781299621177865</v>
      </c>
      <c r="I38" s="5">
        <f>'Lease Schedule '!I29</f>
        <v>51.704970480464581</v>
      </c>
      <c r="J38" s="5">
        <f>'Lease Schedule '!J29</f>
        <v>36.23416754803749</v>
      </c>
      <c r="K38" s="5">
        <f>'Lease Schedule '!K29</f>
        <v>25.392431050614459</v>
      </c>
    </row>
    <row r="39" spans="1:11" x14ac:dyDescent="0.3">
      <c r="A39" s="7" t="s">
        <v>44</v>
      </c>
      <c r="B39" s="7" t="s">
        <v>295</v>
      </c>
      <c r="C39" s="31">
        <v>0</v>
      </c>
      <c r="D39" s="31">
        <v>0</v>
      </c>
      <c r="E39" s="31">
        <v>20895</v>
      </c>
      <c r="F39" s="31">
        <v>3094</v>
      </c>
      <c r="G39" s="5">
        <v>3094</v>
      </c>
      <c r="H39" s="5">
        <v>3094</v>
      </c>
      <c r="I39" s="5">
        <v>3094</v>
      </c>
      <c r="J39" s="5">
        <v>3094</v>
      </c>
      <c r="K39" s="5">
        <v>3094</v>
      </c>
    </row>
    <row r="40" spans="1:11" x14ac:dyDescent="0.3">
      <c r="A40" s="7" t="s">
        <v>45</v>
      </c>
      <c r="B40" s="7" t="s">
        <v>295</v>
      </c>
      <c r="C40" s="31">
        <v>418.95</v>
      </c>
      <c r="D40" s="31">
        <v>414.26</v>
      </c>
      <c r="E40" s="31">
        <v>569.53</v>
      </c>
      <c r="F40" s="31">
        <v>586.21</v>
      </c>
      <c r="G40" s="5">
        <v>586.21</v>
      </c>
      <c r="H40" s="5">
        <v>586.21</v>
      </c>
      <c r="I40" s="5">
        <v>586.21</v>
      </c>
      <c r="J40" s="5">
        <v>586.21</v>
      </c>
      <c r="K40" s="5">
        <v>586.21</v>
      </c>
    </row>
    <row r="41" spans="1:11" x14ac:dyDescent="0.3">
      <c r="A41" s="7" t="s">
        <v>46</v>
      </c>
      <c r="B41" s="7" t="s">
        <v>295</v>
      </c>
      <c r="C41" s="31">
        <v>5616.02</v>
      </c>
      <c r="D41" s="31">
        <v>4637.7299999999996</v>
      </c>
      <c r="E41" s="31">
        <v>4744.47</v>
      </c>
      <c r="F41" s="31">
        <v>5182.28</v>
      </c>
      <c r="G41" s="5">
        <v>5182.28</v>
      </c>
      <c r="H41" s="5">
        <v>5182.28</v>
      </c>
      <c r="I41" s="5">
        <v>5182.28</v>
      </c>
      <c r="J41" s="5">
        <v>5182.28</v>
      </c>
      <c r="K41" s="5">
        <v>5182.28</v>
      </c>
    </row>
    <row r="42" spans="1:11" s="16" customFormat="1" x14ac:dyDescent="0.3">
      <c r="A42" s="17" t="s">
        <v>47</v>
      </c>
      <c r="B42" s="17"/>
      <c r="C42" s="35">
        <f>SUM(C38:C41)</f>
        <v>6106.22</v>
      </c>
      <c r="D42" s="35">
        <f t="shared" ref="D42:K42" si="5">SUM(D38:D41)</f>
        <v>5065.7699999999995</v>
      </c>
      <c r="E42" s="35">
        <f t="shared" si="5"/>
        <v>26434.65</v>
      </c>
      <c r="F42" s="35">
        <f t="shared" si="5"/>
        <v>9003.92</v>
      </c>
      <c r="G42" s="19">
        <f t="shared" si="5"/>
        <v>8967.773498340779</v>
      </c>
      <c r="H42" s="19">
        <f t="shared" si="5"/>
        <v>8936.2712996211776</v>
      </c>
      <c r="I42" s="19">
        <f t="shared" si="5"/>
        <v>8914.1949704804647</v>
      </c>
      <c r="J42" s="19">
        <f t="shared" si="5"/>
        <v>8898.7241675480363</v>
      </c>
      <c r="K42" s="19">
        <f t="shared" si="5"/>
        <v>8887.8824310506134</v>
      </c>
    </row>
    <row r="44" spans="1:11" s="1" customFormat="1" x14ac:dyDescent="0.3">
      <c r="A44" s="6" t="s">
        <v>48</v>
      </c>
      <c r="B44" s="6"/>
      <c r="C44" s="32"/>
      <c r="D44" s="32"/>
      <c r="E44" s="32"/>
      <c r="F44" s="32"/>
      <c r="G44" s="5"/>
      <c r="H44" s="11"/>
      <c r="I44" s="11"/>
      <c r="J44" s="11"/>
      <c r="K44" s="11"/>
    </row>
    <row r="45" spans="1:11" x14ac:dyDescent="0.3">
      <c r="A45" s="7" t="s">
        <v>49</v>
      </c>
      <c r="B45" s="7" t="s">
        <v>295</v>
      </c>
      <c r="C45" s="31">
        <v>0</v>
      </c>
      <c r="D45" s="31">
        <v>0</v>
      </c>
      <c r="E45" s="31">
        <v>165.02</v>
      </c>
      <c r="F45" s="31">
        <v>0</v>
      </c>
      <c r="G45" s="5">
        <v>0</v>
      </c>
      <c r="H45" s="5">
        <v>0</v>
      </c>
      <c r="I45" s="5">
        <v>0</v>
      </c>
      <c r="J45" s="5">
        <v>0</v>
      </c>
      <c r="K45" s="5">
        <v>0</v>
      </c>
    </row>
    <row r="46" spans="1:11" x14ac:dyDescent="0.3">
      <c r="A46" s="7" t="s">
        <v>43</v>
      </c>
      <c r="B46" s="7" t="s">
        <v>416</v>
      </c>
      <c r="C46" s="31">
        <v>59.06</v>
      </c>
      <c r="D46" s="31">
        <v>57.47</v>
      </c>
      <c r="E46" s="31">
        <v>152.66999999999999</v>
      </c>
      <c r="F46" s="31">
        <v>129.12</v>
      </c>
      <c r="G46" s="5">
        <f>'Lease Schedule '!G28</f>
        <v>84.307397802364505</v>
      </c>
      <c r="H46" s="5">
        <f>'Lease Schedule '!H28</f>
        <v>59.081522513664439</v>
      </c>
      <c r="I46" s="5">
        <f>'Lease Schedule '!I28</f>
        <v>41.403558804121204</v>
      </c>
      <c r="J46" s="5">
        <f>'Lease Schedule '!J28</f>
        <v>29.015072880863006</v>
      </c>
      <c r="K46" s="5">
        <f>'Lease Schedule '!K28</f>
        <v>20.333383858732308</v>
      </c>
    </row>
    <row r="47" spans="1:11" x14ac:dyDescent="0.3">
      <c r="A47" s="7" t="s">
        <v>408</v>
      </c>
      <c r="B47" s="7" t="s">
        <v>403</v>
      </c>
      <c r="C47" s="31">
        <v>6452.39</v>
      </c>
      <c r="D47" s="31">
        <v>7027.26</v>
      </c>
      <c r="E47" s="31">
        <v>9335.8900000000012</v>
      </c>
      <c r="F47" s="31">
        <v>12754.61</v>
      </c>
      <c r="G47" s="5">
        <f>'WC Schedule '!G58</f>
        <v>12437.847307867325</v>
      </c>
      <c r="H47" s="5">
        <f>'WC Schedule '!H58</f>
        <v>15044.793500645523</v>
      </c>
      <c r="I47" s="5">
        <f>'WC Schedule '!I58</f>
        <v>15602.173212472397</v>
      </c>
      <c r="J47" s="5">
        <f>'WC Schedule '!J58</f>
        <v>16473.810791537857</v>
      </c>
      <c r="K47" s="5">
        <f>'WC Schedule '!K58</f>
        <v>18435.971025893999</v>
      </c>
    </row>
    <row r="48" spans="1:11" x14ac:dyDescent="0.3">
      <c r="A48" s="7" t="s">
        <v>44</v>
      </c>
      <c r="B48" s="7" t="s">
        <v>295</v>
      </c>
      <c r="C48" s="31">
        <v>4305.57</v>
      </c>
      <c r="D48" s="31">
        <v>5654.42</v>
      </c>
      <c r="E48" s="31">
        <v>6098.71</v>
      </c>
      <c r="F48" s="31">
        <v>8119.96</v>
      </c>
      <c r="G48" s="5">
        <v>8119.96</v>
      </c>
      <c r="H48" s="5">
        <v>8119.96</v>
      </c>
      <c r="I48" s="5">
        <v>8119.96</v>
      </c>
      <c r="J48" s="5">
        <v>8119.96</v>
      </c>
      <c r="K48" s="5">
        <v>8119.96</v>
      </c>
    </row>
    <row r="49" spans="1:11" x14ac:dyDescent="0.3">
      <c r="A49" s="7" t="s">
        <v>50</v>
      </c>
      <c r="B49" s="7" t="s">
        <v>295</v>
      </c>
      <c r="C49" s="31">
        <v>4661.37</v>
      </c>
      <c r="D49" s="31">
        <v>8760.65</v>
      </c>
      <c r="E49" s="31">
        <v>6554.73</v>
      </c>
      <c r="F49" s="31">
        <v>13187.04</v>
      </c>
      <c r="G49" s="5">
        <v>13187.04</v>
      </c>
      <c r="H49" s="5">
        <v>13187.04</v>
      </c>
      <c r="I49" s="5">
        <v>13187.04</v>
      </c>
      <c r="J49" s="5">
        <v>13187.04</v>
      </c>
      <c r="K49" s="5">
        <v>13187.04</v>
      </c>
    </row>
    <row r="50" spans="1:11" x14ac:dyDescent="0.3">
      <c r="A50" s="7" t="s">
        <v>45</v>
      </c>
      <c r="B50" s="7" t="s">
        <v>295</v>
      </c>
      <c r="C50" s="31">
        <v>9096.33</v>
      </c>
      <c r="D50" s="31">
        <v>9206.2199999999993</v>
      </c>
      <c r="E50" s="31">
        <v>6500.43</v>
      </c>
      <c r="F50" s="31">
        <v>7307.9</v>
      </c>
      <c r="G50" s="5">
        <v>7307.9</v>
      </c>
      <c r="H50" s="5">
        <v>7307.9</v>
      </c>
      <c r="I50" s="5">
        <v>7307.9</v>
      </c>
      <c r="J50" s="5">
        <v>7307.9</v>
      </c>
      <c r="K50" s="5">
        <v>7307.9</v>
      </c>
    </row>
    <row r="51" spans="1:11" x14ac:dyDescent="0.3">
      <c r="A51" s="7" t="s">
        <v>51</v>
      </c>
      <c r="B51" s="7" t="s">
        <v>295</v>
      </c>
      <c r="C51" s="31">
        <v>13.36</v>
      </c>
      <c r="D51" s="31">
        <v>89.24</v>
      </c>
      <c r="E51" s="31">
        <v>879.53</v>
      </c>
      <c r="F51" s="31">
        <v>337.3</v>
      </c>
      <c r="G51" s="5">
        <v>337.3</v>
      </c>
      <c r="H51" s="5">
        <v>337.3</v>
      </c>
      <c r="I51" s="5">
        <v>337.3</v>
      </c>
      <c r="J51" s="5">
        <v>337.3</v>
      </c>
      <c r="K51" s="5">
        <v>337.3</v>
      </c>
    </row>
    <row r="52" spans="1:11" s="16" customFormat="1" x14ac:dyDescent="0.3">
      <c r="A52" s="17" t="s">
        <v>52</v>
      </c>
      <c r="B52" s="17"/>
      <c r="C52" s="35">
        <f t="shared" ref="C52:K52" si="6">SUM(C45:C51)</f>
        <v>24588.080000000002</v>
      </c>
      <c r="D52" s="35">
        <f t="shared" si="6"/>
        <v>30795.260000000006</v>
      </c>
      <c r="E52" s="35">
        <f t="shared" si="6"/>
        <v>29686.98</v>
      </c>
      <c r="F52" s="35">
        <f t="shared" si="6"/>
        <v>41835.930000000008</v>
      </c>
      <c r="G52" s="19">
        <f t="shared" si="6"/>
        <v>41474.354705669692</v>
      </c>
      <c r="H52" s="19">
        <f t="shared" si="6"/>
        <v>44056.075023159188</v>
      </c>
      <c r="I52" s="19">
        <f t="shared" si="6"/>
        <v>44595.776771276527</v>
      </c>
      <c r="J52" s="19">
        <f t="shared" si="6"/>
        <v>45455.02586441872</v>
      </c>
      <c r="K52" s="19">
        <f t="shared" si="6"/>
        <v>47408.504409752735</v>
      </c>
    </row>
    <row r="54" spans="1:11" s="16" customFormat="1" x14ac:dyDescent="0.3">
      <c r="A54" s="17" t="s">
        <v>53</v>
      </c>
      <c r="B54" s="17"/>
      <c r="C54" s="35">
        <f t="shared" ref="C54:K54" si="7">C42+C52</f>
        <v>30694.300000000003</v>
      </c>
      <c r="D54" s="35">
        <f t="shared" si="7"/>
        <v>35861.030000000006</v>
      </c>
      <c r="E54" s="35">
        <f t="shared" si="7"/>
        <v>56121.630000000005</v>
      </c>
      <c r="F54" s="35">
        <f t="shared" si="7"/>
        <v>50839.850000000006</v>
      </c>
      <c r="G54" s="19">
        <f t="shared" si="7"/>
        <v>50442.128204010471</v>
      </c>
      <c r="H54" s="19">
        <f t="shared" si="7"/>
        <v>52992.346322780366</v>
      </c>
      <c r="I54" s="19">
        <f t="shared" si="7"/>
        <v>53509.971741756992</v>
      </c>
      <c r="J54" s="19">
        <f t="shared" si="7"/>
        <v>54353.75003196676</v>
      </c>
      <c r="K54" s="19">
        <f t="shared" si="7"/>
        <v>56296.386840803345</v>
      </c>
    </row>
    <row r="55" spans="1:11" s="1" customFormat="1" x14ac:dyDescent="0.3">
      <c r="A55" s="6"/>
      <c r="B55" s="6"/>
      <c r="C55" s="31"/>
      <c r="D55" s="31"/>
      <c r="E55" s="31"/>
      <c r="F55" s="31"/>
      <c r="G55" s="5"/>
      <c r="H55" s="11"/>
      <c r="I55" s="11"/>
      <c r="J55" s="11"/>
      <c r="K55" s="11"/>
    </row>
    <row r="56" spans="1:11" s="16" customFormat="1" x14ac:dyDescent="0.3">
      <c r="A56" s="17" t="s">
        <v>54</v>
      </c>
      <c r="B56" s="17"/>
      <c r="C56" s="35">
        <f t="shared" ref="C56:K56" si="8">C54+C35</f>
        <v>168787.43</v>
      </c>
      <c r="D56" s="35">
        <f t="shared" si="8"/>
        <v>170410.56</v>
      </c>
      <c r="E56" s="35">
        <f t="shared" si="8"/>
        <v>203378.47999999998</v>
      </c>
      <c r="F56" s="35">
        <f t="shared" si="8"/>
        <v>209515.96</v>
      </c>
      <c r="G56" s="19">
        <f t="shared" si="8"/>
        <v>234243.75749184418</v>
      </c>
      <c r="H56" s="19">
        <f t="shared" si="8"/>
        <v>263678.73536433908</v>
      </c>
      <c r="I56" s="19">
        <f t="shared" si="8"/>
        <v>284121.73581301258</v>
      </c>
      <c r="J56" s="19">
        <f t="shared" si="8"/>
        <v>310935.48276486516</v>
      </c>
      <c r="K56" s="19">
        <f t="shared" si="8"/>
        <v>343484.35493132239</v>
      </c>
    </row>
    <row r="57" spans="1:11" x14ac:dyDescent="0.3">
      <c r="B57" s="7" t="s">
        <v>201</v>
      </c>
      <c r="G57" s="5" t="b">
        <f t="shared" ref="G57:K57" si="9">G27=G56</f>
        <v>1</v>
      </c>
      <c r="H57" s="5" t="b">
        <f t="shared" si="9"/>
        <v>1</v>
      </c>
      <c r="I57" s="5" t="b">
        <f t="shared" si="9"/>
        <v>1</v>
      </c>
      <c r="J57" s="5" t="b">
        <f t="shared" si="9"/>
        <v>1</v>
      </c>
      <c r="K57" s="5" t="b">
        <f t="shared" si="9"/>
        <v>1</v>
      </c>
    </row>
    <row r="58" spans="1:11" x14ac:dyDescent="0.3">
      <c r="B58" s="7" t="s">
        <v>202</v>
      </c>
      <c r="G58" s="5">
        <f t="shared" ref="G58:K58" si="10">G27-G56</f>
        <v>0</v>
      </c>
      <c r="H58" s="5">
        <f t="shared" si="10"/>
        <v>0</v>
      </c>
      <c r="I58" s="5">
        <f t="shared" si="10"/>
        <v>0</v>
      </c>
      <c r="J58" s="5">
        <f t="shared" si="10"/>
        <v>0</v>
      </c>
      <c r="K58" s="5">
        <f t="shared" si="10"/>
        <v>0</v>
      </c>
    </row>
  </sheetData>
  <hyperlinks>
    <hyperlink ref="A1" location="'Navigation Pane'!B4" display="Balance Sheet" xr:uid="{B32C60E0-6DA9-465D-8CBD-AF18C597EB34}"/>
  </hyperlink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ECFFD-761B-4B80-8527-A3302AF4F88D}">
  <dimension ref="A1:K34"/>
  <sheetViews>
    <sheetView showGridLines="0" workbookViewId="0">
      <pane xSplit="2" ySplit="3" topLeftCell="C4" activePane="bottomRight" state="frozen"/>
      <selection pane="topRight" activeCell="C1" sqref="C1"/>
      <selection pane="bottomLeft" activeCell="A4" sqref="A4"/>
      <selection pane="bottomRight"/>
    </sheetView>
  </sheetViews>
  <sheetFormatPr defaultRowHeight="14.4" x14ac:dyDescent="0.3"/>
  <cols>
    <col min="1" max="1" width="71" style="7" bestFit="1" customWidth="1"/>
    <col min="2" max="2" width="10.109375" style="7" bestFit="1" customWidth="1"/>
    <col min="3" max="3" width="11" style="31" bestFit="1" customWidth="1"/>
    <col min="4" max="5" width="9.44140625" style="31" bestFit="1" customWidth="1"/>
    <col min="6" max="6" width="11" style="31" bestFit="1" customWidth="1"/>
    <col min="7" max="11" width="11" style="5" bestFit="1" customWidth="1"/>
  </cols>
  <sheetData>
    <row r="1" spans="1:11" s="1" customFormat="1" ht="18" x14ac:dyDescent="0.3">
      <c r="A1" s="77" t="s">
        <v>55</v>
      </c>
      <c r="B1" s="6"/>
      <c r="C1" s="38"/>
      <c r="D1" s="38"/>
      <c r="E1" s="38"/>
      <c r="F1" s="38"/>
      <c r="G1" s="9"/>
      <c r="H1" s="9"/>
      <c r="I1" s="9"/>
      <c r="J1" s="9"/>
      <c r="K1" s="9"/>
    </row>
    <row r="2" spans="1:11" x14ac:dyDescent="0.3">
      <c r="A2" s="7" t="s">
        <v>1</v>
      </c>
      <c r="C2" s="70"/>
      <c r="D2" s="70"/>
      <c r="E2" s="70"/>
      <c r="F2" s="70"/>
      <c r="G2" s="33"/>
      <c r="H2" s="33"/>
      <c r="I2" s="33"/>
      <c r="J2" s="33"/>
      <c r="K2" s="33"/>
    </row>
    <row r="3" spans="1:11" s="1" customFormat="1" x14ac:dyDescent="0.3">
      <c r="A3" s="6" t="s">
        <v>2</v>
      </c>
      <c r="B3" s="6" t="s">
        <v>3</v>
      </c>
      <c r="C3" s="38" t="s">
        <v>4</v>
      </c>
      <c r="D3" s="38" t="s">
        <v>5</v>
      </c>
      <c r="E3" s="38" t="s">
        <v>6</v>
      </c>
      <c r="F3" s="38" t="s">
        <v>7</v>
      </c>
      <c r="G3" s="9" t="s">
        <v>8</v>
      </c>
      <c r="H3" s="9" t="s">
        <v>9</v>
      </c>
      <c r="I3" s="9" t="s">
        <v>10</v>
      </c>
      <c r="J3" s="9" t="s">
        <v>11</v>
      </c>
      <c r="K3" s="9" t="s">
        <v>12</v>
      </c>
    </row>
    <row r="4" spans="1:11" x14ac:dyDescent="0.3">
      <c r="A4" s="7" t="s">
        <v>210</v>
      </c>
      <c r="C4" s="31">
        <v>58062.76</v>
      </c>
      <c r="D4" s="31">
        <v>73662.12</v>
      </c>
      <c r="E4" s="31">
        <v>80300.399999999994</v>
      </c>
      <c r="F4" s="31">
        <v>117135.76</v>
      </c>
      <c r="G4" s="5">
        <f>'Revenue Model'!G5</f>
        <v>126526.53839999999</v>
      </c>
      <c r="H4" s="5">
        <f>'Revenue Model'!H5</f>
        <v>140839.46764799999</v>
      </c>
      <c r="I4" s="5">
        <f>'Revenue Model'!I5</f>
        <v>159826.15497263995</v>
      </c>
      <c r="J4" s="5">
        <f>'Revenue Model'!J5</f>
        <v>183973.17270389275</v>
      </c>
      <c r="K4" s="5">
        <f>'Revenue Model'!K5</f>
        <v>214011.55172975719</v>
      </c>
    </row>
    <row r="5" spans="1:11" x14ac:dyDescent="0.3">
      <c r="A5" s="7" t="s">
        <v>266</v>
      </c>
      <c r="B5" s="7" t="s">
        <v>268</v>
      </c>
      <c r="C5" s="31">
        <f>'WC Schedule '!C10</f>
        <v>6912.2800000000007</v>
      </c>
      <c r="D5" s="31">
        <f>'WC Schedule '!D10</f>
        <v>9090.75</v>
      </c>
      <c r="E5" s="31">
        <f>'WC Schedule '!E10</f>
        <v>10693.99</v>
      </c>
      <c r="F5" s="31">
        <f>'WC Schedule '!F10</f>
        <v>8708.4100000000017</v>
      </c>
      <c r="G5" s="5">
        <f>'Cost Model '!G5</f>
        <v>12027.589155930869</v>
      </c>
      <c r="H5" s="5">
        <f>'Cost Model '!H5</f>
        <v>14099.200648643833</v>
      </c>
      <c r="I5" s="5">
        <f>'Cost Model '!I5</f>
        <v>16769.356157638224</v>
      </c>
      <c r="J5" s="5">
        <f>'Cost Model '!J5</f>
        <v>20104.887909320929</v>
      </c>
      <c r="K5" s="5">
        <f>'Cost Model '!K5</f>
        <v>24207.853223768681</v>
      </c>
    </row>
    <row r="6" spans="1:11" x14ac:dyDescent="0.3">
      <c r="A6" s="7" t="s">
        <v>267</v>
      </c>
      <c r="B6" s="7" t="s">
        <v>269</v>
      </c>
      <c r="C6" s="31">
        <f>'WC Schedule '!C16</f>
        <v>7398.3499999999995</v>
      </c>
      <c r="D6" s="31">
        <f>'WC Schedule '!D16</f>
        <v>13413.68</v>
      </c>
      <c r="E6" s="31">
        <f>'WC Schedule '!E16</f>
        <v>12510.529999999999</v>
      </c>
      <c r="F6" s="31">
        <f>'WC Schedule '!F16</f>
        <v>45600.27</v>
      </c>
      <c r="G6" s="5">
        <f>'Cost Model '!G15</f>
        <v>38199.3056</v>
      </c>
      <c r="H6" s="5">
        <f>'Cost Model '!H15</f>
        <v>38794.85983999999</v>
      </c>
      <c r="I6" s="5">
        <f>'Cost Model '!I15</f>
        <v>37493.607539999997</v>
      </c>
      <c r="J6" s="5">
        <f>'Cost Model '!J15</f>
        <v>36604.174150599989</v>
      </c>
      <c r="K6" s="5">
        <f>'Cost Model '!K15</f>
        <v>38819.732125089991</v>
      </c>
    </row>
    <row r="7" spans="1:11" x14ac:dyDescent="0.3">
      <c r="A7" s="7" t="s">
        <v>57</v>
      </c>
      <c r="C7" s="31">
        <v>7344.7</v>
      </c>
      <c r="D7" s="31">
        <v>7499.89</v>
      </c>
      <c r="E7" s="31">
        <v>9316.06</v>
      </c>
      <c r="F7" s="31">
        <v>10749.67</v>
      </c>
      <c r="G7" s="5">
        <f>'Cost Model '!G24</f>
        <v>8073.206663334634</v>
      </c>
      <c r="H7" s="5">
        <f>'Cost Model '!H24</f>
        <v>11308.212307864243</v>
      </c>
      <c r="I7" s="5">
        <f>'Cost Model '!I24</f>
        <v>15785.882991356517</v>
      </c>
      <c r="J7" s="5">
        <f>'Cost Model '!J24</f>
        <v>21978.01249603448</v>
      </c>
      <c r="K7" s="5">
        <f>'Cost Model '!K24</f>
        <v>30431.479540634602</v>
      </c>
    </row>
    <row r="8" spans="1:11" x14ac:dyDescent="0.3">
      <c r="A8" s="7" t="s">
        <v>292</v>
      </c>
      <c r="C8" s="31">
        <v>6313.76</v>
      </c>
      <c r="D8" s="31">
        <v>6555.33</v>
      </c>
      <c r="E8" s="31">
        <v>6126.64</v>
      </c>
      <c r="F8" s="31">
        <v>6831.37</v>
      </c>
      <c r="G8" s="5">
        <f>'Cost Model '!G39</f>
        <v>7073.9239556228567</v>
      </c>
      <c r="H8" s="5">
        <f>'Cost Model '!H39</f>
        <v>8728.8622779600009</v>
      </c>
      <c r="I8" s="5">
        <f>'Cost Model '!I39</f>
        <v>10029.448690442619</v>
      </c>
      <c r="J8" s="5">
        <f>'Cost Model '!J39</f>
        <v>11409.411547939093</v>
      </c>
      <c r="K8" s="5">
        <f>'Cost Model '!K39</f>
        <v>13054.198822517303</v>
      </c>
    </row>
    <row r="9" spans="1:11" x14ac:dyDescent="0.3">
      <c r="A9" s="7" t="s">
        <v>293</v>
      </c>
      <c r="C9" s="31">
        <v>5205.33</v>
      </c>
      <c r="D9" s="31">
        <v>7710.99</v>
      </c>
      <c r="E9" s="31">
        <v>7598.01</v>
      </c>
      <c r="F9" s="31">
        <v>9041.17</v>
      </c>
      <c r="G9" s="5">
        <f>'Cost Model '!G44</f>
        <v>11581.474409117669</v>
      </c>
      <c r="H9" s="5">
        <f>'Cost Model '!H44</f>
        <v>12891.593423685001</v>
      </c>
      <c r="I9" s="5">
        <f>'Cost Model '!I44</f>
        <v>14629.519997389767</v>
      </c>
      <c r="J9" s="5">
        <f>'Cost Model '!J44</f>
        <v>16839.792019745317</v>
      </c>
      <c r="K9" s="5">
        <f>'Cost Model '!K44</f>
        <v>19589.323638792801</v>
      </c>
    </row>
    <row r="10" spans="1:11" x14ac:dyDescent="0.3">
      <c r="A10" s="7" t="s">
        <v>60</v>
      </c>
      <c r="C10" s="31">
        <v>6176.07</v>
      </c>
      <c r="D10" s="31">
        <v>7293.41</v>
      </c>
      <c r="E10" s="31">
        <v>9400.0700000000015</v>
      </c>
      <c r="F10" s="31">
        <v>8506.01</v>
      </c>
      <c r="G10" s="5">
        <f>'Cost Model '!G49</f>
        <v>12496.347174208142</v>
      </c>
      <c r="H10" s="5">
        <f>'Cost Model '!H49</f>
        <v>13642.214326432033</v>
      </c>
      <c r="I10" s="5">
        <f>'Cost Model '!I49</f>
        <v>15395.502030361758</v>
      </c>
      <c r="J10" s="5">
        <f>'Cost Model '!J49</f>
        <v>16767.841021431261</v>
      </c>
      <c r="K10" s="5">
        <f>'Cost Model '!K49</f>
        <v>20496.828881834605</v>
      </c>
    </row>
    <row r="11" spans="1:11" s="16" customFormat="1" x14ac:dyDescent="0.3">
      <c r="A11" s="17" t="s">
        <v>203</v>
      </c>
      <c r="B11" s="17"/>
      <c r="C11" s="35">
        <f t="shared" ref="C11:K11" si="0">C4-SUM(C5:C10)</f>
        <v>18712.269999999997</v>
      </c>
      <c r="D11" s="35">
        <f t="shared" si="0"/>
        <v>22098.069999999992</v>
      </c>
      <c r="E11" s="35">
        <f t="shared" si="0"/>
        <v>24655.1</v>
      </c>
      <c r="F11" s="35">
        <f t="shared" si="0"/>
        <v>27698.86</v>
      </c>
      <c r="G11" s="19">
        <f t="shared" si="0"/>
        <v>37074.691441785806</v>
      </c>
      <c r="H11" s="19">
        <f t="shared" si="0"/>
        <v>41374.524823414889</v>
      </c>
      <c r="I11" s="19">
        <f t="shared" si="0"/>
        <v>49722.837565451075</v>
      </c>
      <c r="J11" s="19">
        <f t="shared" si="0"/>
        <v>60269.053558821674</v>
      </c>
      <c r="K11" s="19">
        <f t="shared" si="0"/>
        <v>67412.13549711919</v>
      </c>
    </row>
    <row r="12" spans="1:11" x14ac:dyDescent="0.3">
      <c r="A12" s="7" t="s">
        <v>59</v>
      </c>
      <c r="C12" s="31">
        <v>1310.0999999999999</v>
      </c>
      <c r="D12" s="31">
        <v>2081.9499999999998</v>
      </c>
      <c r="E12" s="31">
        <v>3618.18</v>
      </c>
      <c r="F12" s="31">
        <v>5821.08</v>
      </c>
      <c r="G12" s="5">
        <f>'Depreciation &amp; Finance Cost '!G29</f>
        <v>7974.5866226123226</v>
      </c>
      <c r="H12" s="5">
        <f>'Depreciation &amp; Finance Cost '!H29</f>
        <v>10738.497980834749</v>
      </c>
      <c r="I12" s="5">
        <f>'Depreciation &amp; Finance Cost '!I29</f>
        <v>13602.852412379158</v>
      </c>
      <c r="J12" s="5">
        <f>'Depreciation &amp; Finance Cost '!J29</f>
        <v>14395.802748840486</v>
      </c>
      <c r="K12" s="5">
        <f>'Depreciation &amp; Finance Cost '!K29</f>
        <v>15254.250343211372</v>
      </c>
    </row>
    <row r="13" spans="1:11" s="16" customFormat="1" x14ac:dyDescent="0.3">
      <c r="A13" s="17" t="s">
        <v>204</v>
      </c>
      <c r="B13" s="17"/>
      <c r="C13" s="35">
        <f t="shared" ref="C13:K13" si="1">C11-C12</f>
        <v>17402.169999999998</v>
      </c>
      <c r="D13" s="35">
        <f t="shared" si="1"/>
        <v>20016.119999999992</v>
      </c>
      <c r="E13" s="35">
        <f t="shared" si="1"/>
        <v>21036.92</v>
      </c>
      <c r="F13" s="35">
        <f t="shared" si="1"/>
        <v>21877.78</v>
      </c>
      <c r="G13" s="19">
        <f t="shared" si="1"/>
        <v>29100.104819173484</v>
      </c>
      <c r="H13" s="19">
        <f t="shared" si="1"/>
        <v>30636.026842580141</v>
      </c>
      <c r="I13" s="19">
        <f t="shared" si="1"/>
        <v>36119.985153071917</v>
      </c>
      <c r="J13" s="19">
        <f t="shared" si="1"/>
        <v>45873.250809981189</v>
      </c>
      <c r="K13" s="19">
        <f t="shared" si="1"/>
        <v>52157.885153907817</v>
      </c>
    </row>
    <row r="14" spans="1:11" x14ac:dyDescent="0.3">
      <c r="A14" s="7" t="s">
        <v>58</v>
      </c>
      <c r="C14" s="31">
        <v>451.94</v>
      </c>
      <c r="D14" s="31">
        <v>571.48</v>
      </c>
      <c r="E14" s="31">
        <v>324.20999999999998</v>
      </c>
      <c r="F14" s="31">
        <v>574.15</v>
      </c>
      <c r="G14" s="5">
        <f>'Depreciation &amp; Finance Cost '!G37</f>
        <v>153.11295999999999</v>
      </c>
      <c r="H14" s="5">
        <f>'Depreciation &amp; Finance Cost '!H37</f>
        <v>144.20855857574577</v>
      </c>
      <c r="I14" s="5">
        <f>'Depreciation &amp; Finance Cost '!I37</f>
        <v>137.96847043483265</v>
      </c>
      <c r="J14" s="5">
        <f>'Depreciation &amp; Finance Cost '!J37</f>
        <v>133.59549822130441</v>
      </c>
      <c r="K14" s="5">
        <f>'Depreciation &amp; Finance Cost '!K37</f>
        <v>130.53097644717903</v>
      </c>
    </row>
    <row r="15" spans="1:11" x14ac:dyDescent="0.3">
      <c r="A15" s="7" t="s">
        <v>205</v>
      </c>
      <c r="C15" s="31">
        <v>0</v>
      </c>
      <c r="D15" s="31">
        <v>0</v>
      </c>
      <c r="E15" s="31">
        <v>0</v>
      </c>
      <c r="F15" s="31">
        <v>-496.21</v>
      </c>
      <c r="G15" s="5">
        <v>0</v>
      </c>
      <c r="H15" s="5">
        <v>0</v>
      </c>
      <c r="I15" s="5">
        <v>0</v>
      </c>
      <c r="J15" s="5">
        <v>0</v>
      </c>
      <c r="K15" s="5">
        <v>0</v>
      </c>
    </row>
    <row r="16" spans="1:11" x14ac:dyDescent="0.3">
      <c r="A16" s="7" t="s">
        <v>206</v>
      </c>
      <c r="C16" s="31">
        <v>3491.01</v>
      </c>
      <c r="D16" s="31">
        <v>5363.13</v>
      </c>
      <c r="E16" s="31">
        <v>6365.86</v>
      </c>
      <c r="F16" s="31">
        <v>5807.26</v>
      </c>
      <c r="G16" s="5">
        <f>'Other Income Schedule '!G19</f>
        <v>4982.56396821004</v>
      </c>
      <c r="H16" s="5">
        <f>'Other Income Schedule '!H19</f>
        <v>5813.4196901817204</v>
      </c>
      <c r="I16" s="5">
        <f>'Other Income Schedule '!I19</f>
        <v>7185.4836393517489</v>
      </c>
      <c r="J16" s="5">
        <f>'Other Income Schedule '!J19</f>
        <v>10523.206937641813</v>
      </c>
      <c r="K16" s="5">
        <f>'Other Income Schedule '!K19</f>
        <v>14279.787981010139</v>
      </c>
    </row>
    <row r="17" spans="1:11" s="16" customFormat="1" x14ac:dyDescent="0.3">
      <c r="A17" s="17" t="s">
        <v>207</v>
      </c>
      <c r="B17" s="17"/>
      <c r="C17" s="35">
        <f t="shared" ref="C17:E17" si="2">C13-C14-C15+C16</f>
        <v>20441.239999999998</v>
      </c>
      <c r="D17" s="35">
        <f t="shared" si="2"/>
        <v>24807.769999999993</v>
      </c>
      <c r="E17" s="35">
        <f t="shared" si="2"/>
        <v>27078.57</v>
      </c>
      <c r="F17" s="35">
        <f>F13-F14-F15+F16</f>
        <v>27607.1</v>
      </c>
      <c r="G17" s="19">
        <f t="shared" ref="G17:K17" si="3">G13-G14+G15+G16</f>
        <v>33929.555827383527</v>
      </c>
      <c r="H17" s="19">
        <f t="shared" si="3"/>
        <v>36305.237974186115</v>
      </c>
      <c r="I17" s="19">
        <f t="shared" si="3"/>
        <v>43167.500321988831</v>
      </c>
      <c r="J17" s="19">
        <f t="shared" si="3"/>
        <v>56262.862249401696</v>
      </c>
      <c r="K17" s="19">
        <f t="shared" si="3"/>
        <v>66307.142158470771</v>
      </c>
    </row>
    <row r="18" spans="1:11" x14ac:dyDescent="0.3">
      <c r="A18" s="7" t="s">
        <v>208</v>
      </c>
      <c r="C18" s="31">
        <v>5176.68</v>
      </c>
      <c r="D18" s="31">
        <v>6302.58</v>
      </c>
      <c r="E18" s="31">
        <v>7322.64</v>
      </c>
      <c r="F18" s="31">
        <v>7183.2</v>
      </c>
      <c r="G18" s="5">
        <f>'Cost Model '!G54</f>
        <v>8804.0365395498102</v>
      </c>
      <c r="H18" s="5">
        <f>'Cost Model '!H54</f>
        <v>9420.4782204611111</v>
      </c>
      <c r="I18" s="5">
        <f>'Cost Model '!I54</f>
        <v>11201.097122794998</v>
      </c>
      <c r="J18" s="5">
        <f>'Cost Model '!J54</f>
        <v>14599.07985779218</v>
      </c>
      <c r="K18" s="5">
        <f>'Cost Model '!K54</f>
        <v>17205.368244908077</v>
      </c>
    </row>
    <row r="19" spans="1:11" s="16" customFormat="1" x14ac:dyDescent="0.3">
      <c r="A19" s="17" t="s">
        <v>209</v>
      </c>
      <c r="B19" s="17"/>
      <c r="C19" s="35">
        <f>C17-C18</f>
        <v>15264.559999999998</v>
      </c>
      <c r="D19" s="35">
        <f t="shared" ref="D19:K19" si="4">D17-D18</f>
        <v>18505.189999999995</v>
      </c>
      <c r="E19" s="35">
        <f t="shared" si="4"/>
        <v>19755.93</v>
      </c>
      <c r="F19" s="35">
        <f t="shared" si="4"/>
        <v>20423.899999999998</v>
      </c>
      <c r="G19" s="19">
        <f t="shared" si="4"/>
        <v>25125.519287833718</v>
      </c>
      <c r="H19" s="19">
        <f t="shared" si="4"/>
        <v>26884.759753725004</v>
      </c>
      <c r="I19" s="19">
        <f t="shared" si="4"/>
        <v>31966.403199193832</v>
      </c>
      <c r="J19" s="19">
        <f t="shared" si="4"/>
        <v>41663.782391609515</v>
      </c>
      <c r="K19" s="19">
        <f t="shared" si="4"/>
        <v>49101.773913562691</v>
      </c>
    </row>
    <row r="20" spans="1:11" x14ac:dyDescent="0.3">
      <c r="A20" s="7" t="s">
        <v>388</v>
      </c>
      <c r="C20" s="31">
        <v>5784.28</v>
      </c>
      <c r="D20" s="31">
        <v>5784.28</v>
      </c>
      <c r="E20" s="31">
        <v>7712.38</v>
      </c>
      <c r="F20" s="31">
        <v>8676.4</v>
      </c>
      <c r="G20" s="5">
        <f>'Cost Model '!G59</f>
        <v>0</v>
      </c>
      <c r="H20" s="5">
        <f>'Cost Model '!H59</f>
        <v>0</v>
      </c>
      <c r="I20" s="5">
        <f>'Cost Model '!I59</f>
        <v>12041.028169496918</v>
      </c>
      <c r="J20" s="5">
        <f>'Cost Model '!J59</f>
        <v>15693.813729966707</v>
      </c>
      <c r="K20" s="5">
        <f>'Cost Model '!K59</f>
        <v>18495.538555942003</v>
      </c>
    </row>
    <row r="21" spans="1:11" s="16" customFormat="1" x14ac:dyDescent="0.3">
      <c r="A21" s="17" t="s">
        <v>389</v>
      </c>
      <c r="B21" s="17"/>
      <c r="C21" s="35">
        <f>C19-C20</f>
        <v>9480.2799999999988</v>
      </c>
      <c r="D21" s="35">
        <f t="shared" ref="D21:K21" si="5">D19-D20</f>
        <v>12720.909999999996</v>
      </c>
      <c r="E21" s="35">
        <f t="shared" si="5"/>
        <v>12043.55</v>
      </c>
      <c r="F21" s="35">
        <f t="shared" si="5"/>
        <v>11747.499999999998</v>
      </c>
      <c r="G21" s="19">
        <f t="shared" si="5"/>
        <v>25125.519287833718</v>
      </c>
      <c r="H21" s="19">
        <f t="shared" si="5"/>
        <v>26884.759753725004</v>
      </c>
      <c r="I21" s="19">
        <f t="shared" si="5"/>
        <v>19925.375029696916</v>
      </c>
      <c r="J21" s="19">
        <f t="shared" si="5"/>
        <v>25969.968661642808</v>
      </c>
      <c r="K21" s="19">
        <f t="shared" si="5"/>
        <v>30606.235357620688</v>
      </c>
    </row>
    <row r="22" spans="1:11" x14ac:dyDescent="0.3">
      <c r="C22" s="32"/>
      <c r="D22" s="32"/>
      <c r="E22" s="32"/>
      <c r="F22" s="32"/>
    </row>
    <row r="24" spans="1:11" x14ac:dyDescent="0.3">
      <c r="A24" s="17" t="s">
        <v>211</v>
      </c>
    </row>
    <row r="25" spans="1:11" x14ac:dyDescent="0.3">
      <c r="A25" s="6" t="s">
        <v>61</v>
      </c>
    </row>
    <row r="26" spans="1:11" x14ac:dyDescent="0.3">
      <c r="A26" s="7" t="s">
        <v>62</v>
      </c>
      <c r="C26" s="31">
        <v>26.4</v>
      </c>
      <c r="D26" s="31">
        <v>176.41</v>
      </c>
      <c r="E26" s="31">
        <v>45.83</v>
      </c>
      <c r="F26" s="31">
        <v>22.88</v>
      </c>
      <c r="G26" s="5">
        <v>0</v>
      </c>
      <c r="H26" s="5">
        <v>0</v>
      </c>
      <c r="I26" s="5">
        <v>0</v>
      </c>
      <c r="J26" s="5">
        <v>0</v>
      </c>
      <c r="K26" s="5">
        <v>0</v>
      </c>
    </row>
    <row r="27" spans="1:11" x14ac:dyDescent="0.3">
      <c r="A27" s="6" t="s">
        <v>63</v>
      </c>
    </row>
    <row r="28" spans="1:11" x14ac:dyDescent="0.3">
      <c r="A28" s="7" t="s">
        <v>64</v>
      </c>
      <c r="C28" s="31">
        <v>115.37</v>
      </c>
      <c r="D28" s="31">
        <v>8.02</v>
      </c>
      <c r="E28" s="31">
        <v>-138.22999999999999</v>
      </c>
      <c r="F28" s="31">
        <v>-78.2</v>
      </c>
      <c r="G28" s="5">
        <v>0</v>
      </c>
      <c r="H28" s="5">
        <v>0</v>
      </c>
      <c r="I28" s="5">
        <v>0</v>
      </c>
      <c r="J28" s="5">
        <v>0</v>
      </c>
      <c r="K28" s="5">
        <v>0</v>
      </c>
    </row>
    <row r="29" spans="1:11" x14ac:dyDescent="0.3">
      <c r="A29" s="7" t="s">
        <v>65</v>
      </c>
      <c r="C29" s="31">
        <v>3385.69</v>
      </c>
      <c r="D29" s="31">
        <v>0</v>
      </c>
      <c r="E29" s="31">
        <v>0</v>
      </c>
      <c r="F29" s="31">
        <v>0</v>
      </c>
      <c r="G29" s="5">
        <v>0</v>
      </c>
      <c r="H29" s="5">
        <v>0</v>
      </c>
      <c r="I29" s="5">
        <v>0</v>
      </c>
      <c r="J29" s="5">
        <v>0</v>
      </c>
      <c r="K29" s="5">
        <v>0</v>
      </c>
    </row>
    <row r="30" spans="1:11" x14ac:dyDescent="0.3">
      <c r="A30" s="7" t="s">
        <v>66</v>
      </c>
      <c r="C30" s="31">
        <v>959.44</v>
      </c>
      <c r="D30" s="31">
        <v>0</v>
      </c>
      <c r="E30" s="31">
        <v>0</v>
      </c>
      <c r="F30" s="31">
        <v>0</v>
      </c>
      <c r="G30" s="5">
        <v>0</v>
      </c>
      <c r="H30" s="5">
        <v>0</v>
      </c>
      <c r="I30" s="5">
        <v>0</v>
      </c>
      <c r="J30" s="5">
        <v>0</v>
      </c>
      <c r="K30" s="5">
        <v>0</v>
      </c>
    </row>
    <row r="31" spans="1:11" x14ac:dyDescent="0.3">
      <c r="A31" s="7" t="s">
        <v>212</v>
      </c>
      <c r="C31" s="31">
        <v>-643.37</v>
      </c>
      <c r="D31" s="31">
        <v>-2.02</v>
      </c>
      <c r="E31" s="31">
        <v>36.42</v>
      </c>
      <c r="F31" s="31">
        <v>20.75</v>
      </c>
      <c r="G31" s="5">
        <v>0</v>
      </c>
      <c r="H31" s="5">
        <v>0</v>
      </c>
      <c r="I31" s="5">
        <v>0</v>
      </c>
      <c r="J31" s="5">
        <v>0</v>
      </c>
      <c r="K31" s="5">
        <v>0</v>
      </c>
    </row>
    <row r="32" spans="1:11" s="16" customFormat="1" x14ac:dyDescent="0.3">
      <c r="A32" s="17" t="s">
        <v>213</v>
      </c>
      <c r="B32" s="17"/>
      <c r="C32" s="35">
        <f t="shared" ref="C32:J32" si="6">SUM(C26:C31)</f>
        <v>3843.5299999999997</v>
      </c>
      <c r="D32" s="35">
        <f t="shared" si="6"/>
        <v>182.41</v>
      </c>
      <c r="E32" s="35">
        <f t="shared" si="6"/>
        <v>-55.97999999999999</v>
      </c>
      <c r="F32" s="35">
        <f t="shared" si="6"/>
        <v>-34.570000000000007</v>
      </c>
      <c r="G32" s="19">
        <f t="shared" si="6"/>
        <v>0</v>
      </c>
      <c r="H32" s="19">
        <f t="shared" si="6"/>
        <v>0</v>
      </c>
      <c r="I32" s="19">
        <f t="shared" si="6"/>
        <v>0</v>
      </c>
      <c r="J32" s="19">
        <f t="shared" si="6"/>
        <v>0</v>
      </c>
      <c r="K32" s="19">
        <f t="shared" ref="K32" si="7">SUM(K26:K31)</f>
        <v>0</v>
      </c>
    </row>
    <row r="34" spans="1:11" s="16" customFormat="1" x14ac:dyDescent="0.3">
      <c r="A34" s="17" t="s">
        <v>214</v>
      </c>
      <c r="B34" s="17"/>
      <c r="C34" s="35">
        <f t="shared" ref="C34:K34" si="8">C19+C32</f>
        <v>19108.089999999997</v>
      </c>
      <c r="D34" s="35">
        <f t="shared" si="8"/>
        <v>18687.599999999995</v>
      </c>
      <c r="E34" s="35">
        <f t="shared" si="8"/>
        <v>19699.95</v>
      </c>
      <c r="F34" s="35">
        <f t="shared" si="8"/>
        <v>20389.329999999998</v>
      </c>
      <c r="G34" s="19">
        <f t="shared" si="8"/>
        <v>25125.519287833718</v>
      </c>
      <c r="H34" s="19">
        <f t="shared" si="8"/>
        <v>26884.759753725004</v>
      </c>
      <c r="I34" s="19">
        <f t="shared" si="8"/>
        <v>31966.403199193832</v>
      </c>
      <c r="J34" s="19">
        <f t="shared" si="8"/>
        <v>41663.782391609515</v>
      </c>
      <c r="K34" s="19">
        <f t="shared" si="8"/>
        <v>49101.773913562691</v>
      </c>
    </row>
  </sheetData>
  <hyperlinks>
    <hyperlink ref="A1" location="'Navigation Pane'!B4" display="Income Statement" xr:uid="{741A1E09-8C89-42E4-A778-0D82BC9D4978}"/>
  </hyperlinks>
  <pageMargins left="0.7" right="0.7" top="0.75" bottom="0.75" header="0.3" footer="0.3"/>
  <pageSetup paperSize="9" orientation="portrait" horizontalDpi="4294967293" verticalDpi="0" r:id="rId1"/>
  <ignoredErrors>
    <ignoredError sqref="G20:K20" formula="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F22B0-869E-44F2-B874-8CE639A7DEE4}">
  <dimension ref="A1:K60"/>
  <sheetViews>
    <sheetView showGridLines="0" zoomScaleNormal="100" workbookViewId="0">
      <pane xSplit="2" ySplit="3" topLeftCell="C4" activePane="bottomRight" state="frozen"/>
      <selection pane="topRight" activeCell="C1" sqref="C1"/>
      <selection pane="bottomLeft" activeCell="A4" sqref="A4"/>
      <selection pane="bottomRight"/>
    </sheetView>
  </sheetViews>
  <sheetFormatPr defaultRowHeight="14.4" x14ac:dyDescent="0.3"/>
  <cols>
    <col min="1" max="1" width="90.77734375" style="7" bestFit="1" customWidth="1"/>
    <col min="2" max="2" width="10.109375" style="7" bestFit="1" customWidth="1"/>
    <col min="3" max="5" width="10.21875" style="31" bestFit="1" customWidth="1"/>
    <col min="6" max="6" width="9.77734375" style="31" bestFit="1" customWidth="1"/>
    <col min="7" max="11" width="10.44140625" style="5" bestFit="1" customWidth="1"/>
  </cols>
  <sheetData>
    <row r="1" spans="1:11" s="1" customFormat="1" ht="18" x14ac:dyDescent="0.3">
      <c r="A1" s="77" t="s">
        <v>67</v>
      </c>
      <c r="B1" s="6"/>
      <c r="C1" s="38"/>
      <c r="D1" s="38"/>
      <c r="E1" s="38"/>
      <c r="F1" s="38"/>
      <c r="G1" s="9"/>
      <c r="H1" s="9"/>
      <c r="I1" s="9"/>
      <c r="J1" s="9"/>
      <c r="K1" s="9"/>
    </row>
    <row r="2" spans="1:11" x14ac:dyDescent="0.3">
      <c r="A2" s="7" t="s">
        <v>1</v>
      </c>
      <c r="C2" s="70"/>
      <c r="D2" s="70"/>
      <c r="E2" s="70"/>
      <c r="F2" s="70"/>
      <c r="G2" s="33"/>
      <c r="H2" s="33"/>
      <c r="I2" s="33"/>
      <c r="J2" s="33"/>
      <c r="K2" s="33"/>
    </row>
    <row r="3" spans="1:11" s="1" customFormat="1" x14ac:dyDescent="0.3">
      <c r="A3" s="6" t="s">
        <v>2</v>
      </c>
      <c r="B3" s="6" t="s">
        <v>3</v>
      </c>
      <c r="C3" s="38" t="s">
        <v>4</v>
      </c>
      <c r="D3" s="38" t="s">
        <v>5</v>
      </c>
      <c r="E3" s="38" t="s">
        <v>6</v>
      </c>
      <c r="F3" s="38" t="s">
        <v>7</v>
      </c>
      <c r="G3" s="9" t="s">
        <v>8</v>
      </c>
      <c r="H3" s="9" t="s">
        <v>9</v>
      </c>
      <c r="I3" s="9" t="s">
        <v>10</v>
      </c>
      <c r="J3" s="9" t="s">
        <v>11</v>
      </c>
      <c r="K3" s="9" t="s">
        <v>12</v>
      </c>
    </row>
    <row r="4" spans="1:11" s="1" customFormat="1" x14ac:dyDescent="0.3">
      <c r="A4" s="6"/>
      <c r="B4" s="6"/>
      <c r="C4" s="38"/>
      <c r="D4" s="38"/>
      <c r="E4" s="38"/>
      <c r="F4" s="38"/>
      <c r="G4" s="9"/>
      <c r="H4" s="9"/>
      <c r="I4" s="9"/>
      <c r="J4" s="9"/>
      <c r="K4" s="9"/>
    </row>
    <row r="5" spans="1:11" x14ac:dyDescent="0.3">
      <c r="A5" s="6" t="s">
        <v>68</v>
      </c>
    </row>
    <row r="6" spans="1:11" x14ac:dyDescent="0.3">
      <c r="A6" s="7" t="s">
        <v>69</v>
      </c>
      <c r="C6" s="89">
        <v>20441.240000000002</v>
      </c>
      <c r="D6" s="89">
        <v>24807.77</v>
      </c>
      <c r="E6" s="89">
        <v>27078.57</v>
      </c>
      <c r="F6" s="89">
        <v>27607.1</v>
      </c>
      <c r="G6" s="5">
        <f>IS!G17</f>
        <v>33929.555827383527</v>
      </c>
      <c r="H6" s="5">
        <f>IS!H17</f>
        <v>36305.237974186115</v>
      </c>
      <c r="I6" s="5">
        <f>IS!I17</f>
        <v>43167.500321988831</v>
      </c>
      <c r="J6" s="5">
        <f>IS!J17</f>
        <v>56262.862249401696</v>
      </c>
      <c r="K6" s="5">
        <f>IS!K17</f>
        <v>66307.142158470771</v>
      </c>
    </row>
    <row r="7" spans="1:11" x14ac:dyDescent="0.3">
      <c r="A7" s="7" t="s">
        <v>70</v>
      </c>
      <c r="C7" s="89"/>
      <c r="D7" s="89"/>
      <c r="E7" s="89"/>
      <c r="F7" s="89"/>
    </row>
    <row r="8" spans="1:11" x14ac:dyDescent="0.3">
      <c r="A8" s="7" t="s">
        <v>59</v>
      </c>
      <c r="C8" s="89">
        <v>1310.0999999999999</v>
      </c>
      <c r="D8" s="89">
        <v>2081.9499999999998</v>
      </c>
      <c r="E8" s="89">
        <v>3618.18</v>
      </c>
      <c r="F8" s="89">
        <v>5821.08</v>
      </c>
      <c r="G8" s="5">
        <f>IS!G12</f>
        <v>7974.5866226123226</v>
      </c>
      <c r="H8" s="5">
        <f>IS!H12</f>
        <v>10738.497980834749</v>
      </c>
      <c r="I8" s="5">
        <f>IS!I12</f>
        <v>13602.852412379158</v>
      </c>
      <c r="J8" s="5">
        <f>IS!J12</f>
        <v>14395.802748840486</v>
      </c>
      <c r="K8" s="5">
        <f>IS!K12</f>
        <v>15254.250343211372</v>
      </c>
    </row>
    <row r="9" spans="1:11" x14ac:dyDescent="0.3">
      <c r="A9" s="7" t="s">
        <v>110</v>
      </c>
      <c r="C9" s="89">
        <v>-29.75</v>
      </c>
      <c r="D9" s="89">
        <v>498.74</v>
      </c>
      <c r="E9" s="89">
        <v>11.28</v>
      </c>
      <c r="F9" s="89">
        <v>-457.96</v>
      </c>
      <c r="G9" s="5">
        <v>0</v>
      </c>
      <c r="H9" s="5">
        <v>0</v>
      </c>
      <c r="I9" s="5">
        <v>0</v>
      </c>
      <c r="J9" s="5">
        <v>0</v>
      </c>
      <c r="K9" s="5">
        <v>0</v>
      </c>
    </row>
    <row r="10" spans="1:11" x14ac:dyDescent="0.3">
      <c r="A10" s="7" t="s">
        <v>58</v>
      </c>
      <c r="C10" s="89">
        <v>451.94</v>
      </c>
      <c r="D10" s="89">
        <v>571.48</v>
      </c>
      <c r="E10" s="89">
        <v>324.2</v>
      </c>
      <c r="F10" s="89">
        <v>574.15</v>
      </c>
      <c r="G10" s="5">
        <f>IS!G14</f>
        <v>153.11295999999999</v>
      </c>
      <c r="H10" s="5">
        <f>IS!H14</f>
        <v>144.20855857574577</v>
      </c>
      <c r="I10" s="5">
        <f>IS!I14</f>
        <v>137.96847043483265</v>
      </c>
      <c r="J10" s="5">
        <f>IS!J14</f>
        <v>133.59549822130441</v>
      </c>
      <c r="K10" s="5">
        <f>IS!K14</f>
        <v>130.53097644717903</v>
      </c>
    </row>
    <row r="11" spans="1:11" x14ac:dyDescent="0.3">
      <c r="A11" s="7" t="s">
        <v>71</v>
      </c>
      <c r="C11" s="89">
        <v>-28.89</v>
      </c>
      <c r="D11" s="89">
        <v>-2823.59</v>
      </c>
      <c r="E11" s="89">
        <v>-4192.26</v>
      </c>
      <c r="F11" s="89">
        <v>-370.85</v>
      </c>
      <c r="G11" s="5">
        <v>0</v>
      </c>
      <c r="H11" s="5">
        <v>0</v>
      </c>
      <c r="I11" s="5">
        <v>0</v>
      </c>
      <c r="J11" s="5">
        <v>0</v>
      </c>
      <c r="K11" s="5">
        <v>0</v>
      </c>
    </row>
    <row r="12" spans="1:11" x14ac:dyDescent="0.3">
      <c r="A12" s="7" t="s">
        <v>72</v>
      </c>
      <c r="C12" s="89">
        <v>0</v>
      </c>
      <c r="D12" s="89">
        <v>0</v>
      </c>
      <c r="E12" s="89">
        <v>267.43</v>
      </c>
      <c r="F12" s="89">
        <v>0</v>
      </c>
      <c r="G12" s="5">
        <v>0</v>
      </c>
      <c r="H12" s="5">
        <v>0</v>
      </c>
      <c r="I12" s="5">
        <v>0</v>
      </c>
      <c r="J12" s="5">
        <v>0</v>
      </c>
      <c r="K12" s="5">
        <v>0</v>
      </c>
    </row>
    <row r="13" spans="1:11" x14ac:dyDescent="0.3">
      <c r="A13" s="7" t="s">
        <v>73</v>
      </c>
      <c r="C13" s="89">
        <v>-1840.51</v>
      </c>
      <c r="D13" s="89">
        <v>-2950.35</v>
      </c>
      <c r="E13" s="89">
        <v>-4089.65</v>
      </c>
      <c r="F13" s="89">
        <v>-4188.83</v>
      </c>
      <c r="G13" s="5">
        <f>-IS!G16</f>
        <v>-4982.56396821004</v>
      </c>
      <c r="H13" s="5">
        <f>-IS!H16</f>
        <v>-5813.4196901817204</v>
      </c>
      <c r="I13" s="5">
        <f>-IS!I16</f>
        <v>-7185.4836393517489</v>
      </c>
      <c r="J13" s="5">
        <f>-IS!J16</f>
        <v>-10523.206937641813</v>
      </c>
      <c r="K13" s="5">
        <f>-IS!K16</f>
        <v>-14279.787981010139</v>
      </c>
    </row>
    <row r="14" spans="1:11" x14ac:dyDescent="0.3">
      <c r="A14" s="7" t="s">
        <v>74</v>
      </c>
      <c r="C14" s="89">
        <v>75.7</v>
      </c>
      <c r="D14" s="89">
        <v>306.75</v>
      </c>
      <c r="E14" s="89">
        <v>965.76</v>
      </c>
      <c r="F14" s="89">
        <v>469.07</v>
      </c>
      <c r="G14" s="5">
        <v>0</v>
      </c>
      <c r="H14" s="5">
        <v>0</v>
      </c>
      <c r="I14" s="5">
        <v>0</v>
      </c>
      <c r="J14" s="5">
        <v>0</v>
      </c>
      <c r="K14" s="5">
        <v>0</v>
      </c>
    </row>
    <row r="15" spans="1:11" x14ac:dyDescent="0.3">
      <c r="A15" s="7" t="s">
        <v>75</v>
      </c>
      <c r="C15" s="89">
        <v>0.69</v>
      </c>
      <c r="D15" s="89">
        <v>4.21</v>
      </c>
      <c r="E15" s="89">
        <v>725.81</v>
      </c>
      <c r="F15" s="89">
        <v>207.22</v>
      </c>
      <c r="G15" s="5">
        <v>0</v>
      </c>
      <c r="H15" s="5">
        <v>0</v>
      </c>
      <c r="I15" s="5">
        <v>0</v>
      </c>
      <c r="J15" s="5">
        <v>0</v>
      </c>
      <c r="K15" s="5">
        <v>0</v>
      </c>
    </row>
    <row r="16" spans="1:11" x14ac:dyDescent="0.3">
      <c r="A16" s="7" t="s">
        <v>76</v>
      </c>
      <c r="C16" s="89">
        <v>0</v>
      </c>
      <c r="D16" s="89">
        <v>0</v>
      </c>
      <c r="E16" s="89">
        <v>1.88</v>
      </c>
      <c r="F16" s="89">
        <v>0</v>
      </c>
      <c r="G16" s="5">
        <v>0</v>
      </c>
      <c r="H16" s="5">
        <v>0</v>
      </c>
      <c r="I16" s="5">
        <v>0</v>
      </c>
      <c r="J16" s="5">
        <v>0</v>
      </c>
      <c r="K16" s="5">
        <v>0</v>
      </c>
    </row>
    <row r="17" spans="1:11" x14ac:dyDescent="0.3">
      <c r="A17" s="7" t="s">
        <v>77</v>
      </c>
      <c r="C17" s="89">
        <v>0</v>
      </c>
      <c r="D17" s="89">
        <v>0</v>
      </c>
      <c r="E17" s="89">
        <v>0</v>
      </c>
      <c r="F17" s="89">
        <v>-1.93</v>
      </c>
      <c r="G17" s="5">
        <v>0</v>
      </c>
      <c r="H17" s="5">
        <v>0</v>
      </c>
      <c r="I17" s="5">
        <v>0</v>
      </c>
      <c r="J17" s="5">
        <v>0</v>
      </c>
      <c r="K17" s="5">
        <v>0</v>
      </c>
    </row>
    <row r="18" spans="1:11" x14ac:dyDescent="0.3">
      <c r="A18" s="7" t="s">
        <v>78</v>
      </c>
      <c r="C18" s="89">
        <v>-48.3</v>
      </c>
      <c r="D18" s="89">
        <v>-1439.27</v>
      </c>
      <c r="E18" s="89">
        <v>-2134.9899999999998</v>
      </c>
      <c r="F18" s="89">
        <v>-1305.82</v>
      </c>
      <c r="G18" s="5">
        <v>0</v>
      </c>
      <c r="H18" s="5">
        <v>0</v>
      </c>
      <c r="I18" s="5">
        <v>0</v>
      </c>
      <c r="J18" s="5">
        <v>0</v>
      </c>
      <c r="K18" s="5">
        <v>0</v>
      </c>
    </row>
    <row r="19" spans="1:11" x14ac:dyDescent="0.3">
      <c r="A19" s="7" t="s">
        <v>79</v>
      </c>
      <c r="C19" s="89">
        <v>-555.76</v>
      </c>
      <c r="D19" s="89">
        <v>-564.69000000000005</v>
      </c>
      <c r="E19" s="89">
        <v>505.31</v>
      </c>
      <c r="F19" s="89">
        <v>-90.34</v>
      </c>
      <c r="G19" s="5">
        <v>0</v>
      </c>
      <c r="H19" s="5">
        <v>0</v>
      </c>
      <c r="I19" s="5">
        <v>0</v>
      </c>
      <c r="J19" s="5">
        <v>0</v>
      </c>
      <c r="K19" s="5">
        <v>0</v>
      </c>
    </row>
    <row r="20" spans="1:11" x14ac:dyDescent="0.3">
      <c r="A20" s="7" t="s">
        <v>80</v>
      </c>
      <c r="C20" s="89">
        <v>-31.35</v>
      </c>
      <c r="D20" s="89">
        <v>-1.39</v>
      </c>
      <c r="E20" s="89">
        <v>0.26</v>
      </c>
      <c r="F20" s="89">
        <v>13.83</v>
      </c>
      <c r="G20" s="5">
        <v>0</v>
      </c>
      <c r="H20" s="5">
        <v>0</v>
      </c>
      <c r="I20" s="5">
        <v>0</v>
      </c>
      <c r="J20" s="5">
        <v>0</v>
      </c>
      <c r="K20" s="5">
        <v>0</v>
      </c>
    </row>
    <row r="21" spans="1:11" x14ac:dyDescent="0.3">
      <c r="A21" s="7" t="s">
        <v>81</v>
      </c>
      <c r="C21" s="89">
        <v>0</v>
      </c>
      <c r="D21" s="89">
        <v>0</v>
      </c>
      <c r="E21" s="89">
        <v>0</v>
      </c>
      <c r="F21" s="89">
        <v>-496.21</v>
      </c>
      <c r="G21" s="5">
        <v>0</v>
      </c>
      <c r="H21" s="5">
        <v>0</v>
      </c>
      <c r="I21" s="5">
        <v>0</v>
      </c>
      <c r="J21" s="5">
        <v>0</v>
      </c>
      <c r="K21" s="5">
        <v>0</v>
      </c>
    </row>
    <row r="22" spans="1:11" x14ac:dyDescent="0.3">
      <c r="A22" s="7" t="s">
        <v>109</v>
      </c>
      <c r="C22" s="89">
        <v>-695.29</v>
      </c>
      <c r="D22" s="89">
        <v>0</v>
      </c>
      <c r="E22" s="89">
        <v>0</v>
      </c>
      <c r="F22" s="89">
        <v>0</v>
      </c>
      <c r="G22" s="5">
        <v>0</v>
      </c>
      <c r="H22" s="5">
        <v>0</v>
      </c>
      <c r="I22" s="5">
        <v>0</v>
      </c>
      <c r="J22" s="5">
        <v>0</v>
      </c>
      <c r="K22" s="5">
        <v>0</v>
      </c>
    </row>
    <row r="23" spans="1:11" x14ac:dyDescent="0.3">
      <c r="A23" s="13" t="s">
        <v>82</v>
      </c>
      <c r="B23" s="13"/>
      <c r="C23" s="90">
        <f>SUM(C6,C8:C22)</f>
        <v>19049.820000000003</v>
      </c>
      <c r="D23" s="90">
        <f>SUM(D6,D8:D22)</f>
        <v>20491.610000000004</v>
      </c>
      <c r="E23" s="90">
        <f t="shared" ref="E23:K23" si="0">SUM(E6,E8:E22)</f>
        <v>23081.78</v>
      </c>
      <c r="F23" s="90">
        <f t="shared" si="0"/>
        <v>27780.510000000006</v>
      </c>
      <c r="G23" s="92">
        <f t="shared" si="0"/>
        <v>37074.691441785813</v>
      </c>
      <c r="H23" s="92">
        <f t="shared" si="0"/>
        <v>41374.524823414889</v>
      </c>
      <c r="I23" s="92">
        <f t="shared" si="0"/>
        <v>49722.837565451075</v>
      </c>
      <c r="J23" s="92">
        <f t="shared" si="0"/>
        <v>60269.053558821666</v>
      </c>
      <c r="K23" s="92">
        <f t="shared" si="0"/>
        <v>67412.135497119176</v>
      </c>
    </row>
    <row r="24" spans="1:11" x14ac:dyDescent="0.3">
      <c r="A24" s="7" t="s">
        <v>83</v>
      </c>
      <c r="C24" s="89"/>
      <c r="D24" s="89"/>
      <c r="E24" s="89"/>
      <c r="F24" s="89"/>
    </row>
    <row r="25" spans="1:11" x14ac:dyDescent="0.3">
      <c r="A25" s="7" t="s">
        <v>414</v>
      </c>
      <c r="C25" s="89">
        <v>-4839.1499999999996</v>
      </c>
      <c r="D25" s="89">
        <v>-1488.68</v>
      </c>
      <c r="E25" s="89">
        <v>408.36</v>
      </c>
      <c r="F25" s="89">
        <v>676.86</v>
      </c>
      <c r="G25" s="5">
        <f>('Balance Sheet'!F24-'Balance Sheet'!G24)+('Balance Sheet'!F21-'Balance Sheet'!G21)+('Balance Sheet'!F17-'Balance Sheet'!G17)+('Balance Sheet'!F22-'Balance Sheet'!G22)</f>
        <v>0</v>
      </c>
      <c r="H25" s="5">
        <f>('Balance Sheet'!G24-'Balance Sheet'!H24)+('Balance Sheet'!G21-'Balance Sheet'!H21)+('Balance Sheet'!G17-'Balance Sheet'!H17)+('Balance Sheet'!G22-'Balance Sheet'!H22)</f>
        <v>0</v>
      </c>
      <c r="I25" s="5">
        <f>('Balance Sheet'!H24-'Balance Sheet'!I24)+('Balance Sheet'!H21-'Balance Sheet'!I21)+('Balance Sheet'!H17-'Balance Sheet'!I17)+('Balance Sheet'!H22-'Balance Sheet'!I22)</f>
        <v>0</v>
      </c>
      <c r="J25" s="5">
        <f>('Balance Sheet'!I24-'Balance Sheet'!J24)+('Balance Sheet'!I21-'Balance Sheet'!J21)+('Balance Sheet'!I17-'Balance Sheet'!J17)+('Balance Sheet'!I22-'Balance Sheet'!J22)</f>
        <v>0</v>
      </c>
      <c r="K25" s="5">
        <f>('Balance Sheet'!J24-'Balance Sheet'!K24)+('Balance Sheet'!J21-'Balance Sheet'!K21)+('Balance Sheet'!J17-'Balance Sheet'!K17)+('Balance Sheet'!J22-'Balance Sheet'!K22)</f>
        <v>0</v>
      </c>
    </row>
    <row r="26" spans="1:11" x14ac:dyDescent="0.3">
      <c r="A26" s="7" t="s">
        <v>470</v>
      </c>
      <c r="C26" s="89">
        <v>5763.86</v>
      </c>
      <c r="D26" s="89">
        <v>7829.15</v>
      </c>
      <c r="E26" s="89">
        <v>-3670.29</v>
      </c>
      <c r="F26" s="89">
        <v>7635.82</v>
      </c>
      <c r="G26" s="5">
        <f>('Balance Sheet'!G48-'Balance Sheet'!F48)+('Balance Sheet'!G49-'Balance Sheet'!F49)+('Balance Sheet'!G50-'Balance Sheet'!F50)</f>
        <v>0</v>
      </c>
      <c r="H26" s="5">
        <f>('Balance Sheet'!H48-'Balance Sheet'!G48)+('Balance Sheet'!H49-'Balance Sheet'!G49)+('Balance Sheet'!H50-'Balance Sheet'!G50)</f>
        <v>0</v>
      </c>
      <c r="I26" s="5">
        <f>('Balance Sheet'!I48-'Balance Sheet'!H48)+('Balance Sheet'!I49-'Balance Sheet'!H49)+('Balance Sheet'!I50-'Balance Sheet'!H50)</f>
        <v>0</v>
      </c>
      <c r="J26" s="5">
        <f>('Balance Sheet'!J48-'Balance Sheet'!I48)+('Balance Sheet'!J49-'Balance Sheet'!I49)+('Balance Sheet'!J50-'Balance Sheet'!I50)</f>
        <v>0</v>
      </c>
      <c r="K26" s="5">
        <f>('Balance Sheet'!K48-'Balance Sheet'!J48)+('Balance Sheet'!K49-'Balance Sheet'!J49)+('Balance Sheet'!K50-'Balance Sheet'!J50)</f>
        <v>0</v>
      </c>
    </row>
    <row r="27" spans="1:11" x14ac:dyDescent="0.3">
      <c r="A27" s="7" t="s">
        <v>84</v>
      </c>
      <c r="C27" s="89">
        <v>821.99</v>
      </c>
      <c r="D27" s="89">
        <v>519.73</v>
      </c>
      <c r="E27" s="89">
        <v>501.85</v>
      </c>
      <c r="F27" s="89">
        <v>3392.77</v>
      </c>
      <c r="G27" s="5">
        <f>'Balance Sheet'!G47-'Balance Sheet'!F47</f>
        <v>-316.76269213267551</v>
      </c>
      <c r="H27" s="5">
        <f>'Balance Sheet'!H47-'Balance Sheet'!G47</f>
        <v>2606.9461927781977</v>
      </c>
      <c r="I27" s="5">
        <f>'Balance Sheet'!I47-'Balance Sheet'!H47</f>
        <v>557.37971182687397</v>
      </c>
      <c r="J27" s="5">
        <f>'Balance Sheet'!J47-'Balance Sheet'!I47</f>
        <v>871.63757906546016</v>
      </c>
      <c r="K27" s="5">
        <f>'Balance Sheet'!K47-'Balance Sheet'!J47</f>
        <v>1962.1602343561426</v>
      </c>
    </row>
    <row r="28" spans="1:11" x14ac:dyDescent="0.3">
      <c r="A28" s="7" t="s">
        <v>85</v>
      </c>
      <c r="C28" s="89">
        <v>-2002.44</v>
      </c>
      <c r="D28" s="89">
        <v>-5002.72</v>
      </c>
      <c r="E28" s="89">
        <v>403.99</v>
      </c>
      <c r="F28" s="89">
        <v>1792.59</v>
      </c>
      <c r="G28" s="5">
        <f>'Balance Sheet'!F18-'Balance Sheet'!G18</f>
        <v>-6477.3730246575342</v>
      </c>
      <c r="H28" s="5">
        <f>'Balance Sheet'!G18-'Balance Sheet'!H18</f>
        <v>-2352.810287342465</v>
      </c>
      <c r="I28" s="5">
        <f>'Balance Sheet'!H18-'Balance Sheet'!I18</f>
        <v>-3121.0992862421845</v>
      </c>
      <c r="J28" s="5">
        <f>'Balance Sheet'!I18-'Balance Sheet'!J18</f>
        <v>-3969.3727777401873</v>
      </c>
      <c r="K28" s="5">
        <f>'Balance Sheet'!J18-'Balance Sheet'!K18</f>
        <v>-4937.8157302790896</v>
      </c>
    </row>
    <row r="29" spans="1:11" x14ac:dyDescent="0.3">
      <c r="A29" s="7" t="s">
        <v>86</v>
      </c>
      <c r="C29" s="89">
        <v>-3624.52</v>
      </c>
      <c r="D29" s="89">
        <v>-6325.53</v>
      </c>
      <c r="E29" s="89">
        <v>-6261.13</v>
      </c>
      <c r="F29" s="89">
        <v>-95.65</v>
      </c>
      <c r="G29" s="5">
        <f>'Balance Sheet'!F16-'Balance Sheet'!G16</f>
        <v>8961.7659616438359</v>
      </c>
      <c r="H29" s="5">
        <f>'Balance Sheet'!G16-'Balance Sheet'!H16</f>
        <v>-2019.4357887123297</v>
      </c>
      <c r="I29" s="5">
        <f>'Balance Sheet'!H16-'Balance Sheet'!I16</f>
        <v>-2684.9685278860234</v>
      </c>
      <c r="J29" s="5">
        <f>'Balance Sheet'!I16-'Balance Sheet'!J16</f>
        <v>-3420.3473291922419</v>
      </c>
      <c r="K29" s="5">
        <f>'Balance Sheet'!J16-'Balance Sheet'!K16</f>
        <v>-4263.7088956544285</v>
      </c>
    </row>
    <row r="30" spans="1:11" x14ac:dyDescent="0.3">
      <c r="A30" s="7" t="s">
        <v>87</v>
      </c>
      <c r="C30" s="89">
        <v>-5716.68</v>
      </c>
      <c r="D30" s="89">
        <v>-6680.53</v>
      </c>
      <c r="E30" s="89">
        <v>-5140.0200000000004</v>
      </c>
      <c r="F30" s="89">
        <v>-8063.34</v>
      </c>
      <c r="G30" s="5">
        <f>-IS!G18</f>
        <v>-8804.0365395498102</v>
      </c>
      <c r="H30" s="5">
        <f>-IS!H18</f>
        <v>-9420.4782204611111</v>
      </c>
      <c r="I30" s="5">
        <f>-IS!I18</f>
        <v>-11201.097122794998</v>
      </c>
      <c r="J30" s="5">
        <f>-IS!J18</f>
        <v>-14599.07985779218</v>
      </c>
      <c r="K30" s="5">
        <f>-IS!K18</f>
        <v>-17205.368244908077</v>
      </c>
    </row>
    <row r="31" spans="1:11" s="1" customFormat="1" x14ac:dyDescent="0.3">
      <c r="A31" s="17" t="s">
        <v>88</v>
      </c>
      <c r="B31" s="17"/>
      <c r="C31" s="91">
        <v>9442.52</v>
      </c>
      <c r="D31" s="91">
        <f>SUM(D23,D25:D30)</f>
        <v>9343.0300000000025</v>
      </c>
      <c r="E31" s="91">
        <f t="shared" ref="E31:K31" si="1">SUM(E23,E25:E30)</f>
        <v>9324.5399999999972</v>
      </c>
      <c r="F31" s="91">
        <f t="shared" si="1"/>
        <v>33119.56</v>
      </c>
      <c r="G31" s="93">
        <f t="shared" si="1"/>
        <v>30438.285147089628</v>
      </c>
      <c r="H31" s="93">
        <f t="shared" si="1"/>
        <v>30188.746719677176</v>
      </c>
      <c r="I31" s="93">
        <f t="shared" si="1"/>
        <v>33273.052340354734</v>
      </c>
      <c r="J31" s="93">
        <f t="shared" si="1"/>
        <v>39151.891173162519</v>
      </c>
      <c r="K31" s="93">
        <f t="shared" si="1"/>
        <v>42967.402860633709</v>
      </c>
    </row>
    <row r="32" spans="1:11" x14ac:dyDescent="0.3">
      <c r="C32" s="89"/>
      <c r="D32" s="89"/>
      <c r="E32" s="89"/>
      <c r="F32" s="89"/>
    </row>
    <row r="33" spans="1:11" x14ac:dyDescent="0.3">
      <c r="A33" s="6" t="s">
        <v>89</v>
      </c>
      <c r="C33" s="89"/>
      <c r="D33" s="89"/>
      <c r="E33" s="89"/>
      <c r="F33" s="89"/>
    </row>
    <row r="34" spans="1:11" x14ac:dyDescent="0.3">
      <c r="A34" s="7" t="s">
        <v>90</v>
      </c>
      <c r="C34" s="89">
        <v>-7271.33</v>
      </c>
      <c r="D34" s="89">
        <v>-10314.49</v>
      </c>
      <c r="E34" s="89">
        <v>-9227.49</v>
      </c>
      <c r="F34" s="89">
        <v>-16166.33</v>
      </c>
      <c r="G34" s="5">
        <f>-'Capex Schedule '!G334</f>
        <v>-28452.179438503936</v>
      </c>
      <c r="H34" s="5">
        <f>-'Capex Schedule '!H334</f>
        <v>-28400.991292607388</v>
      </c>
      <c r="I34" s="5">
        <f>-'Capex Schedule '!I334</f>
        <v>-28293.097227169368</v>
      </c>
      <c r="J34" s="5">
        <f>-'Capex Schedule '!J334</f>
        <v>-8126.0610678894082</v>
      </c>
      <c r="K34" s="5">
        <f>-'Capex Schedule '!K334</f>
        <v>-8724.6694202361232</v>
      </c>
    </row>
    <row r="35" spans="1:11" x14ac:dyDescent="0.3">
      <c r="A35" s="7" t="s">
        <v>91</v>
      </c>
      <c r="C35" s="89">
        <v>0</v>
      </c>
      <c r="D35" s="89">
        <v>0</v>
      </c>
      <c r="E35" s="89">
        <v>0</v>
      </c>
      <c r="F35" s="89">
        <v>10.73</v>
      </c>
      <c r="G35" s="5">
        <v>0</v>
      </c>
      <c r="H35" s="5">
        <v>0</v>
      </c>
      <c r="I35" s="5">
        <v>0</v>
      </c>
      <c r="J35" s="5">
        <v>0</v>
      </c>
      <c r="K35" s="5">
        <v>0</v>
      </c>
    </row>
    <row r="36" spans="1:11" x14ac:dyDescent="0.3">
      <c r="A36" s="7" t="s">
        <v>92</v>
      </c>
      <c r="C36" s="89">
        <v>0</v>
      </c>
      <c r="D36" s="89">
        <v>0</v>
      </c>
      <c r="E36" s="89">
        <v>-16618.919999999998</v>
      </c>
      <c r="F36" s="89">
        <v>-12747.12</v>
      </c>
      <c r="G36" s="5">
        <v>0</v>
      </c>
      <c r="H36" s="5">
        <v>0</v>
      </c>
      <c r="I36" s="5">
        <v>0</v>
      </c>
      <c r="J36" s="5">
        <v>0</v>
      </c>
      <c r="K36" s="5">
        <v>0</v>
      </c>
    </row>
    <row r="37" spans="1:11" x14ac:dyDescent="0.3">
      <c r="A37" s="7" t="s">
        <v>93</v>
      </c>
      <c r="C37" s="89">
        <v>677.98</v>
      </c>
      <c r="D37" s="89">
        <v>1390.25</v>
      </c>
      <c r="E37" s="89">
        <v>5680.4</v>
      </c>
      <c r="F37" s="89">
        <v>4341.3100000000004</v>
      </c>
      <c r="G37" s="5">
        <f>IS!G16</f>
        <v>4982.56396821004</v>
      </c>
      <c r="H37" s="5">
        <f>IS!H16</f>
        <v>5813.4196901817204</v>
      </c>
      <c r="I37" s="5">
        <f>IS!I16</f>
        <v>7185.4836393517489</v>
      </c>
      <c r="J37" s="5">
        <f>IS!J16</f>
        <v>10523.206937641813</v>
      </c>
      <c r="K37" s="5">
        <f>IS!K16</f>
        <v>14279.787981010139</v>
      </c>
    </row>
    <row r="38" spans="1:11" x14ac:dyDescent="0.3">
      <c r="A38" s="7" t="s">
        <v>94</v>
      </c>
      <c r="C38" s="89">
        <v>-61310.45</v>
      </c>
      <c r="D38" s="89">
        <v>-39013.58</v>
      </c>
      <c r="E38" s="89">
        <v>-22529.33</v>
      </c>
      <c r="F38" s="89">
        <v>-31894.9</v>
      </c>
      <c r="G38" s="5">
        <v>0</v>
      </c>
      <c r="H38" s="5">
        <v>0</v>
      </c>
      <c r="I38" s="5">
        <v>0</v>
      </c>
      <c r="J38" s="5">
        <v>0</v>
      </c>
      <c r="K38" s="5">
        <v>0</v>
      </c>
    </row>
    <row r="39" spans="1:11" x14ac:dyDescent="0.3">
      <c r="A39" s="7" t="s">
        <v>95</v>
      </c>
      <c r="C39" s="89">
        <v>-7175.29</v>
      </c>
      <c r="D39" s="89">
        <v>-37092.89</v>
      </c>
      <c r="E39" s="89">
        <v>7605.28</v>
      </c>
      <c r="F39" s="89">
        <v>453.41</v>
      </c>
      <c r="G39" s="5">
        <v>0</v>
      </c>
      <c r="H39" s="5">
        <v>0</v>
      </c>
      <c r="I39" s="5">
        <v>0</v>
      </c>
      <c r="J39" s="5">
        <v>0</v>
      </c>
      <c r="K39" s="5">
        <v>0</v>
      </c>
    </row>
    <row r="40" spans="1:11" x14ac:dyDescent="0.3">
      <c r="A40" s="7" t="s">
        <v>96</v>
      </c>
      <c r="C40" s="89">
        <v>11354.53</v>
      </c>
      <c r="D40" s="89">
        <v>70216.460000000006</v>
      </c>
      <c r="E40" s="89">
        <v>36749.480000000003</v>
      </c>
      <c r="F40" s="89">
        <v>33942.699999999997</v>
      </c>
      <c r="G40" s="5">
        <v>0</v>
      </c>
      <c r="H40" s="5">
        <v>0</v>
      </c>
      <c r="I40" s="5">
        <v>0</v>
      </c>
      <c r="J40" s="5">
        <v>0</v>
      </c>
      <c r="K40" s="5">
        <v>0</v>
      </c>
    </row>
    <row r="41" spans="1:11" s="1" customFormat="1" x14ac:dyDescent="0.3">
      <c r="A41" s="17" t="s">
        <v>97</v>
      </c>
      <c r="B41" s="17"/>
      <c r="C41" s="91">
        <v>-63029.27</v>
      </c>
      <c r="D41" s="91">
        <f>SUM(D34:D40)</f>
        <v>-14814.249999999985</v>
      </c>
      <c r="E41" s="91">
        <f t="shared" ref="E41:K41" si="2">SUM(E34:E40)</f>
        <v>1659.4200000000055</v>
      </c>
      <c r="F41" s="91">
        <f t="shared" si="2"/>
        <v>-22060.199999999997</v>
      </c>
      <c r="G41" s="93">
        <f t="shared" si="2"/>
        <v>-23469.615470293895</v>
      </c>
      <c r="H41" s="93">
        <f t="shared" si="2"/>
        <v>-22587.571602425669</v>
      </c>
      <c r="I41" s="93">
        <f t="shared" si="2"/>
        <v>-21107.613587817621</v>
      </c>
      <c r="J41" s="93">
        <f t="shared" si="2"/>
        <v>2397.1458697524049</v>
      </c>
      <c r="K41" s="93">
        <f t="shared" si="2"/>
        <v>5555.1185607740154</v>
      </c>
    </row>
    <row r="42" spans="1:11" x14ac:dyDescent="0.3">
      <c r="C42" s="89"/>
      <c r="D42" s="89"/>
      <c r="E42" s="89"/>
      <c r="F42" s="89"/>
    </row>
    <row r="43" spans="1:11" x14ac:dyDescent="0.3">
      <c r="A43" s="6" t="s">
        <v>98</v>
      </c>
      <c r="C43" s="89"/>
      <c r="D43" s="89"/>
      <c r="E43" s="89"/>
      <c r="F43" s="89"/>
    </row>
    <row r="44" spans="1:11" x14ac:dyDescent="0.3">
      <c r="A44" s="7" t="s">
        <v>111</v>
      </c>
      <c r="C44" s="89">
        <v>185.29</v>
      </c>
      <c r="D44" s="89">
        <v>0</v>
      </c>
      <c r="E44" s="89">
        <v>0</v>
      </c>
      <c r="F44" s="89">
        <v>0</v>
      </c>
      <c r="G44" s="5">
        <v>0</v>
      </c>
      <c r="H44" s="5">
        <v>0</v>
      </c>
      <c r="I44" s="5">
        <v>0</v>
      </c>
      <c r="J44" s="5">
        <v>0</v>
      </c>
      <c r="K44" s="5">
        <v>0</v>
      </c>
    </row>
    <row r="45" spans="1:11" x14ac:dyDescent="0.3">
      <c r="A45" s="7" t="s">
        <v>112</v>
      </c>
      <c r="C45" s="89">
        <v>73135.210000000006</v>
      </c>
      <c r="D45" s="89">
        <v>0</v>
      </c>
      <c r="E45" s="89">
        <v>0</v>
      </c>
      <c r="F45" s="89">
        <v>0</v>
      </c>
      <c r="G45" s="5">
        <v>0</v>
      </c>
      <c r="H45" s="5">
        <v>0</v>
      </c>
      <c r="I45" s="5">
        <v>0</v>
      </c>
      <c r="J45" s="5">
        <v>0</v>
      </c>
      <c r="K45" s="5">
        <v>0</v>
      </c>
    </row>
    <row r="46" spans="1:11" x14ac:dyDescent="0.3">
      <c r="A46" s="7" t="s">
        <v>99</v>
      </c>
      <c r="C46" s="89">
        <v>0</v>
      </c>
      <c r="D46" s="89">
        <v>0</v>
      </c>
      <c r="E46" s="89">
        <v>0</v>
      </c>
      <c r="F46" s="89">
        <v>-165.02</v>
      </c>
      <c r="G46" s="5">
        <v>0</v>
      </c>
      <c r="H46" s="5">
        <v>0</v>
      </c>
      <c r="I46" s="5">
        <v>0</v>
      </c>
      <c r="J46" s="5">
        <v>0</v>
      </c>
      <c r="K46" s="5">
        <v>0</v>
      </c>
    </row>
    <row r="47" spans="1:11" x14ac:dyDescent="0.3">
      <c r="A47" s="7" t="s">
        <v>100</v>
      </c>
      <c r="C47" s="89">
        <v>0</v>
      </c>
      <c r="D47" s="89">
        <v>0</v>
      </c>
      <c r="E47" s="89">
        <v>-140.06</v>
      </c>
      <c r="F47" s="89">
        <v>0</v>
      </c>
      <c r="G47" s="5">
        <v>0</v>
      </c>
      <c r="H47" s="5">
        <v>0</v>
      </c>
      <c r="I47" s="5">
        <v>0</v>
      </c>
      <c r="J47" s="5">
        <v>0</v>
      </c>
      <c r="K47" s="5">
        <v>0</v>
      </c>
    </row>
    <row r="48" spans="1:11" x14ac:dyDescent="0.3">
      <c r="A48" s="7" t="s">
        <v>101</v>
      </c>
      <c r="C48" s="89">
        <v>332.96</v>
      </c>
      <c r="D48" s="89">
        <v>-1607.75</v>
      </c>
      <c r="E48" s="89">
        <v>-219.4</v>
      </c>
      <c r="F48" s="89">
        <v>-790.04</v>
      </c>
      <c r="G48" s="5">
        <v>0</v>
      </c>
      <c r="H48" s="5">
        <v>0</v>
      </c>
      <c r="I48" s="5">
        <v>0</v>
      </c>
      <c r="J48" s="5">
        <v>0</v>
      </c>
      <c r="K48" s="5">
        <v>0</v>
      </c>
    </row>
    <row r="49" spans="1:11" x14ac:dyDescent="0.3">
      <c r="A49" s="7" t="s">
        <v>102</v>
      </c>
      <c r="C49" s="89">
        <v>-41.85</v>
      </c>
      <c r="D49" s="89">
        <v>-59.06</v>
      </c>
      <c r="E49" s="89">
        <v>-111.14</v>
      </c>
      <c r="F49" s="89">
        <v>-81.3</v>
      </c>
      <c r="G49" s="5">
        <f>-'Lease Schedule '!G25</f>
        <v>-80.949103856856496</v>
      </c>
      <c r="H49" s="5">
        <f>-'Lease Schedule '!H25</f>
        <v>-56.728074008301242</v>
      </c>
      <c r="I49" s="5">
        <f>-'Lease Schedule '!I25</f>
        <v>-39.754292850256526</v>
      </c>
      <c r="J49" s="5">
        <f>-'Lease Schedule '!J25</f>
        <v>-27.859288855685286</v>
      </c>
      <c r="K49" s="5">
        <f>-'Lease Schedule '!K25</f>
        <v>-19.523425519553726</v>
      </c>
    </row>
    <row r="50" spans="1:11" x14ac:dyDescent="0.3">
      <c r="A50" s="7" t="s">
        <v>103</v>
      </c>
      <c r="C50" s="89">
        <v>-11.19</v>
      </c>
      <c r="D50" s="89">
        <v>-10.36</v>
      </c>
      <c r="E50" s="89">
        <v>-4.4800000000000004</v>
      </c>
      <c r="F50" s="89">
        <v>-71.92</v>
      </c>
      <c r="G50" s="5">
        <v>0</v>
      </c>
      <c r="H50" s="5">
        <v>0</v>
      </c>
      <c r="I50" s="5">
        <v>0</v>
      </c>
      <c r="J50" s="5">
        <v>0</v>
      </c>
      <c r="K50" s="5">
        <v>0</v>
      </c>
    </row>
    <row r="51" spans="1:11" x14ac:dyDescent="0.3">
      <c r="A51" s="7" t="s">
        <v>104</v>
      </c>
      <c r="C51" s="89">
        <v>-94.63</v>
      </c>
      <c r="D51" s="89">
        <v>-62.22</v>
      </c>
      <c r="E51" s="89">
        <v>-298.92</v>
      </c>
      <c r="F51" s="89">
        <v>-88.23</v>
      </c>
      <c r="G51" s="5">
        <f>-IS!G14</f>
        <v>-153.11295999999999</v>
      </c>
      <c r="H51" s="5">
        <f>-IS!H14</f>
        <v>-144.20855857574577</v>
      </c>
      <c r="I51" s="5">
        <f>-IS!I14</f>
        <v>-137.96847043483265</v>
      </c>
      <c r="J51" s="5">
        <f>-IS!J14</f>
        <v>-133.59549822130441</v>
      </c>
      <c r="K51" s="5">
        <f>-IS!K14</f>
        <v>-130.53097644717903</v>
      </c>
    </row>
    <row r="52" spans="1:11" x14ac:dyDescent="0.3">
      <c r="A52" s="7" t="s">
        <v>215</v>
      </c>
      <c r="C52" s="89">
        <v>-5784.28</v>
      </c>
      <c r="D52" s="89">
        <v>-5784.28</v>
      </c>
      <c r="E52" s="89">
        <v>-7712.38</v>
      </c>
      <c r="F52" s="89">
        <v>-8676.43</v>
      </c>
      <c r="G52" s="5">
        <f>-IS!G20</f>
        <v>0</v>
      </c>
      <c r="H52" s="5">
        <f>-IS!H20</f>
        <v>0</v>
      </c>
      <c r="I52" s="5">
        <f>-IS!I20</f>
        <v>-12041.028169496918</v>
      </c>
      <c r="J52" s="5">
        <f>-IS!J20</f>
        <v>-15693.813729966707</v>
      </c>
      <c r="K52" s="5">
        <f>-IS!K20</f>
        <v>-18495.538555942003</v>
      </c>
    </row>
    <row r="53" spans="1:11" s="1" customFormat="1" x14ac:dyDescent="0.3">
      <c r="A53" s="17" t="s">
        <v>105</v>
      </c>
      <c r="B53" s="17"/>
      <c r="C53" s="91">
        <f>SUM(C44:C52)</f>
        <v>67721.509999999995</v>
      </c>
      <c r="D53" s="91">
        <f t="shared" ref="D53:K53" si="3">SUM(D44:D52)</f>
        <v>-7523.67</v>
      </c>
      <c r="E53" s="91">
        <f t="shared" si="3"/>
        <v>-8486.380000000001</v>
      </c>
      <c r="F53" s="91">
        <f t="shared" si="3"/>
        <v>-9872.94</v>
      </c>
      <c r="G53" s="93">
        <f t="shared" si="3"/>
        <v>-234.06206385685647</v>
      </c>
      <c r="H53" s="93">
        <f t="shared" si="3"/>
        <v>-200.936632584047</v>
      </c>
      <c r="I53" s="93">
        <f t="shared" si="3"/>
        <v>-12218.750932782008</v>
      </c>
      <c r="J53" s="93">
        <f t="shared" si="3"/>
        <v>-15855.268517043696</v>
      </c>
      <c r="K53" s="93">
        <f t="shared" si="3"/>
        <v>-18645.592957908735</v>
      </c>
    </row>
    <row r="55" spans="1:11" x14ac:dyDescent="0.3">
      <c r="A55" s="7" t="s">
        <v>106</v>
      </c>
      <c r="C55" s="89">
        <f>C53+C41+C31</f>
        <v>14134.759999999998</v>
      </c>
      <c r="D55" s="89">
        <f>D53+D41+D31</f>
        <v>-12994.889999999981</v>
      </c>
      <c r="E55" s="89">
        <f>E53+E41+E31</f>
        <v>2497.5800000000017</v>
      </c>
      <c r="F55" s="89">
        <f>F53+F41+F31</f>
        <v>1186.4199999999983</v>
      </c>
      <c r="G55" s="94">
        <f t="shared" ref="G55:K55" si="4">G53+G41+G31</f>
        <v>6734.6076129388748</v>
      </c>
      <c r="H55" s="94">
        <f t="shared" si="4"/>
        <v>7400.2384846674613</v>
      </c>
      <c r="I55" s="94">
        <f t="shared" si="4"/>
        <v>-53.312180244894989</v>
      </c>
      <c r="J55" s="94">
        <f t="shared" si="4"/>
        <v>25693.76852587123</v>
      </c>
      <c r="K55" s="94">
        <f t="shared" si="4"/>
        <v>29876.928463498989</v>
      </c>
    </row>
    <row r="56" spans="1:11" x14ac:dyDescent="0.3">
      <c r="A56" s="7" t="s">
        <v>471</v>
      </c>
      <c r="C56" s="89">
        <v>1113.49</v>
      </c>
      <c r="D56" s="89">
        <v>15272.6</v>
      </c>
      <c r="E56" s="89">
        <v>1670.33</v>
      </c>
      <c r="F56" s="89">
        <v>5691.91</v>
      </c>
      <c r="G56" s="5">
        <f>F60</f>
        <v>6939.0899999999983</v>
      </c>
      <c r="H56" s="5">
        <f>G60</f>
        <v>13673.697612938873</v>
      </c>
      <c r="I56" s="5">
        <f t="shared" ref="I56:K56" si="5">H60</f>
        <v>21073.936097606333</v>
      </c>
      <c r="J56" s="5">
        <f t="shared" si="5"/>
        <v>21020.623917361438</v>
      </c>
      <c r="K56" s="5">
        <f t="shared" si="5"/>
        <v>46714.392443232668</v>
      </c>
    </row>
    <row r="57" spans="1:11" x14ac:dyDescent="0.3">
      <c r="A57" s="7" t="s">
        <v>107</v>
      </c>
      <c r="C57" s="89">
        <v>0</v>
      </c>
      <c r="D57" s="89">
        <v>0</v>
      </c>
      <c r="E57" s="89">
        <v>1486.13</v>
      </c>
      <c r="F57" s="89">
        <v>0</v>
      </c>
      <c r="G57" s="5">
        <v>0</v>
      </c>
      <c r="H57" s="5">
        <v>0</v>
      </c>
      <c r="I57" s="5">
        <v>0</v>
      </c>
      <c r="J57" s="5">
        <v>0</v>
      </c>
      <c r="K57" s="5">
        <v>0</v>
      </c>
    </row>
    <row r="58" spans="1:11" x14ac:dyDescent="0.3">
      <c r="A58" s="7" t="s">
        <v>108</v>
      </c>
      <c r="C58" s="89">
        <v>24.35</v>
      </c>
      <c r="D58" s="89">
        <v>162.49</v>
      </c>
      <c r="E58" s="89">
        <v>37.869999999999997</v>
      </c>
      <c r="F58" s="89">
        <v>60.76</v>
      </c>
      <c r="G58" s="5">
        <v>0</v>
      </c>
      <c r="H58" s="5">
        <v>0</v>
      </c>
      <c r="I58" s="5">
        <v>0</v>
      </c>
      <c r="J58" s="5">
        <v>0</v>
      </c>
      <c r="K58" s="5">
        <v>0</v>
      </c>
    </row>
    <row r="59" spans="1:11" x14ac:dyDescent="0.3">
      <c r="A59" s="7" t="s">
        <v>472</v>
      </c>
      <c r="C59" s="89">
        <v>0</v>
      </c>
      <c r="D59" s="89">
        <v>-769.86</v>
      </c>
      <c r="E59" s="89">
        <v>0</v>
      </c>
      <c r="F59" s="89">
        <v>0</v>
      </c>
      <c r="G59" s="5">
        <v>0</v>
      </c>
      <c r="H59" s="5">
        <v>0</v>
      </c>
      <c r="I59" s="5">
        <v>0</v>
      </c>
      <c r="J59" s="5">
        <v>0</v>
      </c>
      <c r="K59" s="5">
        <v>0</v>
      </c>
    </row>
    <row r="60" spans="1:11" s="1" customFormat="1" x14ac:dyDescent="0.3">
      <c r="A60" s="17" t="s">
        <v>473</v>
      </c>
      <c r="B60" s="17"/>
      <c r="C60" s="35">
        <f t="shared" ref="C60:K60" si="6">SUM(C55:C59)</f>
        <v>15272.599999999999</v>
      </c>
      <c r="D60" s="35">
        <f t="shared" si="6"/>
        <v>1670.3400000000188</v>
      </c>
      <c r="E60" s="35">
        <f t="shared" si="6"/>
        <v>5691.9100000000017</v>
      </c>
      <c r="F60" s="35">
        <f t="shared" si="6"/>
        <v>6939.0899999999983</v>
      </c>
      <c r="G60" s="19">
        <f t="shared" si="6"/>
        <v>13673.697612938873</v>
      </c>
      <c r="H60" s="19">
        <f t="shared" si="6"/>
        <v>21073.936097606333</v>
      </c>
      <c r="I60" s="19">
        <f t="shared" si="6"/>
        <v>21020.623917361438</v>
      </c>
      <c r="J60" s="19">
        <f t="shared" si="6"/>
        <v>46714.392443232668</v>
      </c>
      <c r="K60" s="19">
        <f t="shared" si="6"/>
        <v>76591.320906731649</v>
      </c>
    </row>
  </sheetData>
  <hyperlinks>
    <hyperlink ref="A1" location="'Navigation Pane'!B4" display="Cash Flow Statement" xr:uid="{96A60B81-D8C2-4179-A792-AE0917779393}"/>
  </hyperlink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3667-CC97-4CDE-9DE3-B4B83C475296}">
  <dimension ref="A1:K88"/>
  <sheetViews>
    <sheetView showGridLines="0" workbookViewId="0">
      <pane xSplit="2" ySplit="3" topLeftCell="C4" activePane="bottomRight" state="frozen"/>
      <selection pane="topRight" activeCell="C1" sqref="C1"/>
      <selection pane="bottomLeft" activeCell="A4" sqref="A4"/>
      <selection pane="bottomRight"/>
    </sheetView>
  </sheetViews>
  <sheetFormatPr defaultRowHeight="14.4" x14ac:dyDescent="0.3"/>
  <cols>
    <col min="1" max="1" width="45.21875" style="7" bestFit="1" customWidth="1"/>
    <col min="2" max="2" width="10.109375" style="7" bestFit="1" customWidth="1"/>
    <col min="3" max="3" width="11" style="4" bestFit="1" customWidth="1"/>
    <col min="4" max="5" width="12.109375" style="4" bestFit="1" customWidth="1"/>
    <col min="6" max="6" width="11.109375" style="4" bestFit="1" customWidth="1"/>
    <col min="7" max="11" width="11" style="5" bestFit="1" customWidth="1"/>
  </cols>
  <sheetData>
    <row r="1" spans="1:11" s="1" customFormat="1" ht="18" x14ac:dyDescent="0.3">
      <c r="A1" s="77" t="s">
        <v>216</v>
      </c>
      <c r="B1" s="6"/>
      <c r="G1" s="9"/>
      <c r="H1" s="9"/>
      <c r="I1" s="9"/>
      <c r="J1" s="9"/>
      <c r="K1" s="9"/>
    </row>
    <row r="2" spans="1:11" x14ac:dyDescent="0.3">
      <c r="A2" s="7" t="s">
        <v>1</v>
      </c>
      <c r="C2"/>
      <c r="D2"/>
      <c r="E2"/>
      <c r="F2"/>
      <c r="G2" s="33"/>
      <c r="H2" s="33"/>
      <c r="I2" s="33"/>
      <c r="J2" s="33"/>
      <c r="K2" s="33"/>
    </row>
    <row r="3" spans="1:11" s="1" customFormat="1" x14ac:dyDescent="0.3">
      <c r="A3" s="6" t="s">
        <v>2</v>
      </c>
      <c r="B3" s="6" t="s">
        <v>3</v>
      </c>
      <c r="C3" s="8" t="s">
        <v>4</v>
      </c>
      <c r="D3" s="8" t="s">
        <v>5</v>
      </c>
      <c r="E3" s="8" t="s">
        <v>6</v>
      </c>
      <c r="F3" s="8" t="s">
        <v>7</v>
      </c>
      <c r="G3" s="9" t="s">
        <v>8</v>
      </c>
      <c r="H3" s="9" t="s">
        <v>9</v>
      </c>
      <c r="I3" s="9" t="s">
        <v>10</v>
      </c>
      <c r="J3" s="9" t="s">
        <v>11</v>
      </c>
      <c r="K3" s="9" t="s">
        <v>12</v>
      </c>
    </row>
    <row r="4" spans="1:11" s="1" customFormat="1" x14ac:dyDescent="0.3">
      <c r="A4" s="6"/>
      <c r="B4" s="6"/>
      <c r="C4" s="8"/>
      <c r="D4" s="8"/>
      <c r="E4" s="8"/>
      <c r="F4" s="8"/>
      <c r="G4" s="9"/>
      <c r="H4" s="9"/>
      <c r="I4" s="9"/>
      <c r="J4" s="9"/>
      <c r="K4" s="9"/>
    </row>
    <row r="5" spans="1:11" s="16" customFormat="1" x14ac:dyDescent="0.3">
      <c r="A5" s="17" t="str">
        <f>IS!A4</f>
        <v>Revenue from operations</v>
      </c>
      <c r="B5" s="17"/>
      <c r="C5" s="18">
        <f>IS!C4</f>
        <v>58062.76</v>
      </c>
      <c r="D5" s="18">
        <f>IS!D4</f>
        <v>73662.12</v>
      </c>
      <c r="E5" s="18">
        <f>IS!E4</f>
        <v>80300.399999999994</v>
      </c>
      <c r="F5" s="18">
        <f>IS!F4</f>
        <v>117135.76</v>
      </c>
      <c r="G5" s="19">
        <f>SUM(G8:G14)</f>
        <v>126526.53839999999</v>
      </c>
      <c r="H5" s="19">
        <f t="shared" ref="H5:K5" si="0">SUM(H8:H14)</f>
        <v>140839.46764799999</v>
      </c>
      <c r="I5" s="19">
        <f t="shared" si="0"/>
        <v>159826.15497263995</v>
      </c>
      <c r="J5" s="19">
        <f t="shared" si="0"/>
        <v>183973.17270389275</v>
      </c>
      <c r="K5" s="19">
        <f t="shared" si="0"/>
        <v>214011.55172975719</v>
      </c>
    </row>
    <row r="7" spans="1:11" x14ac:dyDescent="0.3">
      <c r="A7" s="6" t="s">
        <v>390</v>
      </c>
    </row>
    <row r="8" spans="1:11" x14ac:dyDescent="0.3">
      <c r="A8" s="7" t="s">
        <v>474</v>
      </c>
      <c r="B8" s="7" t="s">
        <v>222</v>
      </c>
      <c r="C8" s="4">
        <v>10167.719999999999</v>
      </c>
      <c r="D8" s="4">
        <v>12760.93</v>
      </c>
      <c r="E8" s="4">
        <v>12962</v>
      </c>
      <c r="F8" s="4">
        <v>8154.52</v>
      </c>
      <c r="G8" s="5">
        <f>G18</f>
        <v>5218.8928000000014</v>
      </c>
      <c r="H8" s="5">
        <f t="shared" ref="H8:K8" si="1">H18</f>
        <v>3340.0913920000007</v>
      </c>
      <c r="I8" s="5">
        <f t="shared" si="1"/>
        <v>2137.6584908800005</v>
      </c>
      <c r="J8" s="5">
        <f t="shared" si="1"/>
        <v>1368.1014341632006</v>
      </c>
      <c r="K8" s="5">
        <f t="shared" si="1"/>
        <v>875.58491786444836</v>
      </c>
    </row>
    <row r="9" spans="1:11" x14ac:dyDescent="0.3">
      <c r="A9" s="7" t="s">
        <v>217</v>
      </c>
    </row>
    <row r="10" spans="1:11" x14ac:dyDescent="0.3">
      <c r="A10" s="7" t="s">
        <v>218</v>
      </c>
      <c r="C10" s="4">
        <v>36328.85</v>
      </c>
      <c r="D10" s="4">
        <v>42122.5</v>
      </c>
      <c r="E10" s="4">
        <v>47828.58</v>
      </c>
      <c r="F10" s="4">
        <v>53860.92</v>
      </c>
      <c r="G10" s="5">
        <f>G26</f>
        <v>64308.399596571428</v>
      </c>
      <c r="H10" s="5">
        <f>H26</f>
        <v>79353.293436000007</v>
      </c>
      <c r="I10" s="5">
        <f>I26</f>
        <v>91176.806276751086</v>
      </c>
      <c r="J10" s="5">
        <f>J26</f>
        <v>103721.92316308267</v>
      </c>
      <c r="K10" s="5">
        <f>K26</f>
        <v>118674.5347501573</v>
      </c>
    </row>
    <row r="11" spans="1:11" x14ac:dyDescent="0.3">
      <c r="A11" s="7" t="s">
        <v>143</v>
      </c>
      <c r="C11" s="4">
        <v>0</v>
      </c>
      <c r="D11" s="4">
        <v>0</v>
      </c>
      <c r="E11" s="4">
        <v>2075.8200000000002</v>
      </c>
      <c r="F11" s="4">
        <v>6931.24</v>
      </c>
      <c r="G11" s="5">
        <f>G77</f>
        <v>9250.1140034285636</v>
      </c>
      <c r="H11" s="5">
        <f>H77</f>
        <v>9652.5080199999793</v>
      </c>
      <c r="I11" s="5">
        <f>I77</f>
        <v>16520.213485008891</v>
      </c>
      <c r="J11" s="5">
        <f>J77</f>
        <v>26591.470748646898</v>
      </c>
      <c r="K11" s="5">
        <f>K77</f>
        <v>39004.67188303548</v>
      </c>
    </row>
    <row r="12" spans="1:11" x14ac:dyDescent="0.3">
      <c r="A12" s="7" t="s">
        <v>219</v>
      </c>
      <c r="B12" s="7" t="s">
        <v>223</v>
      </c>
      <c r="C12" s="4">
        <v>10239.129999999999</v>
      </c>
      <c r="D12" s="4">
        <v>10846.29</v>
      </c>
      <c r="E12" s="4">
        <v>11586.66</v>
      </c>
      <c r="F12" s="4">
        <v>19197.759999999998</v>
      </c>
      <c r="G12" s="5">
        <f>G82</f>
        <v>22077.423999999995</v>
      </c>
      <c r="H12" s="5">
        <f t="shared" ref="H12:K12" si="2">H82</f>
        <v>25389.037599999992</v>
      </c>
      <c r="I12" s="5">
        <f t="shared" si="2"/>
        <v>29197.39323999999</v>
      </c>
      <c r="J12" s="5">
        <f t="shared" si="2"/>
        <v>33577.00222599999</v>
      </c>
      <c r="K12" s="5">
        <f t="shared" si="2"/>
        <v>38613.552559899988</v>
      </c>
    </row>
    <row r="13" spans="1:11" x14ac:dyDescent="0.3">
      <c r="A13" s="7" t="s">
        <v>220</v>
      </c>
      <c r="C13" s="4">
        <v>0</v>
      </c>
      <c r="D13" s="4">
        <v>4895.66</v>
      </c>
      <c r="E13" s="4">
        <v>1344.17</v>
      </c>
      <c r="F13" s="4">
        <v>28524.12</v>
      </c>
      <c r="G13" s="5">
        <f>G85</f>
        <v>25671.707999999999</v>
      </c>
      <c r="H13" s="5">
        <f t="shared" ref="H13:K13" si="3">H85</f>
        <v>23104.537199999999</v>
      </c>
      <c r="I13" s="5">
        <f t="shared" si="3"/>
        <v>20794.083480000001</v>
      </c>
      <c r="J13" s="5">
        <f t="shared" si="3"/>
        <v>18714.675132</v>
      </c>
      <c r="K13" s="5">
        <f t="shared" si="3"/>
        <v>16843.207618799999</v>
      </c>
    </row>
    <row r="14" spans="1:11" x14ac:dyDescent="0.3">
      <c r="A14" s="7" t="s">
        <v>221</v>
      </c>
      <c r="B14" s="7" t="s">
        <v>224</v>
      </c>
      <c r="C14" s="4">
        <f>884.21+442.85</f>
        <v>1327.06</v>
      </c>
      <c r="D14" s="4">
        <v>3036.74</v>
      </c>
      <c r="E14" s="4">
        <v>4503.17</v>
      </c>
      <c r="F14" s="4">
        <v>467.2</v>
      </c>
      <c r="G14" s="5">
        <f>G88</f>
        <v>0</v>
      </c>
      <c r="H14" s="5">
        <f t="shared" ref="H14:K14" si="4">H88</f>
        <v>0</v>
      </c>
      <c r="I14" s="5">
        <f t="shared" si="4"/>
        <v>0</v>
      </c>
      <c r="J14" s="5">
        <f t="shared" si="4"/>
        <v>0</v>
      </c>
      <c r="K14" s="5">
        <f t="shared" si="4"/>
        <v>0</v>
      </c>
    </row>
    <row r="16" spans="1:11" x14ac:dyDescent="0.3">
      <c r="A16" s="17" t="s">
        <v>277</v>
      </c>
    </row>
    <row r="18" spans="1:11" s="1" customFormat="1" x14ac:dyDescent="0.3">
      <c r="A18" s="17" t="str">
        <f>A8</f>
        <v>Sale of product</v>
      </c>
      <c r="B18" s="17"/>
      <c r="C18" s="18">
        <f t="shared" ref="C18:F18" si="5">C8</f>
        <v>10167.719999999999</v>
      </c>
      <c r="D18" s="18">
        <f t="shared" si="5"/>
        <v>12760.93</v>
      </c>
      <c r="E18" s="18">
        <f t="shared" si="5"/>
        <v>12962</v>
      </c>
      <c r="F18" s="18">
        <f t="shared" si="5"/>
        <v>8154.52</v>
      </c>
      <c r="G18" s="19">
        <f>G19*G20</f>
        <v>5218.8928000000014</v>
      </c>
      <c r="H18" s="19">
        <f t="shared" ref="H18:K18" si="6">H19*H20</f>
        <v>3340.0913920000007</v>
      </c>
      <c r="I18" s="19">
        <f t="shared" si="6"/>
        <v>2137.6584908800005</v>
      </c>
      <c r="J18" s="19">
        <f t="shared" si="6"/>
        <v>1368.1014341632006</v>
      </c>
      <c r="K18" s="19">
        <f t="shared" si="6"/>
        <v>875.58491786444836</v>
      </c>
    </row>
    <row r="19" spans="1:11" x14ac:dyDescent="0.3">
      <c r="A19" s="7" t="s">
        <v>228</v>
      </c>
      <c r="C19" s="4">
        <v>4.01</v>
      </c>
      <c r="D19" s="4">
        <v>5.61</v>
      </c>
      <c r="E19" s="4">
        <v>6.86</v>
      </c>
      <c r="F19" s="4">
        <v>4.34</v>
      </c>
      <c r="G19" s="5">
        <f>F19*(1+G21)</f>
        <v>3.472</v>
      </c>
      <c r="H19" s="5">
        <f t="shared" ref="H19:K19" si="7">G19*(1+H21)</f>
        <v>2.7776000000000001</v>
      </c>
      <c r="I19" s="5">
        <f t="shared" si="7"/>
        <v>2.2220800000000001</v>
      </c>
      <c r="J19" s="5">
        <f t="shared" si="7"/>
        <v>1.7776640000000001</v>
      </c>
      <c r="K19" s="5">
        <f t="shared" si="7"/>
        <v>1.4221312000000002</v>
      </c>
    </row>
    <row r="20" spans="1:11" x14ac:dyDescent="0.3">
      <c r="A20" s="7" t="s">
        <v>229</v>
      </c>
      <c r="C20" s="4">
        <f>C8/C19</f>
        <v>2535.5910224438903</v>
      </c>
      <c r="D20" s="4">
        <f t="shared" ref="D20:F20" si="8">D8/D19</f>
        <v>2274.675579322638</v>
      </c>
      <c r="E20" s="4">
        <f t="shared" si="8"/>
        <v>1889.5043731778426</v>
      </c>
      <c r="F20" s="4">
        <f t="shared" si="8"/>
        <v>1878.9216589861753</v>
      </c>
      <c r="G20" s="5">
        <f>F20*(1+G22)</f>
        <v>1503.1373271889404</v>
      </c>
      <c r="H20" s="5">
        <f t="shared" ref="H20:K20" si="9">G20*(1+H22)</f>
        <v>1202.5098617511524</v>
      </c>
      <c r="I20" s="5">
        <f t="shared" si="9"/>
        <v>962.00788940092195</v>
      </c>
      <c r="J20" s="5">
        <f t="shared" si="9"/>
        <v>769.60631152073756</v>
      </c>
      <c r="K20" s="5">
        <f t="shared" si="9"/>
        <v>615.68504921659007</v>
      </c>
    </row>
    <row r="21" spans="1:11" x14ac:dyDescent="0.3">
      <c r="A21" s="7" t="s">
        <v>231</v>
      </c>
      <c r="C21" s="4" t="s">
        <v>226</v>
      </c>
      <c r="D21" s="29">
        <f>D19/C19-1</f>
        <v>0.39900249376558627</v>
      </c>
      <c r="E21" s="29">
        <f t="shared" ref="E21:F21" si="10">E19/D19-1</f>
        <v>0.2228163992869876</v>
      </c>
      <c r="F21" s="29">
        <f t="shared" si="10"/>
        <v>-0.36734693877551028</v>
      </c>
      <c r="G21" s="30">
        <f>'Assumption Sheet'!G8</f>
        <v>-0.2</v>
      </c>
      <c r="H21" s="30">
        <f>'Assumption Sheet'!H8</f>
        <v>-0.2</v>
      </c>
      <c r="I21" s="30">
        <f>'Assumption Sheet'!I8</f>
        <v>-0.2</v>
      </c>
      <c r="J21" s="30">
        <f>'Assumption Sheet'!J8</f>
        <v>-0.2</v>
      </c>
      <c r="K21" s="30">
        <f>'Assumption Sheet'!K8</f>
        <v>-0.2</v>
      </c>
    </row>
    <row r="22" spans="1:11" x14ac:dyDescent="0.3">
      <c r="A22" s="7" t="s">
        <v>232</v>
      </c>
      <c r="C22" s="4" t="s">
        <v>226</v>
      </c>
      <c r="D22" s="29">
        <f>D20/C20-1</f>
        <v>-0.1029012332082534</v>
      </c>
      <c r="E22" s="29">
        <f t="shared" ref="E22:F22" si="11">E20/D20-1</f>
        <v>-0.16933017158406971</v>
      </c>
      <c r="F22" s="29">
        <f t="shared" si="11"/>
        <v>-5.6007884087978521E-3</v>
      </c>
      <c r="G22" s="30">
        <f>'Assumption Sheet'!G9</f>
        <v>-0.2</v>
      </c>
      <c r="H22" s="30">
        <f>'Assumption Sheet'!H9</f>
        <v>-0.2</v>
      </c>
      <c r="I22" s="30">
        <f>'Assumption Sheet'!I9</f>
        <v>-0.2</v>
      </c>
      <c r="J22" s="30">
        <f>'Assumption Sheet'!J9</f>
        <v>-0.2</v>
      </c>
      <c r="K22" s="30">
        <f>'Assumption Sheet'!K9</f>
        <v>-0.2</v>
      </c>
    </row>
    <row r="23" spans="1:11" x14ac:dyDescent="0.3">
      <c r="D23" s="29"/>
      <c r="E23" s="29"/>
      <c r="F23" s="29"/>
      <c r="G23" s="30"/>
      <c r="H23" s="30"/>
      <c r="I23" s="30"/>
      <c r="J23" s="30"/>
      <c r="K23" s="30"/>
    </row>
    <row r="24" spans="1:11" x14ac:dyDescent="0.3">
      <c r="A24" s="17" t="s">
        <v>278</v>
      </c>
      <c r="D24" s="29"/>
      <c r="E24" s="29"/>
      <c r="F24" s="29"/>
      <c r="G24" s="30"/>
      <c r="H24" s="30"/>
      <c r="I24" s="30"/>
      <c r="J24" s="30"/>
      <c r="K24" s="30"/>
    </row>
    <row r="25" spans="1:11" x14ac:dyDescent="0.3">
      <c r="A25" s="6"/>
      <c r="D25" s="29"/>
      <c r="E25" s="29"/>
      <c r="F25" s="29"/>
      <c r="G25" s="30"/>
      <c r="H25" s="30"/>
      <c r="I25" s="30"/>
      <c r="J25" s="30"/>
      <c r="K25" s="30"/>
    </row>
    <row r="26" spans="1:11" s="1" customFormat="1" x14ac:dyDescent="0.3">
      <c r="A26" s="17" t="str">
        <f>A10</f>
        <v xml:space="preserve">License Fees- Music </v>
      </c>
      <c r="B26" s="17"/>
      <c r="C26" s="18">
        <f>C10</f>
        <v>36328.85</v>
      </c>
      <c r="D26" s="18">
        <f>D10</f>
        <v>42122.5</v>
      </c>
      <c r="E26" s="18">
        <f>E10</f>
        <v>47828.58</v>
      </c>
      <c r="F26" s="18">
        <f>F10</f>
        <v>53860.92</v>
      </c>
      <c r="G26" s="19">
        <f>SUM(G36:G40)</f>
        <v>64308.399596571428</v>
      </c>
      <c r="H26" s="19">
        <f>SUM(H36:H40)</f>
        <v>79353.293436000007</v>
      </c>
      <c r="I26" s="19">
        <f>SUM(I36:I40)</f>
        <v>91176.806276751086</v>
      </c>
      <c r="J26" s="19">
        <f>SUM(J36:J40)</f>
        <v>103721.92316308267</v>
      </c>
      <c r="K26" s="19">
        <f>SUM(K36:K40)</f>
        <v>118674.5347501573</v>
      </c>
    </row>
    <row r="27" spans="1:11" s="1" customFormat="1" x14ac:dyDescent="0.3">
      <c r="A27" s="6"/>
      <c r="B27" s="6"/>
      <c r="C27" s="10"/>
      <c r="D27" s="10"/>
      <c r="E27" s="10"/>
      <c r="F27" s="10"/>
      <c r="G27" s="11"/>
      <c r="H27" s="11"/>
      <c r="I27" s="11"/>
      <c r="J27" s="11"/>
      <c r="K27" s="11"/>
    </row>
    <row r="28" spans="1:11" x14ac:dyDescent="0.3">
      <c r="A28" s="7" t="s">
        <v>248</v>
      </c>
    </row>
    <row r="29" spans="1:11" x14ac:dyDescent="0.3">
      <c r="A29" s="7" t="s">
        <v>241</v>
      </c>
      <c r="C29" s="29">
        <v>0</v>
      </c>
      <c r="D29" s="29">
        <v>0.27</v>
      </c>
      <c r="E29" s="29">
        <v>0.33</v>
      </c>
      <c r="F29" s="29">
        <v>0.4</v>
      </c>
    </row>
    <row r="30" spans="1:11" x14ac:dyDescent="0.3">
      <c r="A30" s="7" t="s">
        <v>242</v>
      </c>
      <c r="C30" s="29">
        <v>0.4</v>
      </c>
      <c r="D30" s="29">
        <v>0.20699999999999999</v>
      </c>
      <c r="E30" s="29">
        <v>0.19</v>
      </c>
      <c r="F30" s="29">
        <v>0.16</v>
      </c>
    </row>
    <row r="31" spans="1:11" x14ac:dyDescent="0.3">
      <c r="A31" s="7" t="s">
        <v>243</v>
      </c>
      <c r="C31" s="29">
        <v>0.26</v>
      </c>
      <c r="D31" s="29">
        <v>0.20699999999999999</v>
      </c>
      <c r="E31" s="29">
        <v>0.2</v>
      </c>
      <c r="F31" s="29">
        <v>0.18</v>
      </c>
    </row>
    <row r="32" spans="1:11" x14ac:dyDescent="0.3">
      <c r="A32" s="7" t="s">
        <v>244</v>
      </c>
      <c r="C32" s="29">
        <v>0.31</v>
      </c>
      <c r="D32" s="29">
        <v>0.28999999999999998</v>
      </c>
      <c r="E32" s="29">
        <v>0.25</v>
      </c>
      <c r="F32" s="29">
        <v>0.23</v>
      </c>
    </row>
    <row r="33" spans="1:11" x14ac:dyDescent="0.3">
      <c r="A33" s="7" t="s">
        <v>245</v>
      </c>
      <c r="C33" s="29">
        <v>0.03</v>
      </c>
      <c r="D33" s="29">
        <v>2.5999999999999999E-2</v>
      </c>
      <c r="E33" s="29">
        <v>0.03</v>
      </c>
      <c r="F33" s="29">
        <v>0.03</v>
      </c>
    </row>
    <row r="34" spans="1:11" x14ac:dyDescent="0.3">
      <c r="A34" s="6"/>
      <c r="D34" s="29"/>
      <c r="E34" s="29"/>
      <c r="F34" s="29"/>
      <c r="G34" s="30"/>
      <c r="H34" s="30"/>
      <c r="I34" s="30"/>
      <c r="J34" s="30"/>
      <c r="K34" s="30"/>
    </row>
    <row r="35" spans="1:11" x14ac:dyDescent="0.3">
      <c r="A35" s="7" t="s">
        <v>271</v>
      </c>
    </row>
    <row r="36" spans="1:11" x14ac:dyDescent="0.3">
      <c r="A36" s="7" t="s">
        <v>241</v>
      </c>
      <c r="C36" s="4">
        <f t="shared" ref="C36:F40" si="12">C29*C$26</f>
        <v>0</v>
      </c>
      <c r="D36" s="4">
        <f t="shared" si="12"/>
        <v>11373.075000000001</v>
      </c>
      <c r="E36" s="4">
        <f t="shared" si="12"/>
        <v>15783.431400000001</v>
      </c>
      <c r="F36" s="4">
        <f t="shared" si="12"/>
        <v>21544.368000000002</v>
      </c>
      <c r="G36" s="5">
        <f>G58*G69</f>
        <v>30085.171028571429</v>
      </c>
      <c r="H36" s="5">
        <f>H58*H69</f>
        <v>43110.280368</v>
      </c>
      <c r="I36" s="5">
        <f>I58*I69</f>
        <v>52794.166007314285</v>
      </c>
      <c r="J36" s="5">
        <f>J58*J69</f>
        <v>63072.676203428571</v>
      </c>
      <c r="K36" s="5">
        <f>K58*K69</f>
        <v>75624.138767910859</v>
      </c>
    </row>
    <row r="37" spans="1:11" x14ac:dyDescent="0.3">
      <c r="A37" s="7" t="s">
        <v>242</v>
      </c>
      <c r="C37" s="4">
        <f t="shared" si="12"/>
        <v>14531.54</v>
      </c>
      <c r="D37" s="4">
        <f t="shared" si="12"/>
        <v>8719.3575000000001</v>
      </c>
      <c r="E37" s="4">
        <f t="shared" si="12"/>
        <v>9087.4302000000007</v>
      </c>
      <c r="F37" s="4">
        <f t="shared" si="12"/>
        <v>8617.7471999999998</v>
      </c>
      <c r="G37" s="5">
        <f t="shared" ref="G37:K40" si="13">F37*(1+G44)</f>
        <v>9134.8120319999998</v>
      </c>
      <c r="H37" s="5">
        <f t="shared" si="13"/>
        <v>9682.9007539200011</v>
      </c>
      <c r="I37" s="5">
        <f t="shared" si="13"/>
        <v>10263.874799155201</v>
      </c>
      <c r="J37" s="5">
        <f t="shared" si="13"/>
        <v>10879.707287104513</v>
      </c>
      <c r="K37" s="5">
        <f t="shared" si="13"/>
        <v>11532.489724330784</v>
      </c>
    </row>
    <row r="38" spans="1:11" x14ac:dyDescent="0.3">
      <c r="A38" s="7" t="s">
        <v>243</v>
      </c>
      <c r="C38" s="4">
        <f t="shared" si="12"/>
        <v>9445.5010000000002</v>
      </c>
      <c r="D38" s="4">
        <f t="shared" si="12"/>
        <v>8719.3575000000001</v>
      </c>
      <c r="E38" s="4">
        <f t="shared" si="12"/>
        <v>9565.7160000000003</v>
      </c>
      <c r="F38" s="4">
        <f t="shared" si="12"/>
        <v>9694.9655999999995</v>
      </c>
      <c r="G38" s="5">
        <f t="shared" si="13"/>
        <v>10276.663536</v>
      </c>
      <c r="H38" s="5">
        <f t="shared" si="13"/>
        <v>10893.263348160001</v>
      </c>
      <c r="I38" s="5">
        <f t="shared" si="13"/>
        <v>11546.859149049602</v>
      </c>
      <c r="J38" s="5">
        <f t="shared" si="13"/>
        <v>12239.670697992578</v>
      </c>
      <c r="K38" s="5">
        <f t="shared" si="13"/>
        <v>12974.050939872133</v>
      </c>
    </row>
    <row r="39" spans="1:11" x14ac:dyDescent="0.3">
      <c r="A39" s="7" t="s">
        <v>244</v>
      </c>
      <c r="C39" s="4">
        <f t="shared" si="12"/>
        <v>11261.943499999999</v>
      </c>
      <c r="D39" s="4">
        <f t="shared" si="12"/>
        <v>12215.525</v>
      </c>
      <c r="E39" s="4">
        <f t="shared" si="12"/>
        <v>11957.145</v>
      </c>
      <c r="F39" s="4">
        <f t="shared" si="12"/>
        <v>12388.0116</v>
      </c>
      <c r="G39" s="5">
        <f t="shared" si="13"/>
        <v>13131.292296</v>
      </c>
      <c r="H39" s="5">
        <f t="shared" si="13"/>
        <v>13919.169833760001</v>
      </c>
      <c r="I39" s="5">
        <f t="shared" si="13"/>
        <v>14754.320023785602</v>
      </c>
      <c r="J39" s="5">
        <f t="shared" si="13"/>
        <v>15639.579225212739</v>
      </c>
      <c r="K39" s="5">
        <f t="shared" si="13"/>
        <v>16577.953978725505</v>
      </c>
    </row>
    <row r="40" spans="1:11" x14ac:dyDescent="0.3">
      <c r="A40" s="7" t="s">
        <v>245</v>
      </c>
      <c r="C40" s="4">
        <f t="shared" si="12"/>
        <v>1089.8654999999999</v>
      </c>
      <c r="D40" s="4">
        <f t="shared" si="12"/>
        <v>1095.1849999999999</v>
      </c>
      <c r="E40" s="4">
        <f t="shared" si="12"/>
        <v>1434.8574000000001</v>
      </c>
      <c r="F40" s="4">
        <f t="shared" si="12"/>
        <v>1615.8275999999998</v>
      </c>
      <c r="G40" s="5">
        <f t="shared" si="13"/>
        <v>1680.4607039999999</v>
      </c>
      <c r="H40" s="5">
        <f t="shared" si="13"/>
        <v>1747.6791321599999</v>
      </c>
      <c r="I40" s="5">
        <f t="shared" si="13"/>
        <v>1817.5862974463998</v>
      </c>
      <c r="J40" s="5">
        <f t="shared" si="13"/>
        <v>1890.2897493442558</v>
      </c>
      <c r="K40" s="5">
        <f t="shared" si="13"/>
        <v>1965.9013393180262</v>
      </c>
    </row>
    <row r="42" spans="1:11" x14ac:dyDescent="0.3">
      <c r="A42" s="7" t="s">
        <v>258</v>
      </c>
    </row>
    <row r="43" spans="1:11" x14ac:dyDescent="0.3">
      <c r="A43" s="7" t="s">
        <v>241</v>
      </c>
      <c r="C43" s="4" t="s">
        <v>226</v>
      </c>
      <c r="D43" s="29" t="s">
        <v>226</v>
      </c>
      <c r="E43" s="29">
        <f t="shared" ref="E43:F47" si="14">E36/D36-1</f>
        <v>0.38778926543612879</v>
      </c>
      <c r="F43" s="29">
        <f t="shared" si="14"/>
        <v>0.36499899508544131</v>
      </c>
    </row>
    <row r="44" spans="1:11" x14ac:dyDescent="0.3">
      <c r="A44" s="7" t="s">
        <v>242</v>
      </c>
      <c r="C44" s="4" t="s">
        <v>226</v>
      </c>
      <c r="D44" s="29">
        <f>D37/C37-1</f>
        <v>-0.39997016833728571</v>
      </c>
      <c r="E44" s="29">
        <f t="shared" si="14"/>
        <v>4.2213282343337877E-2</v>
      </c>
      <c r="F44" s="29">
        <f t="shared" si="14"/>
        <v>-5.1684908677482988E-2</v>
      </c>
      <c r="G44" s="30">
        <f>'Assumption Sheet'!G13</f>
        <v>0.06</v>
      </c>
      <c r="H44" s="30">
        <f>'Assumption Sheet'!H13</f>
        <v>0.06</v>
      </c>
      <c r="I44" s="30">
        <f>'Assumption Sheet'!I13</f>
        <v>0.06</v>
      </c>
      <c r="J44" s="30">
        <f>'Assumption Sheet'!J13</f>
        <v>0.06</v>
      </c>
      <c r="K44" s="30">
        <f>'Assumption Sheet'!K13</f>
        <v>0.06</v>
      </c>
    </row>
    <row r="45" spans="1:11" x14ac:dyDescent="0.3">
      <c r="A45" s="7" t="s">
        <v>243</v>
      </c>
      <c r="C45" s="4" t="s">
        <v>226</v>
      </c>
      <c r="D45" s="29">
        <f>D38/C38-1</f>
        <v>-7.6877182057362603E-2</v>
      </c>
      <c r="E45" s="29">
        <f t="shared" si="14"/>
        <v>9.7066612992987134E-2</v>
      </c>
      <c r="F45" s="29">
        <f t="shared" si="14"/>
        <v>1.3511753850940167E-2</v>
      </c>
      <c r="G45" s="30">
        <f>'Assumption Sheet'!G14</f>
        <v>0.06</v>
      </c>
      <c r="H45" s="30">
        <f>'Assumption Sheet'!H14</f>
        <v>0.06</v>
      </c>
      <c r="I45" s="30">
        <f>'Assumption Sheet'!I14</f>
        <v>0.06</v>
      </c>
      <c r="J45" s="30">
        <f>'Assumption Sheet'!J14</f>
        <v>0.06</v>
      </c>
      <c r="K45" s="30">
        <f>'Assumption Sheet'!K14</f>
        <v>0.06</v>
      </c>
    </row>
    <row r="46" spans="1:11" x14ac:dyDescent="0.3">
      <c r="A46" s="7" t="s">
        <v>244</v>
      </c>
      <c r="C46" s="4" t="s">
        <v>226</v>
      </c>
      <c r="D46" s="29">
        <f>D39/C39-1</f>
        <v>8.4672907478180903E-2</v>
      </c>
      <c r="E46" s="29">
        <f t="shared" si="14"/>
        <v>-2.1151772027808824E-2</v>
      </c>
      <c r="F46" s="29">
        <f t="shared" si="14"/>
        <v>3.6034237269849889E-2</v>
      </c>
      <c r="G46" s="30">
        <f>'Assumption Sheet'!G15</f>
        <v>0.06</v>
      </c>
      <c r="H46" s="30">
        <f>'Assumption Sheet'!H15</f>
        <v>0.06</v>
      </c>
      <c r="I46" s="30">
        <f>'Assumption Sheet'!I15</f>
        <v>0.06</v>
      </c>
      <c r="J46" s="30">
        <f>'Assumption Sheet'!J15</f>
        <v>0.06</v>
      </c>
      <c r="K46" s="30">
        <f>'Assumption Sheet'!K15</f>
        <v>0.06</v>
      </c>
    </row>
    <row r="47" spans="1:11" x14ac:dyDescent="0.3">
      <c r="A47" s="7" t="s">
        <v>245</v>
      </c>
      <c r="C47" s="4" t="s">
        <v>226</v>
      </c>
      <c r="D47" s="29">
        <f>D40/C40-1</f>
        <v>4.8808775027744389E-3</v>
      </c>
      <c r="E47" s="29">
        <f t="shared" si="14"/>
        <v>0.31015070513200982</v>
      </c>
      <c r="F47" s="29">
        <f t="shared" si="14"/>
        <v>0.126124170945489</v>
      </c>
      <c r="G47" s="30">
        <f>'Assumption Sheet'!G16</f>
        <v>0.04</v>
      </c>
      <c r="H47" s="30">
        <f>'Assumption Sheet'!H16</f>
        <v>0.04</v>
      </c>
      <c r="I47" s="30">
        <f>'Assumption Sheet'!I16</f>
        <v>0.04</v>
      </c>
      <c r="J47" s="30">
        <f>'Assumption Sheet'!J16</f>
        <v>0.04</v>
      </c>
      <c r="K47" s="30">
        <f>'Assumption Sheet'!K16</f>
        <v>0.04</v>
      </c>
    </row>
    <row r="48" spans="1:11" x14ac:dyDescent="0.3">
      <c r="A48" s="6"/>
      <c r="D48" s="29"/>
      <c r="E48" s="29"/>
      <c r="F48" s="29"/>
      <c r="G48" s="30"/>
      <c r="H48" s="30"/>
      <c r="I48" s="30"/>
      <c r="J48" s="30"/>
      <c r="K48" s="30"/>
    </row>
    <row r="49" spans="1:11" x14ac:dyDescent="0.3">
      <c r="A49" s="7" t="s">
        <v>247</v>
      </c>
      <c r="D49" s="29"/>
      <c r="E49" s="29"/>
      <c r="F49" s="29"/>
      <c r="G49" s="30"/>
      <c r="H49" s="30"/>
      <c r="I49" s="30"/>
      <c r="J49" s="30"/>
      <c r="K49" s="30"/>
    </row>
    <row r="50" spans="1:11" x14ac:dyDescent="0.3">
      <c r="A50" s="7" t="s">
        <v>241</v>
      </c>
      <c r="C50" s="29">
        <v>0</v>
      </c>
      <c r="D50" s="29">
        <v>0.08</v>
      </c>
      <c r="E50" s="29">
        <v>0.14000000000000001</v>
      </c>
      <c r="F50" s="29">
        <v>0.16</v>
      </c>
      <c r="G50" s="30"/>
      <c r="H50" s="30"/>
      <c r="I50" s="30"/>
      <c r="J50" s="30"/>
      <c r="K50" s="30"/>
    </row>
    <row r="51" spans="1:11" x14ac:dyDescent="0.3">
      <c r="A51" s="7" t="s">
        <v>242</v>
      </c>
      <c r="C51" s="29">
        <v>0.28999999999999998</v>
      </c>
      <c r="D51" s="29">
        <v>0.25</v>
      </c>
      <c r="E51" s="29">
        <v>0.22</v>
      </c>
      <c r="F51" s="29">
        <v>0.21</v>
      </c>
      <c r="G51" s="30"/>
      <c r="H51" s="30"/>
      <c r="I51" s="30"/>
      <c r="J51" s="30"/>
      <c r="K51" s="30"/>
    </row>
    <row r="52" spans="1:11" x14ac:dyDescent="0.3">
      <c r="A52" s="7" t="s">
        <v>243</v>
      </c>
      <c r="C52" s="29">
        <v>0.28999999999999998</v>
      </c>
      <c r="D52" s="29">
        <v>0.26</v>
      </c>
      <c r="E52" s="29">
        <v>0.23499999999999999</v>
      </c>
      <c r="F52" s="29">
        <v>0.24</v>
      </c>
      <c r="G52" s="30"/>
      <c r="H52" s="30"/>
      <c r="I52" s="30"/>
      <c r="J52" s="30"/>
      <c r="K52" s="30"/>
    </row>
    <row r="53" spans="1:11" x14ac:dyDescent="0.3">
      <c r="A53" s="7" t="s">
        <v>244</v>
      </c>
      <c r="C53" s="29">
        <v>0.27</v>
      </c>
      <c r="D53" s="29">
        <v>0.25</v>
      </c>
      <c r="E53" s="29">
        <v>0.23499999999999999</v>
      </c>
      <c r="F53" s="29">
        <v>0.23</v>
      </c>
      <c r="G53" s="30"/>
      <c r="H53" s="30"/>
      <c r="I53" s="30"/>
      <c r="J53" s="30"/>
      <c r="K53" s="30"/>
    </row>
    <row r="54" spans="1:11" x14ac:dyDescent="0.3">
      <c r="A54" s="7" t="s">
        <v>245</v>
      </c>
      <c r="C54" s="29">
        <v>0.15</v>
      </c>
      <c r="D54" s="29">
        <v>0.16</v>
      </c>
      <c r="E54" s="29">
        <v>0.17</v>
      </c>
      <c r="F54" s="29">
        <v>0.16</v>
      </c>
      <c r="G54" s="30"/>
      <c r="H54" s="30"/>
      <c r="I54" s="30"/>
      <c r="J54" s="30"/>
      <c r="K54" s="30"/>
    </row>
    <row r="55" spans="1:11" x14ac:dyDescent="0.3">
      <c r="A55" s="7" t="s">
        <v>246</v>
      </c>
      <c r="C55" s="29">
        <f t="shared" ref="C55:E55" si="15">SUM(C50:C54)</f>
        <v>1</v>
      </c>
      <c r="D55" s="29">
        <f t="shared" si="15"/>
        <v>1</v>
      </c>
      <c r="E55" s="29">
        <f t="shared" si="15"/>
        <v>1</v>
      </c>
      <c r="F55" s="29">
        <f>SUM(F50:F54)</f>
        <v>1</v>
      </c>
      <c r="G55" s="30"/>
      <c r="H55" s="30"/>
      <c r="I55" s="30"/>
      <c r="J55" s="30"/>
      <c r="K55" s="30"/>
    </row>
    <row r="56" spans="1:11" x14ac:dyDescent="0.3">
      <c r="C56" s="29"/>
      <c r="D56" s="29"/>
      <c r="E56" s="29"/>
      <c r="F56" s="29"/>
      <c r="G56" s="30"/>
      <c r="H56" s="30"/>
      <c r="I56" s="30"/>
      <c r="J56" s="30"/>
      <c r="K56" s="30"/>
    </row>
    <row r="57" spans="1:11" x14ac:dyDescent="0.3">
      <c r="A57" s="7" t="s">
        <v>249</v>
      </c>
      <c r="C57" s="29"/>
      <c r="D57" s="29"/>
      <c r="E57" s="29"/>
      <c r="F57" s="29"/>
      <c r="G57" s="30"/>
      <c r="H57" s="30"/>
      <c r="I57" s="30"/>
      <c r="J57" s="30"/>
      <c r="K57" s="30"/>
    </row>
    <row r="58" spans="1:11" x14ac:dyDescent="0.3">
      <c r="A58" s="7" t="s">
        <v>241</v>
      </c>
      <c r="C58" s="4">
        <f t="shared" ref="C58:F62" si="16">C50*C$63</f>
        <v>0</v>
      </c>
      <c r="D58" s="4">
        <f t="shared" si="16"/>
        <v>0.12</v>
      </c>
      <c r="E58" s="4">
        <f t="shared" si="16"/>
        <v>0.22400000000000003</v>
      </c>
      <c r="F58" s="4">
        <f t="shared" si="16"/>
        <v>0.28000000000000003</v>
      </c>
      <c r="G58" s="5">
        <f>F58+G65</f>
        <v>0.34</v>
      </c>
      <c r="H58" s="5">
        <f t="shared" ref="H58:K58" si="17">G58+H65</f>
        <v>0.40600000000000003</v>
      </c>
      <c r="I58" s="5">
        <f t="shared" si="17"/>
        <v>0.45200000000000001</v>
      </c>
      <c r="J58" s="5">
        <f t="shared" si="17"/>
        <v>0.5</v>
      </c>
      <c r="K58" s="5">
        <f t="shared" si="17"/>
        <v>0.55000000000000004</v>
      </c>
    </row>
    <row r="59" spans="1:11" x14ac:dyDescent="0.3">
      <c r="A59" s="7" t="s">
        <v>242</v>
      </c>
      <c r="C59" s="4">
        <f t="shared" si="16"/>
        <v>0.41179999999999994</v>
      </c>
      <c r="D59" s="4">
        <f t="shared" si="16"/>
        <v>0.375</v>
      </c>
      <c r="E59" s="4">
        <f t="shared" si="16"/>
        <v>0.35200000000000004</v>
      </c>
      <c r="F59" s="4">
        <f t="shared" si="16"/>
        <v>0.36749999999999999</v>
      </c>
      <c r="G59" s="4"/>
      <c r="H59" s="30"/>
      <c r="I59" s="30"/>
      <c r="J59" s="30"/>
      <c r="K59" s="30"/>
    </row>
    <row r="60" spans="1:11" x14ac:dyDescent="0.3">
      <c r="A60" s="7" t="s">
        <v>243</v>
      </c>
      <c r="C60" s="4">
        <f t="shared" si="16"/>
        <v>0.41179999999999994</v>
      </c>
      <c r="D60" s="4">
        <f t="shared" si="16"/>
        <v>0.39</v>
      </c>
      <c r="E60" s="4">
        <f t="shared" si="16"/>
        <v>0.376</v>
      </c>
      <c r="F60" s="4">
        <f t="shared" si="16"/>
        <v>0.42</v>
      </c>
      <c r="G60" s="30"/>
      <c r="H60" s="30"/>
      <c r="I60" s="30"/>
      <c r="J60" s="30"/>
      <c r="K60" s="30"/>
    </row>
    <row r="61" spans="1:11" x14ac:dyDescent="0.3">
      <c r="A61" s="7" t="s">
        <v>244</v>
      </c>
      <c r="C61" s="4">
        <f t="shared" si="16"/>
        <v>0.38340000000000002</v>
      </c>
      <c r="D61" s="4">
        <f t="shared" si="16"/>
        <v>0.375</v>
      </c>
      <c r="E61" s="4">
        <f t="shared" si="16"/>
        <v>0.376</v>
      </c>
      <c r="F61" s="4">
        <f t="shared" si="16"/>
        <v>0.40250000000000002</v>
      </c>
      <c r="G61" s="30"/>
      <c r="H61" s="30"/>
      <c r="I61" s="30"/>
      <c r="J61" s="30"/>
      <c r="K61" s="30"/>
    </row>
    <row r="62" spans="1:11" x14ac:dyDescent="0.3">
      <c r="A62" s="7" t="s">
        <v>245</v>
      </c>
      <c r="C62" s="4">
        <f t="shared" si="16"/>
        <v>0.21299999999999999</v>
      </c>
      <c r="D62" s="4">
        <f t="shared" si="16"/>
        <v>0.24</v>
      </c>
      <c r="E62" s="4">
        <f t="shared" si="16"/>
        <v>0.27200000000000002</v>
      </c>
      <c r="F62" s="4">
        <f t="shared" si="16"/>
        <v>0.28000000000000003</v>
      </c>
      <c r="G62" s="30"/>
      <c r="H62" s="30"/>
      <c r="I62" s="30"/>
      <c r="J62" s="30"/>
      <c r="K62" s="30"/>
    </row>
    <row r="63" spans="1:11" x14ac:dyDescent="0.3">
      <c r="A63" s="7" t="s">
        <v>240</v>
      </c>
      <c r="C63" s="31">
        <v>1.42</v>
      </c>
      <c r="D63" s="31">
        <v>1.5</v>
      </c>
      <c r="E63" s="31">
        <v>1.6</v>
      </c>
      <c r="F63" s="31">
        <v>1.75</v>
      </c>
    </row>
    <row r="64" spans="1:11" s="1" customFormat="1" x14ac:dyDescent="0.3">
      <c r="A64" s="6"/>
      <c r="B64" s="6"/>
      <c r="C64" s="32"/>
      <c r="D64" s="32"/>
      <c r="E64" s="32"/>
      <c r="F64" s="32"/>
      <c r="G64" s="11"/>
      <c r="H64" s="11"/>
      <c r="I64" s="11"/>
      <c r="J64" s="11"/>
      <c r="K64" s="11"/>
    </row>
    <row r="65" spans="1:11" x14ac:dyDescent="0.3">
      <c r="A65" s="7" t="s">
        <v>252</v>
      </c>
      <c r="C65" s="4" t="s">
        <v>226</v>
      </c>
      <c r="D65" s="4">
        <f>D58-C58</f>
        <v>0.12</v>
      </c>
      <c r="E65" s="4">
        <f>E58-D58</f>
        <v>0.10400000000000004</v>
      </c>
      <c r="F65" s="4">
        <f>F58-E58</f>
        <v>5.5999999999999994E-2</v>
      </c>
      <c r="G65" s="5">
        <f>'Assumption Sheet'!G18</f>
        <v>0.06</v>
      </c>
      <c r="H65" s="5">
        <f>'Assumption Sheet'!H18</f>
        <v>6.6000000000000003E-2</v>
      </c>
      <c r="I65" s="5">
        <f>'Assumption Sheet'!I18</f>
        <v>4.6000000000000006E-2</v>
      </c>
      <c r="J65" s="5">
        <f>'Assumption Sheet'!J18</f>
        <v>4.8000000000000001E-2</v>
      </c>
      <c r="K65" s="5">
        <f>'Assumption Sheet'!K18</f>
        <v>0.05</v>
      </c>
    </row>
    <row r="67" spans="1:11" x14ac:dyDescent="0.3">
      <c r="A67" s="6"/>
      <c r="D67" s="29"/>
      <c r="E67" s="29"/>
      <c r="F67" s="29"/>
      <c r="G67" s="30"/>
      <c r="H67" s="30"/>
      <c r="I67" s="30"/>
      <c r="J67" s="30"/>
      <c r="K67" s="30"/>
    </row>
    <row r="68" spans="1:11" x14ac:dyDescent="0.3">
      <c r="A68" s="7" t="s">
        <v>250</v>
      </c>
    </row>
    <row r="69" spans="1:11" x14ac:dyDescent="0.3">
      <c r="A69" s="7" t="s">
        <v>241</v>
      </c>
      <c r="C69" s="4" t="s">
        <v>226</v>
      </c>
      <c r="D69" s="4">
        <f t="shared" ref="D69:F73" si="18">D36/D58</f>
        <v>94775.625000000015</v>
      </c>
      <c r="E69" s="4">
        <f t="shared" si="18"/>
        <v>70461.747321428571</v>
      </c>
      <c r="F69" s="4">
        <f>F36/F58</f>
        <v>76944.171428571426</v>
      </c>
      <c r="G69" s="5">
        <f>F69*(1+G75)</f>
        <v>88485.797142857133</v>
      </c>
      <c r="H69" s="5">
        <f t="shared" ref="H69:K69" si="19">G69*(1+H75)</f>
        <v>106182.95657142856</v>
      </c>
      <c r="I69" s="5">
        <f t="shared" si="19"/>
        <v>116801.25222857142</v>
      </c>
      <c r="J69" s="5">
        <f t="shared" si="19"/>
        <v>126145.35240685714</v>
      </c>
      <c r="K69" s="5">
        <f t="shared" si="19"/>
        <v>137498.43412347429</v>
      </c>
    </row>
    <row r="70" spans="1:11" x14ac:dyDescent="0.3">
      <c r="A70" s="7" t="s">
        <v>242</v>
      </c>
      <c r="C70" s="4">
        <f>C37/C59</f>
        <v>35287.858183584271</v>
      </c>
      <c r="D70" s="4">
        <f t="shared" si="18"/>
        <v>23251.62</v>
      </c>
      <c r="E70" s="4">
        <f t="shared" si="18"/>
        <v>25816.563068181818</v>
      </c>
      <c r="F70" s="4">
        <f t="shared" si="18"/>
        <v>23449.652244897959</v>
      </c>
    </row>
    <row r="71" spans="1:11" x14ac:dyDescent="0.3">
      <c r="A71" s="7" t="s">
        <v>243</v>
      </c>
      <c r="C71" s="4">
        <f>C38/C60</f>
        <v>22937.107819329776</v>
      </c>
      <c r="D71" s="4">
        <f t="shared" si="18"/>
        <v>22357.326923076922</v>
      </c>
      <c r="E71" s="4">
        <f t="shared" si="18"/>
        <v>25440.734042553191</v>
      </c>
      <c r="F71" s="4">
        <f t="shared" si="18"/>
        <v>23083.251428571428</v>
      </c>
    </row>
    <row r="72" spans="1:11" x14ac:dyDescent="0.3">
      <c r="A72" s="7" t="s">
        <v>244</v>
      </c>
      <c r="C72" s="4">
        <f>C39/C61</f>
        <v>29373.874543557638</v>
      </c>
      <c r="D72" s="4">
        <f t="shared" si="18"/>
        <v>32574.733333333334</v>
      </c>
      <c r="E72" s="4">
        <f t="shared" si="18"/>
        <v>31800.917553191492</v>
      </c>
      <c r="F72" s="4">
        <f t="shared" si="18"/>
        <v>30777.66857142857</v>
      </c>
    </row>
    <row r="73" spans="1:11" x14ac:dyDescent="0.3">
      <c r="A73" s="7" t="s">
        <v>245</v>
      </c>
      <c r="C73" s="4">
        <f>C40/C62</f>
        <v>5116.7394366197177</v>
      </c>
      <c r="D73" s="4">
        <f t="shared" si="18"/>
        <v>4563.270833333333</v>
      </c>
      <c r="E73" s="4">
        <f t="shared" si="18"/>
        <v>5275.2110294117647</v>
      </c>
      <c r="F73" s="4">
        <f t="shared" si="18"/>
        <v>5770.812857142856</v>
      </c>
    </row>
    <row r="75" spans="1:11" x14ac:dyDescent="0.3">
      <c r="A75" s="7" t="s">
        <v>257</v>
      </c>
      <c r="E75" s="29">
        <f>E69/D69-1</f>
        <v>-0.25654146494493113</v>
      </c>
      <c r="F75" s="29">
        <f>F69/E69-1</f>
        <v>9.1999196068353051E-2</v>
      </c>
      <c r="G75" s="30">
        <f>'Assumption Sheet'!G22</f>
        <v>0.15</v>
      </c>
      <c r="H75" s="30">
        <f>'Assumption Sheet'!H22</f>
        <v>0.2</v>
      </c>
      <c r="I75" s="30">
        <f>'Assumption Sheet'!I22</f>
        <v>0.1</v>
      </c>
      <c r="J75" s="30">
        <f>'Assumption Sheet'!J22</f>
        <v>0.08</v>
      </c>
      <c r="K75" s="30">
        <f>'Assumption Sheet'!K22</f>
        <v>0.09</v>
      </c>
    </row>
    <row r="76" spans="1:11" x14ac:dyDescent="0.3">
      <c r="E76" s="29"/>
      <c r="F76" s="29"/>
      <c r="G76" s="30"/>
      <c r="H76" s="30"/>
      <c r="I76" s="30"/>
      <c r="J76" s="30"/>
      <c r="K76" s="30"/>
    </row>
    <row r="77" spans="1:11" s="1" customFormat="1" x14ac:dyDescent="0.3">
      <c r="A77" s="17" t="str">
        <f>A11</f>
        <v xml:space="preserve">Artist Management </v>
      </c>
      <c r="B77" s="17"/>
      <c r="C77" s="18">
        <f t="shared" ref="C77:F77" si="20">C11</f>
        <v>0</v>
      </c>
      <c r="D77" s="18">
        <f t="shared" si="20"/>
        <v>0</v>
      </c>
      <c r="E77" s="18">
        <f t="shared" si="20"/>
        <v>2075.8200000000002</v>
      </c>
      <c r="F77" s="18">
        <f t="shared" si="20"/>
        <v>6931.24</v>
      </c>
      <c r="G77" s="19">
        <f>G78-G80</f>
        <v>9250.1140034285636</v>
      </c>
      <c r="H77" s="19">
        <f>H78-H80</f>
        <v>9652.5080199999793</v>
      </c>
      <c r="I77" s="19">
        <f>I78-I80</f>
        <v>16520.213485008891</v>
      </c>
      <c r="J77" s="19">
        <f>J78-J80</f>
        <v>26591.470748646898</v>
      </c>
      <c r="K77" s="19">
        <f>K78-K80</f>
        <v>39004.67188303548</v>
      </c>
    </row>
    <row r="78" spans="1:11" x14ac:dyDescent="0.3">
      <c r="A78" s="7" t="s">
        <v>238</v>
      </c>
      <c r="B78" s="7" t="s">
        <v>259</v>
      </c>
      <c r="C78" s="4">
        <f>C10+C11</f>
        <v>36328.85</v>
      </c>
      <c r="D78" s="4">
        <f>D10+D11</f>
        <v>42122.5</v>
      </c>
      <c r="E78" s="4">
        <f>E10+E11</f>
        <v>49904.4</v>
      </c>
      <c r="F78" s="4">
        <f>F10+F11</f>
        <v>60792.159999999996</v>
      </c>
      <c r="G78" s="5">
        <f>F78*(1+G79)</f>
        <v>73558.513599999991</v>
      </c>
      <c r="H78" s="5">
        <f t="shared" ref="H78:K78" si="21">G78*(1+H79)</f>
        <v>89005.801455999987</v>
      </c>
      <c r="I78" s="5">
        <f t="shared" si="21"/>
        <v>107697.01976175998</v>
      </c>
      <c r="J78" s="5">
        <f t="shared" si="21"/>
        <v>130313.39391172957</v>
      </c>
      <c r="K78" s="5">
        <f t="shared" si="21"/>
        <v>157679.20663319278</v>
      </c>
    </row>
    <row r="79" spans="1:11" x14ac:dyDescent="0.3">
      <c r="A79" s="7" t="s">
        <v>239</v>
      </c>
      <c r="D79" s="29">
        <f>D78/C78-1</f>
        <v>0.15947793558012435</v>
      </c>
      <c r="E79" s="29">
        <f t="shared" ref="E79:F79" si="22">E78/D78-1</f>
        <v>0.18474449522226832</v>
      </c>
      <c r="F79" s="29">
        <f t="shared" si="22"/>
        <v>0.21817234552464293</v>
      </c>
      <c r="G79" s="30">
        <f>'Assumption Sheet'!G25</f>
        <v>0.21</v>
      </c>
      <c r="H79" s="30">
        <f>'Assumption Sheet'!H25</f>
        <v>0.21</v>
      </c>
      <c r="I79" s="30">
        <f>'Assumption Sheet'!I25</f>
        <v>0.21</v>
      </c>
      <c r="J79" s="30">
        <f>'Assumption Sheet'!J25</f>
        <v>0.21</v>
      </c>
      <c r="K79" s="30">
        <f>'Assumption Sheet'!K25</f>
        <v>0.21</v>
      </c>
    </row>
    <row r="80" spans="1:11" x14ac:dyDescent="0.3">
      <c r="A80" s="7" t="str">
        <f>A10</f>
        <v xml:space="preserve">License Fees- Music </v>
      </c>
      <c r="C80" s="4">
        <f t="shared" ref="C80:F80" si="23">C10</f>
        <v>36328.85</v>
      </c>
      <c r="D80" s="4">
        <f t="shared" si="23"/>
        <v>42122.5</v>
      </c>
      <c r="E80" s="4">
        <f t="shared" si="23"/>
        <v>47828.58</v>
      </c>
      <c r="F80" s="4">
        <f t="shared" si="23"/>
        <v>53860.92</v>
      </c>
      <c r="G80" s="5">
        <f>G10</f>
        <v>64308.399596571428</v>
      </c>
      <c r="H80" s="5">
        <f>H10</f>
        <v>79353.293436000007</v>
      </c>
      <c r="I80" s="5">
        <f>I10</f>
        <v>91176.806276751086</v>
      </c>
      <c r="J80" s="5">
        <f>J10</f>
        <v>103721.92316308267</v>
      </c>
      <c r="K80" s="5">
        <f>K10</f>
        <v>118674.5347501573</v>
      </c>
    </row>
    <row r="82" spans="1:11" s="1" customFormat="1" x14ac:dyDescent="0.3">
      <c r="A82" s="17" t="str">
        <f>A12</f>
        <v xml:space="preserve">Income from videos </v>
      </c>
      <c r="B82" s="17"/>
      <c r="C82" s="18">
        <f>C12</f>
        <v>10239.129999999999</v>
      </c>
      <c r="D82" s="18">
        <f>D12</f>
        <v>10846.29</v>
      </c>
      <c r="E82" s="18">
        <f>E12</f>
        <v>11586.66</v>
      </c>
      <c r="F82" s="18">
        <f>F12</f>
        <v>19197.759999999998</v>
      </c>
      <c r="G82" s="19">
        <f>F82*(1+G83)</f>
        <v>22077.423999999995</v>
      </c>
      <c r="H82" s="19">
        <f t="shared" ref="H82:K82" si="24">G82*(1+H83)</f>
        <v>25389.037599999992</v>
      </c>
      <c r="I82" s="19">
        <f t="shared" si="24"/>
        <v>29197.39323999999</v>
      </c>
      <c r="J82" s="19">
        <f t="shared" si="24"/>
        <v>33577.00222599999</v>
      </c>
      <c r="K82" s="19">
        <f t="shared" si="24"/>
        <v>38613.552559899988</v>
      </c>
    </row>
    <row r="83" spans="1:11" x14ac:dyDescent="0.3">
      <c r="A83" s="7" t="s">
        <v>233</v>
      </c>
      <c r="C83" s="4" t="s">
        <v>226</v>
      </c>
      <c r="D83" s="29">
        <f>D82/C82-1</f>
        <v>5.9298006764246791E-2</v>
      </c>
      <c r="E83" s="29">
        <f t="shared" ref="E83:F83" si="25">E82/D82-1</f>
        <v>6.8260206946338275E-2</v>
      </c>
      <c r="F83" s="29">
        <f t="shared" si="25"/>
        <v>0.65688472778177642</v>
      </c>
      <c r="G83" s="30">
        <f>'Assumption Sheet'!G28</f>
        <v>0.15</v>
      </c>
      <c r="H83" s="30">
        <f>'Assumption Sheet'!H28</f>
        <v>0.15</v>
      </c>
      <c r="I83" s="30">
        <f>'Assumption Sheet'!I28</f>
        <v>0.15</v>
      </c>
      <c r="J83" s="30">
        <f>'Assumption Sheet'!J28</f>
        <v>0.15</v>
      </c>
      <c r="K83" s="30">
        <f>'Assumption Sheet'!K28</f>
        <v>0.15</v>
      </c>
    </row>
    <row r="85" spans="1:11" s="36" customFormat="1" x14ac:dyDescent="0.3">
      <c r="A85" s="34" t="str">
        <f>A13</f>
        <v>Income from events</v>
      </c>
      <c r="B85" s="34"/>
      <c r="C85" s="35">
        <f>C13</f>
        <v>0</v>
      </c>
      <c r="D85" s="35">
        <f>D13</f>
        <v>4895.66</v>
      </c>
      <c r="E85" s="35">
        <f>E13</f>
        <v>1344.17</v>
      </c>
      <c r="F85" s="35">
        <f>F13</f>
        <v>28524.12</v>
      </c>
      <c r="G85" s="19">
        <f>F85*(1+G86)</f>
        <v>25671.707999999999</v>
      </c>
      <c r="H85" s="19">
        <f t="shared" ref="H85:K85" si="26">G85*(1+H86)</f>
        <v>23104.537199999999</v>
      </c>
      <c r="I85" s="19">
        <f t="shared" si="26"/>
        <v>20794.083480000001</v>
      </c>
      <c r="J85" s="19">
        <f t="shared" si="26"/>
        <v>18714.675132</v>
      </c>
      <c r="K85" s="19">
        <f t="shared" si="26"/>
        <v>16843.207618799999</v>
      </c>
    </row>
    <row r="86" spans="1:11" x14ac:dyDescent="0.3">
      <c r="A86" s="7" t="s">
        <v>235</v>
      </c>
      <c r="E86" s="29">
        <f>E85/D85-1</f>
        <v>-0.72543640694002443</v>
      </c>
      <c r="F86" s="29">
        <f t="shared" ref="F86" si="27">F85/E85-1</f>
        <v>20.220619415698906</v>
      </c>
      <c r="G86" s="30">
        <f>'Assumption Sheet'!G31</f>
        <v>-0.1</v>
      </c>
      <c r="H86" s="30">
        <f>'Assumption Sheet'!H31</f>
        <v>-0.1</v>
      </c>
      <c r="I86" s="30">
        <f>'Assumption Sheet'!I31</f>
        <v>-0.1</v>
      </c>
      <c r="J86" s="30">
        <f>'Assumption Sheet'!J31</f>
        <v>-0.1</v>
      </c>
      <c r="K86" s="30">
        <f>'Assumption Sheet'!K31</f>
        <v>-0.1</v>
      </c>
    </row>
    <row r="88" spans="1:11" s="1" customFormat="1" x14ac:dyDescent="0.3">
      <c r="A88" s="17" t="str">
        <f>A14</f>
        <v xml:space="preserve">Other operating income </v>
      </c>
      <c r="B88" s="17"/>
      <c r="C88" s="18">
        <f>C14</f>
        <v>1327.06</v>
      </c>
      <c r="D88" s="18">
        <f>D14</f>
        <v>3036.74</v>
      </c>
      <c r="E88" s="18">
        <f>E14</f>
        <v>4503.17</v>
      </c>
      <c r="F88" s="18">
        <f>F14</f>
        <v>467.2</v>
      </c>
      <c r="G88" s="19">
        <f>'Assumption Sheet'!G34</f>
        <v>0</v>
      </c>
      <c r="H88" s="19">
        <f>'Assumption Sheet'!H34</f>
        <v>0</v>
      </c>
      <c r="I88" s="19">
        <f>'Assumption Sheet'!I34</f>
        <v>0</v>
      </c>
      <c r="J88" s="19">
        <f>'Assumption Sheet'!J34</f>
        <v>0</v>
      </c>
      <c r="K88" s="19">
        <f>'Assumption Sheet'!K34</f>
        <v>0</v>
      </c>
    </row>
  </sheetData>
  <hyperlinks>
    <hyperlink ref="A1" location="'Navigation Pane'!B4" display="Revene Model " xr:uid="{50A9C3FC-5E8C-4AAC-B949-E4B4528A0B02}"/>
  </hyperlink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E22D0-8CA2-4896-B1E9-0AAC301D73E0}">
  <dimension ref="A1:L61"/>
  <sheetViews>
    <sheetView showGridLines="0" workbookViewId="0">
      <pane xSplit="2" ySplit="3" topLeftCell="C4" activePane="bottomRight" state="frozen"/>
      <selection pane="topRight" activeCell="C1" sqref="C1"/>
      <selection pane="bottomLeft" activeCell="A4" sqref="A4"/>
      <selection pane="bottomRight"/>
    </sheetView>
  </sheetViews>
  <sheetFormatPr defaultRowHeight="14.4" x14ac:dyDescent="0.3"/>
  <cols>
    <col min="1" max="1" width="68.21875" style="7" bestFit="1" customWidth="1"/>
    <col min="2" max="2" width="9.6640625" style="7" customWidth="1"/>
    <col min="3" max="5" width="9.44140625" style="31" bestFit="1" customWidth="1"/>
    <col min="6" max="6" width="12" style="31" bestFit="1" customWidth="1"/>
    <col min="7" max="11" width="17.33203125" style="5" bestFit="1" customWidth="1"/>
  </cols>
  <sheetData>
    <row r="1" spans="1:12" s="1" customFormat="1" ht="18" x14ac:dyDescent="0.3">
      <c r="A1" s="77" t="s">
        <v>270</v>
      </c>
      <c r="B1" s="6"/>
      <c r="C1" s="36"/>
      <c r="D1" s="36"/>
      <c r="E1" s="36"/>
      <c r="F1" s="36"/>
      <c r="G1" s="2"/>
      <c r="H1" s="2"/>
      <c r="I1" s="2"/>
      <c r="J1" s="2"/>
      <c r="K1" s="2"/>
    </row>
    <row r="2" spans="1:12" x14ac:dyDescent="0.3">
      <c r="A2" s="7" t="s">
        <v>1</v>
      </c>
      <c r="C2" s="37"/>
      <c r="D2" s="37"/>
      <c r="E2" s="37"/>
      <c r="F2" s="37"/>
      <c r="G2" s="3"/>
      <c r="H2" s="3"/>
      <c r="I2" s="3"/>
      <c r="J2" s="3"/>
      <c r="K2" s="3"/>
    </row>
    <row r="3" spans="1:12" s="1" customFormat="1" x14ac:dyDescent="0.3">
      <c r="A3" s="6" t="s">
        <v>2</v>
      </c>
      <c r="B3" s="6" t="s">
        <v>3</v>
      </c>
      <c r="C3" s="38" t="s">
        <v>4</v>
      </c>
      <c r="D3" s="38" t="s">
        <v>5</v>
      </c>
      <c r="E3" s="38" t="s">
        <v>6</v>
      </c>
      <c r="F3" s="38" t="s">
        <v>7</v>
      </c>
      <c r="G3" s="9" t="s">
        <v>8</v>
      </c>
      <c r="H3" s="9" t="s">
        <v>9</v>
      </c>
      <c r="I3" s="9" t="s">
        <v>10</v>
      </c>
      <c r="J3" s="9" t="s">
        <v>11</v>
      </c>
      <c r="K3" s="9" t="s">
        <v>12</v>
      </c>
    </row>
    <row r="5" spans="1:12" s="16" customFormat="1" x14ac:dyDescent="0.3">
      <c r="A5" s="17" t="str">
        <f>IS!A5</f>
        <v xml:space="preserve">Cost of Music Business </v>
      </c>
      <c r="B5" s="17"/>
      <c r="C5" s="35">
        <f>IS!C5</f>
        <v>6912.2800000000007</v>
      </c>
      <c r="D5" s="35">
        <f>IS!D5</f>
        <v>9090.75</v>
      </c>
      <c r="E5" s="35">
        <f>IS!E5</f>
        <v>10693.99</v>
      </c>
      <c r="F5" s="35">
        <f>IS!F5</f>
        <v>8708.4100000000017</v>
      </c>
      <c r="G5" s="19">
        <f>G10*G12</f>
        <v>12027.589155930869</v>
      </c>
      <c r="H5" s="19">
        <f t="shared" ref="H5:K5" si="0">H10*H12</f>
        <v>14099.200648643833</v>
      </c>
      <c r="I5" s="19">
        <f t="shared" si="0"/>
        <v>16769.356157638224</v>
      </c>
      <c r="J5" s="19">
        <f t="shared" si="0"/>
        <v>20104.887909320929</v>
      </c>
      <c r="K5" s="19">
        <f t="shared" si="0"/>
        <v>24207.853223768681</v>
      </c>
    </row>
    <row r="7" spans="1:12" x14ac:dyDescent="0.3">
      <c r="A7" s="7" t="str">
        <f>'Revenue Model'!A8</f>
        <v>Sale of product</v>
      </c>
      <c r="C7" s="31">
        <f>'Revenue Model'!C8</f>
        <v>10167.719999999999</v>
      </c>
      <c r="D7" s="31">
        <f>'Revenue Model'!D8</f>
        <v>12760.93</v>
      </c>
      <c r="E7" s="31">
        <f>'Revenue Model'!E8</f>
        <v>12962</v>
      </c>
      <c r="F7" s="31">
        <f>'Revenue Model'!F8</f>
        <v>8154.52</v>
      </c>
      <c r="G7" s="5">
        <f>'Revenue Model'!G8</f>
        <v>5218.8928000000014</v>
      </c>
      <c r="H7" s="5">
        <f>'Revenue Model'!H8</f>
        <v>3340.0913920000007</v>
      </c>
      <c r="I7" s="5">
        <f>'Revenue Model'!I8</f>
        <v>2137.6584908800005</v>
      </c>
      <c r="J7" s="5">
        <f>'Revenue Model'!J8</f>
        <v>1368.1014341632006</v>
      </c>
      <c r="K7" s="5">
        <f>'Revenue Model'!K8</f>
        <v>875.58491786444836</v>
      </c>
    </row>
    <row r="8" spans="1:12" x14ac:dyDescent="0.3">
      <c r="A8" s="7" t="str">
        <f>'Revenue Model'!A10</f>
        <v xml:space="preserve">License Fees- Music </v>
      </c>
      <c r="C8" s="31">
        <f>'Revenue Model'!C10</f>
        <v>36328.85</v>
      </c>
      <c r="D8" s="31">
        <f>'Revenue Model'!D10</f>
        <v>42122.5</v>
      </c>
      <c r="E8" s="31">
        <f>'Revenue Model'!E10</f>
        <v>47828.58</v>
      </c>
      <c r="F8" s="31">
        <f>'Revenue Model'!F10</f>
        <v>53860.92</v>
      </c>
      <c r="G8" s="5">
        <f>'Revenue Model'!G10</f>
        <v>64308.399596571428</v>
      </c>
      <c r="H8" s="5">
        <f>'Revenue Model'!H10</f>
        <v>79353.293436000007</v>
      </c>
      <c r="I8" s="5">
        <f>'Revenue Model'!I10</f>
        <v>91176.806276751086</v>
      </c>
      <c r="J8" s="5">
        <f>'Revenue Model'!J10</f>
        <v>103721.92316308267</v>
      </c>
      <c r="K8" s="5">
        <f>'Revenue Model'!K10</f>
        <v>118674.5347501573</v>
      </c>
    </row>
    <row r="9" spans="1:12" x14ac:dyDescent="0.3">
      <c r="A9" s="7" t="str">
        <f>'Revenue Model'!A11</f>
        <v xml:space="preserve">Artist Management </v>
      </c>
      <c r="C9" s="31">
        <f>'Revenue Model'!C11</f>
        <v>0</v>
      </c>
      <c r="D9" s="31">
        <f>'Revenue Model'!D11</f>
        <v>0</v>
      </c>
      <c r="E9" s="31">
        <f>'Revenue Model'!E11</f>
        <v>2075.8200000000002</v>
      </c>
      <c r="F9" s="31">
        <f>'Revenue Model'!F11</f>
        <v>6931.24</v>
      </c>
      <c r="G9" s="5">
        <f>'Revenue Model'!G11</f>
        <v>9250.1140034285636</v>
      </c>
      <c r="H9" s="5">
        <f>'Revenue Model'!H11</f>
        <v>9652.5080199999793</v>
      </c>
      <c r="I9" s="5">
        <f>'Revenue Model'!I11</f>
        <v>16520.213485008891</v>
      </c>
      <c r="J9" s="5">
        <f>'Revenue Model'!J11</f>
        <v>26591.470748646898</v>
      </c>
      <c r="K9" s="5">
        <f>'Revenue Model'!K11</f>
        <v>39004.67188303548</v>
      </c>
    </row>
    <row r="10" spans="1:12" x14ac:dyDescent="0.3">
      <c r="A10" s="7" t="s">
        <v>275</v>
      </c>
      <c r="C10" s="31">
        <f>SUM(C7:C9)</f>
        <v>46496.57</v>
      </c>
      <c r="D10" s="31">
        <f t="shared" ref="D10:K10" si="1">SUM(D7:D9)</f>
        <v>54883.43</v>
      </c>
      <c r="E10" s="31">
        <f t="shared" si="1"/>
        <v>62866.400000000001</v>
      </c>
      <c r="F10" s="31">
        <f t="shared" si="1"/>
        <v>68946.680000000008</v>
      </c>
      <c r="G10" s="5">
        <f t="shared" si="1"/>
        <v>78777.406399999993</v>
      </c>
      <c r="H10" s="5">
        <f t="shared" si="1"/>
        <v>92345.892847999989</v>
      </c>
      <c r="I10" s="5">
        <f t="shared" si="1"/>
        <v>109834.67825263998</v>
      </c>
      <c r="J10" s="5">
        <f t="shared" si="1"/>
        <v>131681.49534589276</v>
      </c>
      <c r="K10" s="5">
        <f t="shared" si="1"/>
        <v>158554.79155105722</v>
      </c>
    </row>
    <row r="12" spans="1:12" x14ac:dyDescent="0.3">
      <c r="A12" s="7" t="s">
        <v>276</v>
      </c>
      <c r="C12" s="39">
        <f>C5/C10</f>
        <v>0.14866214862730737</v>
      </c>
      <c r="D12" s="39">
        <f t="shared" ref="D12:F12" si="2">D5/D10</f>
        <v>0.16563742462889072</v>
      </c>
      <c r="E12" s="39">
        <f t="shared" si="2"/>
        <v>0.17010660702696512</v>
      </c>
      <c r="F12" s="39">
        <f t="shared" si="2"/>
        <v>0.12630644434220764</v>
      </c>
      <c r="G12" s="30">
        <f>'Assumption Sheet'!G40</f>
        <v>0.1526781561563427</v>
      </c>
      <c r="H12" s="30">
        <f>'Assumption Sheet'!H40</f>
        <v>0.1526781561563427</v>
      </c>
      <c r="I12" s="30">
        <f>'Assumption Sheet'!I40</f>
        <v>0.1526781561563427</v>
      </c>
      <c r="J12" s="30">
        <f>'Assumption Sheet'!J40</f>
        <v>0.1526781561563427</v>
      </c>
      <c r="K12" s="30">
        <f>'Assumption Sheet'!K40</f>
        <v>0.1526781561563427</v>
      </c>
    </row>
    <row r="15" spans="1:12" s="16" customFormat="1" x14ac:dyDescent="0.3">
      <c r="A15" s="17" t="str">
        <f>IS!A6</f>
        <v>Cost of Films, Tv serials and Digital content (under production and untelecasted)</v>
      </c>
      <c r="B15" s="17"/>
      <c r="C15" s="35">
        <f>IS!C6</f>
        <v>7398.3499999999995</v>
      </c>
      <c r="D15" s="35">
        <f>IS!D6</f>
        <v>13413.68</v>
      </c>
      <c r="E15" s="35">
        <f>IS!E6</f>
        <v>12510.529999999999</v>
      </c>
      <c r="F15" s="35">
        <f>IS!F6</f>
        <v>45600.27</v>
      </c>
      <c r="G15" s="19">
        <f>G19*G21</f>
        <v>38199.3056</v>
      </c>
      <c r="H15" s="19">
        <f t="shared" ref="H15:K15" si="3">H19*H21</f>
        <v>38794.85983999999</v>
      </c>
      <c r="I15" s="19">
        <f t="shared" si="3"/>
        <v>37493.607539999997</v>
      </c>
      <c r="J15" s="19">
        <f t="shared" si="3"/>
        <v>36604.174150599989</v>
      </c>
      <c r="K15" s="19">
        <f t="shared" si="3"/>
        <v>38819.732125089991</v>
      </c>
      <c r="L15" s="19"/>
    </row>
    <row r="17" spans="1:11" x14ac:dyDescent="0.3">
      <c r="A17" s="7" t="str">
        <f>'Revenue Model'!A12</f>
        <v xml:space="preserve">Income from videos </v>
      </c>
      <c r="C17" s="31">
        <f>'Revenue Model'!C12</f>
        <v>10239.129999999999</v>
      </c>
      <c r="D17" s="31">
        <f>'Revenue Model'!D12</f>
        <v>10846.29</v>
      </c>
      <c r="E17" s="31">
        <f>'Revenue Model'!E12</f>
        <v>11586.66</v>
      </c>
      <c r="F17" s="31">
        <f>'Revenue Model'!F12</f>
        <v>19197.759999999998</v>
      </c>
      <c r="G17" s="5">
        <f>'Revenue Model'!G12</f>
        <v>22077.423999999995</v>
      </c>
      <c r="H17" s="5">
        <f>'Revenue Model'!H12</f>
        <v>25389.037599999992</v>
      </c>
      <c r="I17" s="5">
        <f>'Revenue Model'!I12</f>
        <v>29197.39323999999</v>
      </c>
      <c r="J17" s="5">
        <f>'Revenue Model'!J12</f>
        <v>33577.00222599999</v>
      </c>
      <c r="K17" s="5">
        <f>'Revenue Model'!K12</f>
        <v>38613.552559899988</v>
      </c>
    </row>
    <row r="18" spans="1:11" x14ac:dyDescent="0.3">
      <c r="A18" s="7" t="str">
        <f>'Revenue Model'!A13</f>
        <v>Income from events</v>
      </c>
      <c r="C18" s="31">
        <f>'Revenue Model'!C13</f>
        <v>0</v>
      </c>
      <c r="D18" s="31">
        <f>'Revenue Model'!D13</f>
        <v>4895.66</v>
      </c>
      <c r="E18" s="31">
        <f>'Revenue Model'!E13</f>
        <v>1344.17</v>
      </c>
      <c r="F18" s="31">
        <f>'Revenue Model'!F13</f>
        <v>28524.12</v>
      </c>
      <c r="G18" s="5">
        <f>'Revenue Model'!G13</f>
        <v>25671.707999999999</v>
      </c>
      <c r="H18" s="5">
        <f>'Revenue Model'!H13</f>
        <v>23104.537199999999</v>
      </c>
      <c r="I18" s="5">
        <f>'Revenue Model'!I13</f>
        <v>20794.083480000001</v>
      </c>
      <c r="J18" s="5">
        <f>'Revenue Model'!J13</f>
        <v>18714.675132</v>
      </c>
      <c r="K18" s="5">
        <f>'Revenue Model'!K13</f>
        <v>16843.207618799999</v>
      </c>
    </row>
    <row r="19" spans="1:11" x14ac:dyDescent="0.3">
      <c r="A19" s="7" t="s">
        <v>273</v>
      </c>
      <c r="C19" s="31">
        <f>SUM(C17:C18)</f>
        <v>10239.129999999999</v>
      </c>
      <c r="D19" s="31">
        <f t="shared" ref="D19:K19" si="4">SUM(D17:D18)</f>
        <v>15741.95</v>
      </c>
      <c r="E19" s="31">
        <f t="shared" si="4"/>
        <v>12930.83</v>
      </c>
      <c r="F19" s="31">
        <f t="shared" si="4"/>
        <v>47721.88</v>
      </c>
      <c r="G19" s="31">
        <f t="shared" si="4"/>
        <v>47749.131999999998</v>
      </c>
      <c r="H19" s="31">
        <f t="shared" si="4"/>
        <v>48493.574799999988</v>
      </c>
      <c r="I19" s="31">
        <f t="shared" si="4"/>
        <v>49991.476719999991</v>
      </c>
      <c r="J19" s="31">
        <f t="shared" si="4"/>
        <v>52291.677357999986</v>
      </c>
      <c r="K19" s="31">
        <f t="shared" si="4"/>
        <v>55456.760178699988</v>
      </c>
    </row>
    <row r="21" spans="1:11" x14ac:dyDescent="0.3">
      <c r="A21" s="7" t="s">
        <v>274</v>
      </c>
      <c r="C21" s="39">
        <f>C15/C19</f>
        <v>0.72255650626566903</v>
      </c>
      <c r="D21" s="39">
        <f t="shared" ref="D21:F21" si="5">D15/D19</f>
        <v>0.85209773884429818</v>
      </c>
      <c r="E21" s="39">
        <f t="shared" si="5"/>
        <v>0.96749628600793602</v>
      </c>
      <c r="F21" s="39">
        <f t="shared" si="5"/>
        <v>0.95554219573914523</v>
      </c>
      <c r="G21" s="30">
        <f>'Assumption Sheet'!G43</f>
        <v>0.8</v>
      </c>
      <c r="H21" s="30">
        <f>'Assumption Sheet'!H43</f>
        <v>0.8</v>
      </c>
      <c r="I21" s="30">
        <f>'Assumption Sheet'!I43</f>
        <v>0.75</v>
      </c>
      <c r="J21" s="30">
        <f>'Assumption Sheet'!J43</f>
        <v>0.7</v>
      </c>
      <c r="K21" s="30">
        <f>'Assumption Sheet'!K43</f>
        <v>0.7</v>
      </c>
    </row>
    <row r="22" spans="1:11" x14ac:dyDescent="0.3">
      <c r="C22" s="39"/>
      <c r="D22" s="39"/>
      <c r="E22" s="39"/>
      <c r="F22" s="39"/>
      <c r="G22" s="30"/>
      <c r="H22" s="30"/>
      <c r="I22" s="30"/>
      <c r="J22" s="30"/>
      <c r="K22" s="30"/>
    </row>
    <row r="23" spans="1:11" x14ac:dyDescent="0.3">
      <c r="C23" s="39"/>
      <c r="D23" s="39"/>
      <c r="E23" s="39"/>
      <c r="F23" s="39"/>
    </row>
    <row r="24" spans="1:11" s="16" customFormat="1" x14ac:dyDescent="0.3">
      <c r="A24" s="17" t="str">
        <f>IS!A7</f>
        <v>Employee benefits expense</v>
      </c>
      <c r="B24" s="17"/>
      <c r="C24" s="35">
        <f>IS!C7</f>
        <v>7344.7</v>
      </c>
      <c r="D24" s="35">
        <f>IS!D7</f>
        <v>7499.89</v>
      </c>
      <c r="E24" s="35">
        <f>IS!E7</f>
        <v>9316.06</v>
      </c>
      <c r="F24" s="35">
        <f>IS!F7</f>
        <v>10749.67</v>
      </c>
      <c r="G24" s="19">
        <f>(G26*G27)+(G30*G31)+(G34*G35)</f>
        <v>8073.206663334634</v>
      </c>
      <c r="H24" s="19">
        <f t="shared" ref="H24:K24" si="6">(H26*H27)+(H30*H31)+(H34*H35)</f>
        <v>11308.212307864243</v>
      </c>
      <c r="I24" s="19">
        <f t="shared" si="6"/>
        <v>15785.882991356517</v>
      </c>
      <c r="J24" s="19">
        <f t="shared" si="6"/>
        <v>21978.01249603448</v>
      </c>
      <c r="K24" s="19">
        <f t="shared" si="6"/>
        <v>30431.479540634602</v>
      </c>
    </row>
    <row r="26" spans="1:11" x14ac:dyDescent="0.3">
      <c r="A26" s="7" t="s">
        <v>283</v>
      </c>
      <c r="D26" s="31">
        <v>8</v>
      </c>
      <c r="E26" s="31">
        <v>7</v>
      </c>
      <c r="F26" s="31">
        <v>8</v>
      </c>
      <c r="G26" s="5">
        <f>'Assumption Sheet'!G46</f>
        <v>8</v>
      </c>
      <c r="H26" s="5">
        <f>'Assumption Sheet'!H46</f>
        <v>8</v>
      </c>
      <c r="I26" s="5">
        <f>'Assumption Sheet'!I46</f>
        <v>8</v>
      </c>
      <c r="J26" s="5">
        <f>'Assumption Sheet'!J46</f>
        <v>8</v>
      </c>
      <c r="K26" s="5">
        <f>'Assumption Sheet'!K46</f>
        <v>8</v>
      </c>
    </row>
    <row r="27" spans="1:11" x14ac:dyDescent="0.3">
      <c r="A27" s="7" t="s">
        <v>280</v>
      </c>
      <c r="C27" s="31" t="s">
        <v>226</v>
      </c>
      <c r="D27" s="31" t="s">
        <v>226</v>
      </c>
      <c r="E27" s="31">
        <f>AVERAGE(2.95,1.1)</f>
        <v>2.0250000000000004</v>
      </c>
      <c r="F27" s="31">
        <f>AVERAGE(5.15,2)</f>
        <v>3.5750000000000002</v>
      </c>
      <c r="G27" s="5">
        <f>F27*(1+G28)</f>
        <v>4.94320987654321</v>
      </c>
      <c r="H27" s="5">
        <f t="shared" ref="H27:K27" si="7">G27*(1+H28)</f>
        <v>6.8350556317634501</v>
      </c>
      <c r="I27" s="5">
        <f t="shared" si="7"/>
        <v>9.4509411204630425</v>
      </c>
      <c r="J27" s="5">
        <f t="shared" si="7"/>
        <v>13.067967969035317</v>
      </c>
      <c r="K27" s="5">
        <f t="shared" si="7"/>
        <v>18.069289043604389</v>
      </c>
    </row>
    <row r="28" spans="1:11" x14ac:dyDescent="0.3">
      <c r="A28" s="7" t="s">
        <v>286</v>
      </c>
      <c r="C28" s="31" t="s">
        <v>226</v>
      </c>
      <c r="D28" s="31" t="s">
        <v>226</v>
      </c>
      <c r="E28" s="31">
        <v>0</v>
      </c>
      <c r="F28" s="39">
        <f>F27/E27-1</f>
        <v>0.76543209876543195</v>
      </c>
      <c r="G28" s="30">
        <f>'Assumption Sheet'!G47</f>
        <v>0.38271604938271597</v>
      </c>
      <c r="H28" s="30">
        <f>'Assumption Sheet'!H47</f>
        <v>0.38271604938271597</v>
      </c>
      <c r="I28" s="30">
        <f>'Assumption Sheet'!I47</f>
        <v>0.38271604938271597</v>
      </c>
      <c r="J28" s="30">
        <f>'Assumption Sheet'!J47</f>
        <v>0.38271604938271597</v>
      </c>
      <c r="K28" s="30">
        <f>'Assumption Sheet'!K47</f>
        <v>0.38271604938271597</v>
      </c>
    </row>
    <row r="30" spans="1:11" x14ac:dyDescent="0.3">
      <c r="A30" s="7" t="s">
        <v>284</v>
      </c>
      <c r="C30" s="31">
        <v>3</v>
      </c>
      <c r="D30" s="31">
        <v>3</v>
      </c>
      <c r="E30" s="31">
        <v>3</v>
      </c>
      <c r="F30" s="31">
        <v>3</v>
      </c>
      <c r="G30" s="5">
        <f>'Assumption Sheet'!G49</f>
        <v>3</v>
      </c>
      <c r="H30" s="5">
        <f>'Assumption Sheet'!H49</f>
        <v>3</v>
      </c>
      <c r="I30" s="5">
        <f>'Assumption Sheet'!I49</f>
        <v>3</v>
      </c>
      <c r="J30" s="5">
        <f>'Assumption Sheet'!J49</f>
        <v>3</v>
      </c>
      <c r="K30" s="5">
        <f>'Assumption Sheet'!K49</f>
        <v>3</v>
      </c>
    </row>
    <row r="31" spans="1:11" x14ac:dyDescent="0.3">
      <c r="A31" s="7" t="s">
        <v>281</v>
      </c>
      <c r="C31" s="31">
        <f>MEDIAN(937.83,201.13,16.65)</f>
        <v>201.13</v>
      </c>
      <c r="D31" s="31">
        <f>AVERAGE(587.02,7.32)</f>
        <v>297.17</v>
      </c>
      <c r="E31" s="31">
        <f>AVERAGE(698.79,12.56)</f>
        <v>355.67499999999995</v>
      </c>
      <c r="F31" s="31">
        <f>AVERAGE(832.02,14.47)</f>
        <v>423.245</v>
      </c>
      <c r="G31" s="5">
        <f>F31*(1+G32)</f>
        <v>545.18932810742922</v>
      </c>
      <c r="H31" s="5">
        <f t="shared" ref="H31:K31" si="8">G31*(1+H32)</f>
        <v>667.85115427004484</v>
      </c>
      <c r="I31" s="5">
        <f t="shared" si="8"/>
        <v>824.36959746426987</v>
      </c>
      <c r="J31" s="5">
        <f t="shared" si="8"/>
        <v>1029.766302094064</v>
      </c>
      <c r="K31" s="5">
        <f t="shared" si="8"/>
        <v>1272.9651003285862</v>
      </c>
    </row>
    <row r="32" spans="1:11" x14ac:dyDescent="0.3">
      <c r="A32" s="7" t="s">
        <v>286</v>
      </c>
      <c r="C32" s="31" t="s">
        <v>226</v>
      </c>
      <c r="D32" s="40">
        <f>D31/C31-1</f>
        <v>0.47750211306120427</v>
      </c>
      <c r="E32" s="40">
        <f t="shared" ref="E32:F32" si="9">E31/D31-1</f>
        <v>0.19687384325470259</v>
      </c>
      <c r="F32" s="40">
        <f t="shared" si="9"/>
        <v>0.18997680466718236</v>
      </c>
      <c r="G32" s="30">
        <f>'Assumption Sheet'!G50</f>
        <v>0.28811758699436307</v>
      </c>
      <c r="H32" s="30">
        <f>'Assumption Sheet'!H50</f>
        <v>0.22498941163874933</v>
      </c>
      <c r="I32" s="30">
        <f>'Assumption Sheet'!I50</f>
        <v>0.23436126776676491</v>
      </c>
      <c r="J32" s="30">
        <f>'Assumption Sheet'!J50</f>
        <v>0.2491560887999591</v>
      </c>
      <c r="K32" s="30">
        <f>'Assumption Sheet'!K50</f>
        <v>0.23616892273515777</v>
      </c>
    </row>
    <row r="34" spans="1:11" x14ac:dyDescent="0.3">
      <c r="A34" s="7" t="s">
        <v>285</v>
      </c>
      <c r="B34" s="7" t="s">
        <v>279</v>
      </c>
      <c r="C34" s="31">
        <v>407</v>
      </c>
      <c r="D34" s="31">
        <v>372</v>
      </c>
      <c r="E34" s="31">
        <v>454</v>
      </c>
      <c r="F34" s="31">
        <v>396</v>
      </c>
      <c r="G34" s="5">
        <f>F34+'Assumption Sheet'!G53</f>
        <v>446</v>
      </c>
      <c r="H34" s="5">
        <f>G34+'Assumption Sheet'!H53</f>
        <v>496</v>
      </c>
      <c r="I34" s="5">
        <f>H34+'Assumption Sheet'!I53</f>
        <v>546</v>
      </c>
      <c r="J34" s="5">
        <f>I34+'Assumption Sheet'!J53</f>
        <v>596</v>
      </c>
      <c r="K34" s="5">
        <f>J34+'Assumption Sheet'!K53</f>
        <v>646</v>
      </c>
    </row>
    <row r="35" spans="1:11" x14ac:dyDescent="0.3">
      <c r="A35" s="7" t="s">
        <v>282</v>
      </c>
      <c r="D35" s="31">
        <f>AVERAGE(9.5,9.5)</f>
        <v>9.5</v>
      </c>
      <c r="E35" s="31">
        <f>AVERAGE(10.19,8)</f>
        <v>9.0949999999999989</v>
      </c>
      <c r="F35" s="31">
        <f>AVERAGE(12.08,9.99)</f>
        <v>11.035</v>
      </c>
      <c r="G35" s="5">
        <f>F35*(1+G36)</f>
        <v>14.345500000000001</v>
      </c>
      <c r="H35" s="5">
        <f t="shared" ref="H35:K35" si="10">G35*(1+H36)</f>
        <v>18.649150000000002</v>
      </c>
      <c r="I35" s="5">
        <f t="shared" si="10"/>
        <v>24.243895000000006</v>
      </c>
      <c r="J35" s="5">
        <f t="shared" si="10"/>
        <v>31.51706350000001</v>
      </c>
      <c r="K35" s="5">
        <f t="shared" si="10"/>
        <v>40.972182550000014</v>
      </c>
    </row>
    <row r="36" spans="1:11" x14ac:dyDescent="0.3">
      <c r="A36" s="7" t="s">
        <v>289</v>
      </c>
      <c r="C36" s="31" t="s">
        <v>226</v>
      </c>
      <c r="D36" s="40" t="s">
        <v>226</v>
      </c>
      <c r="E36" s="40">
        <f>E35/D35-1</f>
        <v>-4.2631578947368576E-2</v>
      </c>
      <c r="F36" s="40">
        <f t="shared" ref="F36" si="11">F35/E35-1</f>
        <v>0.21330401319406289</v>
      </c>
      <c r="G36" s="30">
        <f>'Assumption Sheet'!G54</f>
        <v>0.3</v>
      </c>
      <c r="H36" s="30">
        <f>'Assumption Sheet'!H54</f>
        <v>0.3</v>
      </c>
      <c r="I36" s="30">
        <f>'Assumption Sheet'!I54</f>
        <v>0.3</v>
      </c>
      <c r="J36" s="30">
        <f>'Assumption Sheet'!J54</f>
        <v>0.3</v>
      </c>
      <c r="K36" s="30">
        <f>'Assumption Sheet'!K54</f>
        <v>0.3</v>
      </c>
    </row>
    <row r="37" spans="1:11" x14ac:dyDescent="0.3">
      <c r="D37" s="40"/>
      <c r="E37" s="40"/>
      <c r="F37" s="40"/>
      <c r="G37" s="30"/>
      <c r="H37" s="30"/>
      <c r="I37" s="30"/>
      <c r="J37" s="30"/>
      <c r="K37" s="30"/>
    </row>
    <row r="39" spans="1:11" s="16" customFormat="1" x14ac:dyDescent="0.3">
      <c r="A39" s="17" t="str">
        <f>IS!A8</f>
        <v>Royalty expenses</v>
      </c>
      <c r="B39" s="17"/>
      <c r="C39" s="35">
        <f>IS!C8</f>
        <v>6313.76</v>
      </c>
      <c r="D39" s="35">
        <f>IS!D8</f>
        <v>6555.33</v>
      </c>
      <c r="E39" s="35">
        <f>IS!E8</f>
        <v>6126.64</v>
      </c>
      <c r="F39" s="35">
        <f>IS!F8</f>
        <v>6831.37</v>
      </c>
      <c r="G39" s="19">
        <f>G40*G41</f>
        <v>7073.9239556228567</v>
      </c>
      <c r="H39" s="19">
        <f t="shared" ref="H39:K39" si="12">H40*H41</f>
        <v>8728.8622779600009</v>
      </c>
      <c r="I39" s="19">
        <f t="shared" si="12"/>
        <v>10029.448690442619</v>
      </c>
      <c r="J39" s="19">
        <f t="shared" si="12"/>
        <v>11409.411547939093</v>
      </c>
      <c r="K39" s="19">
        <f t="shared" si="12"/>
        <v>13054.198822517303</v>
      </c>
    </row>
    <row r="40" spans="1:11" x14ac:dyDescent="0.3">
      <c r="A40" s="7" t="str">
        <f>'Revenue Model'!A26</f>
        <v xml:space="preserve">License Fees- Music </v>
      </c>
      <c r="C40" s="31">
        <f>'Revenue Model'!C26</f>
        <v>36328.85</v>
      </c>
      <c r="D40" s="31">
        <f>'Revenue Model'!D26</f>
        <v>42122.5</v>
      </c>
      <c r="E40" s="31">
        <f>'Revenue Model'!E26</f>
        <v>47828.58</v>
      </c>
      <c r="F40" s="31">
        <f>'Revenue Model'!F26</f>
        <v>53860.92</v>
      </c>
      <c r="G40" s="5">
        <f>'Revenue Model'!G26</f>
        <v>64308.399596571428</v>
      </c>
      <c r="H40" s="5">
        <f>'Revenue Model'!H26</f>
        <v>79353.293436000007</v>
      </c>
      <c r="I40" s="5">
        <f>'Revenue Model'!I26</f>
        <v>91176.806276751086</v>
      </c>
      <c r="J40" s="5">
        <f>'Revenue Model'!J26</f>
        <v>103721.92316308267</v>
      </c>
      <c r="K40" s="5">
        <f>'Revenue Model'!K26</f>
        <v>118674.5347501573</v>
      </c>
    </row>
    <row r="41" spans="1:11" x14ac:dyDescent="0.3">
      <c r="A41" s="7" t="s">
        <v>294</v>
      </c>
      <c r="C41" s="41">
        <f>C39/C40</f>
        <v>0.17379465631309554</v>
      </c>
      <c r="D41" s="41">
        <f t="shared" ref="D41:F41" si="13">D39/D40</f>
        <v>0.15562537836073356</v>
      </c>
      <c r="E41" s="41">
        <f t="shared" si="13"/>
        <v>0.12809579544280847</v>
      </c>
      <c r="F41" s="41">
        <f t="shared" si="13"/>
        <v>0.12683351862537812</v>
      </c>
      <c r="G41" s="42">
        <f>'Assumption Sheet'!G57</f>
        <v>0.11</v>
      </c>
      <c r="H41" s="42">
        <f>'Assumption Sheet'!H57</f>
        <v>0.11</v>
      </c>
      <c r="I41" s="42">
        <f>'Assumption Sheet'!I57</f>
        <v>0.11</v>
      </c>
      <c r="J41" s="42">
        <f>'Assumption Sheet'!J57</f>
        <v>0.11</v>
      </c>
      <c r="K41" s="42">
        <f>'Assumption Sheet'!K57</f>
        <v>0.11</v>
      </c>
    </row>
    <row r="44" spans="1:11" s="16" customFormat="1" x14ac:dyDescent="0.3">
      <c r="A44" s="17" t="str">
        <f>IS!A9</f>
        <v>Advertisement and sales promotion</v>
      </c>
      <c r="B44" s="17"/>
      <c r="C44" s="35">
        <f>IS!C9</f>
        <v>5205.33</v>
      </c>
      <c r="D44" s="35">
        <f>IS!D9</f>
        <v>7710.99</v>
      </c>
      <c r="E44" s="35">
        <f>IS!E9</f>
        <v>7598.01</v>
      </c>
      <c r="F44" s="35">
        <f>IS!F9</f>
        <v>9041.17</v>
      </c>
      <c r="G44" s="19">
        <f>G45*G46</f>
        <v>11581.474409117669</v>
      </c>
      <c r="H44" s="19">
        <f t="shared" ref="H44:K44" si="14">H45*H46</f>
        <v>12891.593423685001</v>
      </c>
      <c r="I44" s="19">
        <f t="shared" si="14"/>
        <v>14629.519997389767</v>
      </c>
      <c r="J44" s="19">
        <f t="shared" si="14"/>
        <v>16839.792019745317</v>
      </c>
      <c r="K44" s="19">
        <f t="shared" si="14"/>
        <v>19589.323638792801</v>
      </c>
    </row>
    <row r="45" spans="1:11" x14ac:dyDescent="0.3">
      <c r="A45" s="7" t="str">
        <f>IS!A4</f>
        <v>Revenue from operations</v>
      </c>
      <c r="C45" s="31">
        <f>IS!C4</f>
        <v>58062.76</v>
      </c>
      <c r="D45" s="31">
        <f>IS!D4</f>
        <v>73662.12</v>
      </c>
      <c r="E45" s="31">
        <f>IS!E4</f>
        <v>80300.399999999994</v>
      </c>
      <c r="F45" s="31">
        <f>IS!F4</f>
        <v>117135.76</v>
      </c>
      <c r="G45" s="5">
        <f>IS!G4</f>
        <v>126526.53839999999</v>
      </c>
      <c r="H45" s="5">
        <f>IS!H4</f>
        <v>140839.46764799999</v>
      </c>
      <c r="I45" s="5">
        <f>IS!I4</f>
        <v>159826.15497263995</v>
      </c>
      <c r="J45" s="5">
        <f>IS!J4</f>
        <v>183973.17270389275</v>
      </c>
      <c r="K45" s="5">
        <f>IS!K4</f>
        <v>214011.55172975719</v>
      </c>
    </row>
    <row r="46" spans="1:11" x14ac:dyDescent="0.3">
      <c r="A46" s="7" t="s">
        <v>296</v>
      </c>
      <c r="C46" s="39">
        <f>C44/C45</f>
        <v>8.965006141630194E-2</v>
      </c>
      <c r="D46" s="39">
        <f t="shared" ref="D46:F46" si="15">D44/D45</f>
        <v>0.10468053322386052</v>
      </c>
      <c r="E46" s="39">
        <f t="shared" si="15"/>
        <v>9.4619827547558932E-2</v>
      </c>
      <c r="F46" s="39">
        <f t="shared" si="15"/>
        <v>7.7185395817639293E-2</v>
      </c>
      <c r="G46" s="30">
        <f>'Assumption Sheet'!G60</f>
        <v>9.1533954501340165E-2</v>
      </c>
      <c r="H46" s="30">
        <f>'Assumption Sheet'!H60</f>
        <v>9.1533954501340165E-2</v>
      </c>
      <c r="I46" s="30">
        <f>'Assumption Sheet'!I60</f>
        <v>9.1533954501340165E-2</v>
      </c>
      <c r="J46" s="30">
        <f>'Assumption Sheet'!J60</f>
        <v>9.1533954501340165E-2</v>
      </c>
      <c r="K46" s="30">
        <f>'Assumption Sheet'!K60</f>
        <v>9.1533954501340165E-2</v>
      </c>
    </row>
    <row r="48" spans="1:11" x14ac:dyDescent="0.3">
      <c r="C48" s="39"/>
      <c r="D48" s="39"/>
      <c r="E48" s="39"/>
      <c r="F48" s="39"/>
    </row>
    <row r="49" spans="1:11" s="16" customFormat="1" x14ac:dyDescent="0.3">
      <c r="A49" s="17" t="str">
        <f>IS!A10</f>
        <v>Other expenses</v>
      </c>
      <c r="B49" s="17"/>
      <c r="C49" s="35">
        <f>IS!C10</f>
        <v>6176.07</v>
      </c>
      <c r="D49" s="35">
        <f>IS!D10</f>
        <v>7293.41</v>
      </c>
      <c r="E49" s="35">
        <f>IS!E10</f>
        <v>9400.0700000000015</v>
      </c>
      <c r="F49" s="35">
        <f>IS!F10</f>
        <v>8506.01</v>
      </c>
      <c r="G49" s="19">
        <f>G50*G51</f>
        <v>12496.347174208142</v>
      </c>
      <c r="H49" s="19">
        <f t="shared" ref="H49:K49" si="16">H50*H51</f>
        <v>13642.214326432033</v>
      </c>
      <c r="I49" s="19">
        <f t="shared" si="16"/>
        <v>15395.502030361758</v>
      </c>
      <c r="J49" s="19">
        <f t="shared" si="16"/>
        <v>16767.841021431261</v>
      </c>
      <c r="K49" s="19">
        <f t="shared" si="16"/>
        <v>20496.828881834605</v>
      </c>
    </row>
    <row r="50" spans="1:11" x14ac:dyDescent="0.3">
      <c r="A50" s="7" t="str">
        <f>IS!A4</f>
        <v>Revenue from operations</v>
      </c>
      <c r="C50" s="31">
        <f>IS!C4</f>
        <v>58062.76</v>
      </c>
      <c r="D50" s="31">
        <f>IS!D4</f>
        <v>73662.12</v>
      </c>
      <c r="E50" s="31">
        <f>IS!E4</f>
        <v>80300.399999999994</v>
      </c>
      <c r="F50" s="31">
        <f>IS!F4</f>
        <v>117135.76</v>
      </c>
      <c r="G50" s="5">
        <f>IS!G4</f>
        <v>126526.53839999999</v>
      </c>
      <c r="H50" s="5">
        <f>IS!H4</f>
        <v>140839.46764799999</v>
      </c>
      <c r="I50" s="5">
        <f>IS!I4</f>
        <v>159826.15497263995</v>
      </c>
      <c r="J50" s="5">
        <f>IS!J4</f>
        <v>183973.17270389275</v>
      </c>
      <c r="K50" s="5">
        <f>IS!K4</f>
        <v>214011.55172975719</v>
      </c>
    </row>
    <row r="51" spans="1:11" x14ac:dyDescent="0.3">
      <c r="A51" s="7" t="s">
        <v>298</v>
      </c>
      <c r="C51" s="39">
        <f>C49/C50</f>
        <v>0.10636886706729062</v>
      </c>
      <c r="D51" s="39">
        <f t="shared" ref="D51:F51" si="17">D49/D50</f>
        <v>9.9011676557774889E-2</v>
      </c>
      <c r="E51" s="39">
        <f t="shared" si="17"/>
        <v>0.11706130978176948</v>
      </c>
      <c r="F51" s="39">
        <f t="shared" si="17"/>
        <v>7.2616679995929509E-2</v>
      </c>
      <c r="G51" s="30">
        <f>'Assumption Sheet'!G63</f>
        <v>9.8764633350691133E-2</v>
      </c>
      <c r="H51" s="30">
        <f>'Assumption Sheet'!H63</f>
        <v>9.6863574921541254E-2</v>
      </c>
      <c r="I51" s="30">
        <f>'Assumption Sheet'!I63</f>
        <v>9.6326549512482845E-2</v>
      </c>
      <c r="J51" s="30">
        <f>'Assumption Sheet'!J63</f>
        <v>9.1142859445161178E-2</v>
      </c>
      <c r="K51" s="30">
        <f>'Assumption Sheet'!K63</f>
        <v>9.5774404307469113E-2</v>
      </c>
    </row>
    <row r="54" spans="1:11" s="16" customFormat="1" x14ac:dyDescent="0.3">
      <c r="A54" s="17" t="str">
        <f>IS!A18</f>
        <v xml:space="preserve">Tax Expense </v>
      </c>
      <c r="B54" s="17"/>
      <c r="C54" s="35">
        <f>IS!C18</f>
        <v>5176.68</v>
      </c>
      <c r="D54" s="35">
        <f>IS!D18</f>
        <v>6302.58</v>
      </c>
      <c r="E54" s="35">
        <f>IS!E18</f>
        <v>7322.64</v>
      </c>
      <c r="F54" s="35">
        <f>IS!F18</f>
        <v>7183.2</v>
      </c>
      <c r="G54" s="19">
        <f>G55*G56</f>
        <v>8804.0365395498102</v>
      </c>
      <c r="H54" s="19">
        <f t="shared" ref="H54:K54" si="18">H55*H56</f>
        <v>9420.4782204611111</v>
      </c>
      <c r="I54" s="19">
        <f t="shared" si="18"/>
        <v>11201.097122794998</v>
      </c>
      <c r="J54" s="19">
        <f t="shared" si="18"/>
        <v>14599.07985779218</v>
      </c>
      <c r="K54" s="19">
        <f t="shared" si="18"/>
        <v>17205.368244908077</v>
      </c>
    </row>
    <row r="55" spans="1:11" x14ac:dyDescent="0.3">
      <c r="A55" s="7" t="str">
        <f>IS!A17</f>
        <v>Earning before Tax (EBT)</v>
      </c>
      <c r="C55" s="31">
        <f>IS!C17</f>
        <v>20441.239999999998</v>
      </c>
      <c r="D55" s="31">
        <f>IS!D17</f>
        <v>24807.769999999993</v>
      </c>
      <c r="E55" s="31">
        <f>IS!E17</f>
        <v>27078.57</v>
      </c>
      <c r="F55" s="31">
        <f>IS!F17</f>
        <v>27607.1</v>
      </c>
      <c r="G55" s="5">
        <f>IS!G17</f>
        <v>33929.555827383527</v>
      </c>
      <c r="H55" s="5">
        <f>IS!H17</f>
        <v>36305.237974186115</v>
      </c>
      <c r="I55" s="5">
        <f>IS!I17</f>
        <v>43167.500321988831</v>
      </c>
      <c r="J55" s="5">
        <f>IS!J17</f>
        <v>56262.862249401696</v>
      </c>
      <c r="K55" s="5">
        <f>IS!K17</f>
        <v>66307.142158470771</v>
      </c>
    </row>
    <row r="56" spans="1:11" x14ac:dyDescent="0.3">
      <c r="A56" s="7" t="s">
        <v>387</v>
      </c>
      <c r="C56" s="39">
        <f>C54/C55</f>
        <v>0.25324686760685755</v>
      </c>
      <c r="D56" s="39">
        <f t="shared" ref="D56:F56" si="19">D54/D55</f>
        <v>0.25405669272167558</v>
      </c>
      <c r="E56" s="39">
        <f t="shared" si="19"/>
        <v>0.27042196098243004</v>
      </c>
      <c r="F56" s="39">
        <f t="shared" si="19"/>
        <v>0.2601939356180113</v>
      </c>
      <c r="G56" s="30">
        <f>'Assumption Sheet'!G65</f>
        <v>0.25947986423224367</v>
      </c>
      <c r="H56" s="30">
        <f>'Assumption Sheet'!H65</f>
        <v>0.25947986423224367</v>
      </c>
      <c r="I56" s="30">
        <f>'Assumption Sheet'!I65</f>
        <v>0.25947986423224367</v>
      </c>
      <c r="J56" s="30">
        <f>'Assumption Sheet'!J65</f>
        <v>0.25947986423224367</v>
      </c>
      <c r="K56" s="30">
        <f>'Assumption Sheet'!K65</f>
        <v>0.25947986423224367</v>
      </c>
    </row>
    <row r="59" spans="1:11" s="16" customFormat="1" x14ac:dyDescent="0.3">
      <c r="A59" s="17" t="str">
        <f>IS!A20</f>
        <v xml:space="preserve">Dividends </v>
      </c>
      <c r="B59" s="17"/>
      <c r="C59" s="35">
        <f>IS!C20</f>
        <v>5784.28</v>
      </c>
      <c r="D59" s="35">
        <f>IS!D20</f>
        <v>5784.28</v>
      </c>
      <c r="E59" s="35">
        <f>IS!E20</f>
        <v>7712.38</v>
      </c>
      <c r="F59" s="35">
        <f>IS!F20</f>
        <v>8676.4</v>
      </c>
      <c r="G59" s="19">
        <f>G60*G61</f>
        <v>0</v>
      </c>
      <c r="H59" s="19">
        <f t="shared" ref="H59:K59" si="20">H60*H61</f>
        <v>0</v>
      </c>
      <c r="I59" s="19">
        <f t="shared" si="20"/>
        <v>12041.028169496918</v>
      </c>
      <c r="J59" s="19">
        <f t="shared" si="20"/>
        <v>15693.813729966707</v>
      </c>
      <c r="K59" s="19">
        <f t="shared" si="20"/>
        <v>18495.538555942003</v>
      </c>
    </row>
    <row r="60" spans="1:11" x14ac:dyDescent="0.3">
      <c r="A60" s="7" t="str">
        <f>IS!A19</f>
        <v>Profit For the year</v>
      </c>
      <c r="C60" s="31">
        <f>IS!C19</f>
        <v>15264.559999999998</v>
      </c>
      <c r="D60" s="31">
        <f>IS!D19</f>
        <v>18505.189999999995</v>
      </c>
      <c r="E60" s="31">
        <f>IS!E19</f>
        <v>19755.93</v>
      </c>
      <c r="F60" s="31">
        <f>IS!F19</f>
        <v>20423.899999999998</v>
      </c>
      <c r="G60" s="5">
        <f>IS!G19</f>
        <v>25125.519287833718</v>
      </c>
      <c r="H60" s="5">
        <f>IS!H19</f>
        <v>26884.759753725004</v>
      </c>
      <c r="I60" s="5">
        <f>IS!I19</f>
        <v>31966.403199193832</v>
      </c>
      <c r="J60" s="5">
        <f>IS!J19</f>
        <v>41663.782391609515</v>
      </c>
      <c r="K60" s="5">
        <f>IS!K19</f>
        <v>49101.773913562691</v>
      </c>
    </row>
    <row r="61" spans="1:11" x14ac:dyDescent="0.3">
      <c r="A61" s="7" t="s">
        <v>440</v>
      </c>
      <c r="C61" s="39">
        <f>C59/C60</f>
        <v>0.37893525918860421</v>
      </c>
      <c r="D61" s="39">
        <f t="shared" ref="D61:F61" si="21">D59/D60</f>
        <v>0.31257609351754839</v>
      </c>
      <c r="E61" s="39">
        <f t="shared" si="21"/>
        <v>0.39038303942158126</v>
      </c>
      <c r="F61" s="39">
        <f t="shared" si="21"/>
        <v>0.42481602436361326</v>
      </c>
      <c r="G61" s="30">
        <f>'Assumption Sheet'!G67</f>
        <v>0</v>
      </c>
      <c r="H61" s="30">
        <f>'Assumption Sheet'!H67</f>
        <v>0</v>
      </c>
      <c r="I61" s="30">
        <f>'Assumption Sheet'!I67</f>
        <v>0.3766776041228368</v>
      </c>
      <c r="J61" s="30">
        <f>'Assumption Sheet'!J67</f>
        <v>0.3766776041228368</v>
      </c>
      <c r="K61" s="30">
        <f>'Assumption Sheet'!K67</f>
        <v>0.3766776041228368</v>
      </c>
    </row>
  </sheetData>
  <hyperlinks>
    <hyperlink ref="A1" location="'Navigation Pane'!A1" display="Cost Model " xr:uid="{89A06D33-DC58-4BF6-8AA0-1DE6362E49E6}"/>
  </hyperlinks>
  <pageMargins left="0.7" right="0.7" top="0.75" bottom="0.75" header="0.3" footer="0.3"/>
  <pageSetup paperSize="9" orientation="portrait" horizontalDpi="4294967293" verticalDpi="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0D7E1-CF76-4F52-AA17-886BE9C6DA15}">
  <dimension ref="A1:L336"/>
  <sheetViews>
    <sheetView showGridLines="0" zoomScaleNormal="100" workbookViewId="0">
      <pane xSplit="2" ySplit="3" topLeftCell="C4" activePane="bottomRight" state="frozen"/>
      <selection pane="topRight" activeCell="C1" sqref="C1"/>
      <selection pane="bottomLeft" activeCell="A4" sqref="A4"/>
      <selection pane="bottomRight"/>
    </sheetView>
  </sheetViews>
  <sheetFormatPr defaultRowHeight="14.4" x14ac:dyDescent="0.3"/>
  <cols>
    <col min="1" max="1" width="44.33203125" style="7" bestFit="1" customWidth="1"/>
    <col min="2" max="2" width="10.109375" style="7" bestFit="1" customWidth="1"/>
    <col min="3" max="6" width="9.44140625" style="4" bestFit="1" customWidth="1"/>
    <col min="7" max="11" width="11" style="5" bestFit="1" customWidth="1"/>
  </cols>
  <sheetData>
    <row r="1" spans="1:11" s="1" customFormat="1" ht="18" x14ac:dyDescent="0.3">
      <c r="A1" s="77" t="s">
        <v>113</v>
      </c>
      <c r="B1" s="6"/>
      <c r="C1" s="8"/>
      <c r="D1" s="8"/>
      <c r="E1" s="8"/>
      <c r="F1" s="8"/>
      <c r="G1" s="9"/>
      <c r="H1" s="9"/>
      <c r="I1" s="9"/>
      <c r="J1" s="9"/>
      <c r="K1" s="9"/>
    </row>
    <row r="2" spans="1:11" x14ac:dyDescent="0.3">
      <c r="A2" s="7" t="s">
        <v>1</v>
      </c>
      <c r="C2" s="24"/>
      <c r="D2" s="24"/>
      <c r="E2" s="24"/>
      <c r="F2" s="24"/>
      <c r="G2" s="33"/>
      <c r="H2" s="33"/>
      <c r="I2" s="33"/>
      <c r="J2" s="33"/>
      <c r="K2" s="33"/>
    </row>
    <row r="3" spans="1:11" s="1" customFormat="1" x14ac:dyDescent="0.3">
      <c r="A3" s="6" t="s">
        <v>2</v>
      </c>
      <c r="B3" s="6" t="s">
        <v>3</v>
      </c>
      <c r="C3" s="8" t="s">
        <v>4</v>
      </c>
      <c r="D3" s="8" t="s">
        <v>5</v>
      </c>
      <c r="E3" s="8" t="s">
        <v>6</v>
      </c>
      <c r="F3" s="8" t="s">
        <v>7</v>
      </c>
      <c r="G3" s="9" t="s">
        <v>8</v>
      </c>
      <c r="H3" s="9" t="s">
        <v>9</v>
      </c>
      <c r="I3" s="9" t="s">
        <v>10</v>
      </c>
      <c r="J3" s="9" t="s">
        <v>11</v>
      </c>
      <c r="K3" s="9" t="s">
        <v>12</v>
      </c>
    </row>
    <row r="5" spans="1:11" s="1" customFormat="1" x14ac:dyDescent="0.3">
      <c r="A5" s="17" t="s">
        <v>114</v>
      </c>
      <c r="B5" s="17"/>
      <c r="C5" s="18"/>
      <c r="D5" s="18"/>
      <c r="E5" s="18"/>
      <c r="F5" s="18"/>
      <c r="G5" s="19"/>
      <c r="H5" s="19"/>
      <c r="I5" s="19"/>
      <c r="J5" s="19"/>
      <c r="K5" s="19"/>
    </row>
    <row r="6" spans="1:11" x14ac:dyDescent="0.3">
      <c r="A6" s="7" t="s">
        <v>115</v>
      </c>
      <c r="C6" s="4">
        <v>20007.759999999998</v>
      </c>
      <c r="D6" s="4">
        <v>20967.2</v>
      </c>
      <c r="E6" s="4">
        <v>20967.2</v>
      </c>
      <c r="F6" s="4">
        <v>20967.2</v>
      </c>
      <c r="G6" s="5">
        <f>F10</f>
        <v>20967.2</v>
      </c>
      <c r="H6" s="5">
        <f t="shared" ref="H6:K6" si="0">G10</f>
        <v>20967.2</v>
      </c>
      <c r="I6" s="5">
        <f t="shared" si="0"/>
        <v>20967.2</v>
      </c>
      <c r="J6" s="5">
        <f t="shared" si="0"/>
        <v>20967.2</v>
      </c>
      <c r="K6" s="5">
        <f t="shared" si="0"/>
        <v>20967.2</v>
      </c>
    </row>
    <row r="7" spans="1:11" x14ac:dyDescent="0.3">
      <c r="A7" s="7" t="s">
        <v>116</v>
      </c>
      <c r="C7" s="4">
        <v>0</v>
      </c>
      <c r="D7" s="4">
        <v>0</v>
      </c>
      <c r="E7" s="4">
        <v>0</v>
      </c>
      <c r="F7" s="4">
        <v>0</v>
      </c>
      <c r="G7" s="5">
        <v>0</v>
      </c>
      <c r="H7" s="5">
        <v>0</v>
      </c>
      <c r="I7" s="5">
        <v>0</v>
      </c>
      <c r="J7" s="5">
        <v>0</v>
      </c>
      <c r="K7" s="5">
        <v>0</v>
      </c>
    </row>
    <row r="8" spans="1:11" x14ac:dyDescent="0.3">
      <c r="A8" s="7" t="s">
        <v>117</v>
      </c>
      <c r="C8" s="4">
        <v>959.44</v>
      </c>
      <c r="D8" s="4">
        <v>0</v>
      </c>
      <c r="E8" s="4">
        <v>0</v>
      </c>
      <c r="F8" s="4">
        <v>0</v>
      </c>
      <c r="G8" s="5">
        <v>0</v>
      </c>
      <c r="H8" s="5">
        <v>0</v>
      </c>
      <c r="I8" s="5">
        <v>0</v>
      </c>
      <c r="J8" s="5">
        <v>0</v>
      </c>
      <c r="K8" s="5">
        <v>0</v>
      </c>
    </row>
    <row r="9" spans="1:11" x14ac:dyDescent="0.3">
      <c r="A9" s="7" t="s">
        <v>118</v>
      </c>
      <c r="C9" s="4">
        <v>0</v>
      </c>
      <c r="D9" s="4">
        <v>0</v>
      </c>
      <c r="E9" s="4">
        <v>0</v>
      </c>
      <c r="F9" s="4">
        <v>0</v>
      </c>
      <c r="G9" s="5">
        <v>0</v>
      </c>
      <c r="H9" s="5">
        <v>0</v>
      </c>
      <c r="I9" s="5">
        <v>0</v>
      </c>
      <c r="J9" s="5">
        <v>0</v>
      </c>
      <c r="K9" s="5">
        <v>0</v>
      </c>
    </row>
    <row r="10" spans="1:11" x14ac:dyDescent="0.3">
      <c r="A10" s="7" t="s">
        <v>119</v>
      </c>
      <c r="C10" s="4">
        <v>20967.2</v>
      </c>
      <c r="D10" s="4">
        <v>20967.2</v>
      </c>
      <c r="E10" s="4">
        <v>20967.2</v>
      </c>
      <c r="F10" s="4">
        <v>20967.2</v>
      </c>
      <c r="G10" s="5">
        <f>SUM(G6:G9)</f>
        <v>20967.2</v>
      </c>
      <c r="H10" s="5">
        <f t="shared" ref="H10:K10" si="1">SUM(H6:H9)</f>
        <v>20967.2</v>
      </c>
      <c r="I10" s="5">
        <f t="shared" si="1"/>
        <v>20967.2</v>
      </c>
      <c r="J10" s="5">
        <f t="shared" si="1"/>
        <v>20967.2</v>
      </c>
      <c r="K10" s="5">
        <f t="shared" si="1"/>
        <v>20967.2</v>
      </c>
    </row>
    <row r="12" spans="1:11" x14ac:dyDescent="0.3">
      <c r="A12" s="7" t="s">
        <v>124</v>
      </c>
      <c r="C12" s="4">
        <v>20967.2</v>
      </c>
      <c r="D12" s="4">
        <v>20967.2</v>
      </c>
      <c r="E12" s="4">
        <v>20967.2</v>
      </c>
      <c r="F12" s="4">
        <v>20967.2</v>
      </c>
      <c r="G12" s="5">
        <f>G10</f>
        <v>20967.2</v>
      </c>
      <c r="H12" s="5">
        <f t="shared" ref="H12:K12" si="2">H10</f>
        <v>20967.2</v>
      </c>
      <c r="I12" s="5">
        <f t="shared" si="2"/>
        <v>20967.2</v>
      </c>
      <c r="J12" s="5">
        <f t="shared" si="2"/>
        <v>20967.2</v>
      </c>
      <c r="K12" s="5">
        <f t="shared" si="2"/>
        <v>20967.2</v>
      </c>
    </row>
    <row r="14" spans="1:11" x14ac:dyDescent="0.3">
      <c r="A14" s="17" t="s">
        <v>125</v>
      </c>
      <c r="B14" s="13"/>
      <c r="C14" s="14"/>
      <c r="D14" s="14"/>
      <c r="E14" s="14"/>
      <c r="F14" s="14"/>
      <c r="G14" s="15"/>
      <c r="H14" s="15"/>
      <c r="I14" s="15"/>
      <c r="J14" s="15"/>
      <c r="K14" s="15"/>
    </row>
    <row r="15" spans="1:11" x14ac:dyDescent="0.3">
      <c r="A15" s="7" t="s">
        <v>115</v>
      </c>
      <c r="C15" s="4">
        <v>70.59</v>
      </c>
      <c r="D15" s="4">
        <v>70.59</v>
      </c>
      <c r="E15" s="4">
        <v>70.59</v>
      </c>
      <c r="F15" s="4">
        <v>70.59</v>
      </c>
      <c r="G15" s="5">
        <f>F19</f>
        <v>70.59</v>
      </c>
      <c r="H15" s="5">
        <f t="shared" ref="H15:K15" si="3">G19</f>
        <v>70.59</v>
      </c>
      <c r="I15" s="5">
        <f t="shared" si="3"/>
        <v>70.59</v>
      </c>
      <c r="J15" s="5">
        <f t="shared" si="3"/>
        <v>70.59</v>
      </c>
      <c r="K15" s="5">
        <f t="shared" si="3"/>
        <v>70.59</v>
      </c>
    </row>
    <row r="16" spans="1:11" x14ac:dyDescent="0.3">
      <c r="A16" s="7" t="s">
        <v>116</v>
      </c>
      <c r="C16" s="4">
        <v>0</v>
      </c>
      <c r="D16" s="4">
        <v>0</v>
      </c>
      <c r="E16" s="4">
        <v>0</v>
      </c>
      <c r="F16" s="4">
        <v>0</v>
      </c>
      <c r="G16" s="5">
        <v>0</v>
      </c>
      <c r="H16" s="5">
        <v>0</v>
      </c>
      <c r="I16" s="5">
        <v>0</v>
      </c>
      <c r="J16" s="5">
        <v>0</v>
      </c>
      <c r="K16" s="5">
        <v>0</v>
      </c>
    </row>
    <row r="17" spans="1:11" x14ac:dyDescent="0.3">
      <c r="A17" s="7" t="s">
        <v>117</v>
      </c>
      <c r="C17" s="4">
        <v>0</v>
      </c>
      <c r="D17" s="4">
        <v>0</v>
      </c>
      <c r="E17" s="4">
        <v>0</v>
      </c>
      <c r="F17" s="4">
        <v>0</v>
      </c>
      <c r="G17" s="5">
        <f>'Assumption Sheet'!G72</f>
        <v>0</v>
      </c>
      <c r="H17" s="5">
        <f>'Assumption Sheet'!H72</f>
        <v>0</v>
      </c>
      <c r="I17" s="5">
        <f>'Assumption Sheet'!I72</f>
        <v>0</v>
      </c>
      <c r="J17" s="5">
        <f>'Assumption Sheet'!J72</f>
        <v>0</v>
      </c>
      <c r="K17" s="5">
        <f>'Assumption Sheet'!K72</f>
        <v>0</v>
      </c>
    </row>
    <row r="18" spans="1:11" x14ac:dyDescent="0.3">
      <c r="A18" s="7" t="s">
        <v>118</v>
      </c>
      <c r="C18" s="4">
        <v>0</v>
      </c>
      <c r="D18" s="4">
        <v>0</v>
      </c>
      <c r="E18" s="4">
        <v>0</v>
      </c>
      <c r="F18" s="4">
        <v>0</v>
      </c>
      <c r="G18" s="5">
        <v>0</v>
      </c>
      <c r="H18" s="5">
        <v>0</v>
      </c>
      <c r="I18" s="5">
        <v>0</v>
      </c>
      <c r="J18" s="5">
        <v>0</v>
      </c>
      <c r="K18" s="5">
        <v>0</v>
      </c>
    </row>
    <row r="19" spans="1:11" x14ac:dyDescent="0.3">
      <c r="A19" s="7" t="s">
        <v>119</v>
      </c>
      <c r="C19" s="4">
        <v>70.59</v>
      </c>
      <c r="D19" s="4">
        <v>70.59</v>
      </c>
      <c r="E19" s="4">
        <v>70.59</v>
      </c>
      <c r="F19" s="4">
        <v>70.59</v>
      </c>
      <c r="G19" s="5">
        <f>SUM(G15:G18)</f>
        <v>70.59</v>
      </c>
      <c r="H19" s="5">
        <f t="shared" ref="H19:K19" si="4">SUM(H15:H18)</f>
        <v>70.59</v>
      </c>
      <c r="I19" s="5">
        <f t="shared" si="4"/>
        <v>70.59</v>
      </c>
      <c r="J19" s="5">
        <f t="shared" si="4"/>
        <v>70.59</v>
      </c>
      <c r="K19" s="5">
        <f t="shared" si="4"/>
        <v>70.59</v>
      </c>
    </row>
    <row r="21" spans="1:11" x14ac:dyDescent="0.3">
      <c r="A21" s="7" t="s">
        <v>120</v>
      </c>
      <c r="C21" s="4">
        <v>31.72</v>
      </c>
      <c r="D21" s="4">
        <v>35.799999999999997</v>
      </c>
      <c r="E21" s="4">
        <v>39.880000000000003</v>
      </c>
      <c r="F21" s="4">
        <v>43.96</v>
      </c>
      <c r="G21" s="5">
        <f>F24</f>
        <v>48.04</v>
      </c>
      <c r="H21" s="5">
        <f t="shared" ref="H21:K21" si="5">G24</f>
        <v>52.120346820809246</v>
      </c>
      <c r="I21" s="5">
        <f t="shared" si="5"/>
        <v>56.200693641618493</v>
      </c>
      <c r="J21" s="5">
        <f t="shared" si="5"/>
        <v>60.28104046242774</v>
      </c>
      <c r="K21" s="5">
        <f t="shared" si="5"/>
        <v>64.361387283236994</v>
      </c>
    </row>
    <row r="22" spans="1:11" x14ac:dyDescent="0.3">
      <c r="A22" s="7" t="s">
        <v>121</v>
      </c>
      <c r="C22" s="4">
        <v>4.08</v>
      </c>
      <c r="D22" s="4">
        <v>4.08</v>
      </c>
      <c r="E22" s="4">
        <v>4.08</v>
      </c>
      <c r="F22" s="4">
        <v>4.08</v>
      </c>
      <c r="G22" s="5">
        <f>G19/G28</f>
        <v>4.0803468208092486</v>
      </c>
      <c r="H22" s="5">
        <f t="shared" ref="H22:K22" si="6">H19/H28</f>
        <v>4.0803468208092486</v>
      </c>
      <c r="I22" s="5">
        <f t="shared" si="6"/>
        <v>4.0803468208092486</v>
      </c>
      <c r="J22" s="5">
        <f t="shared" si="6"/>
        <v>4.0803468208092486</v>
      </c>
      <c r="K22" s="5">
        <f t="shared" si="6"/>
        <v>4.0803468208092486</v>
      </c>
    </row>
    <row r="23" spans="1:11" x14ac:dyDescent="0.3">
      <c r="A23" s="7" t="s">
        <v>122</v>
      </c>
      <c r="C23" s="4">
        <v>0</v>
      </c>
      <c r="D23" s="4">
        <v>0</v>
      </c>
      <c r="E23" s="4">
        <v>0</v>
      </c>
      <c r="F23" s="4">
        <v>0</v>
      </c>
      <c r="G23" s="5">
        <v>0</v>
      </c>
      <c r="H23" s="5">
        <v>0</v>
      </c>
      <c r="I23" s="5">
        <v>0</v>
      </c>
      <c r="J23" s="5">
        <v>0</v>
      </c>
      <c r="K23" s="5">
        <v>0</v>
      </c>
    </row>
    <row r="24" spans="1:11" x14ac:dyDescent="0.3">
      <c r="A24" s="7" t="s">
        <v>123</v>
      </c>
      <c r="C24" s="4">
        <v>35.799999999999997</v>
      </c>
      <c r="D24" s="4">
        <v>39.880000000000003</v>
      </c>
      <c r="E24" s="4">
        <v>43.96</v>
      </c>
      <c r="F24" s="4">
        <v>48.04</v>
      </c>
      <c r="G24" s="5">
        <f>SUM(G21:G23)</f>
        <v>52.120346820809246</v>
      </c>
      <c r="H24" s="5">
        <f t="shared" ref="H24:K24" si="7">SUM(H21:H23)</f>
        <v>56.200693641618493</v>
      </c>
      <c r="I24" s="5">
        <f t="shared" si="7"/>
        <v>60.28104046242774</v>
      </c>
      <c r="J24" s="5">
        <f t="shared" si="7"/>
        <v>64.361387283236994</v>
      </c>
      <c r="K24" s="5">
        <f t="shared" si="7"/>
        <v>68.441734104046247</v>
      </c>
    </row>
    <row r="26" spans="1:11" x14ac:dyDescent="0.3">
      <c r="A26" s="7" t="s">
        <v>124</v>
      </c>
      <c r="C26" s="4">
        <v>34.79</v>
      </c>
      <c r="D26" s="4">
        <v>30.71</v>
      </c>
      <c r="E26" s="4">
        <v>26.63</v>
      </c>
      <c r="F26" s="4">
        <v>22.55</v>
      </c>
      <c r="G26" s="5">
        <f>G19-G24</f>
        <v>18.469653179190757</v>
      </c>
      <c r="H26" s="5">
        <f t="shared" ref="H26:K26" si="8">H19-H24</f>
        <v>14.389306358381511</v>
      </c>
      <c r="I26" s="5">
        <f t="shared" si="8"/>
        <v>10.308959537572264</v>
      </c>
      <c r="J26" s="5">
        <f t="shared" si="8"/>
        <v>6.2286127167630099</v>
      </c>
      <c r="K26" s="5">
        <f t="shared" si="8"/>
        <v>2.1482658959537559</v>
      </c>
    </row>
    <row r="28" spans="1:11" x14ac:dyDescent="0.3">
      <c r="A28" s="7" t="s">
        <v>300</v>
      </c>
      <c r="C28" s="4">
        <f>C19/C22</f>
        <v>17.301470588235293</v>
      </c>
      <c r="D28" s="4">
        <f t="shared" ref="D28:F28" si="9">D19/D22</f>
        <v>17.301470588235293</v>
      </c>
      <c r="E28" s="4">
        <f t="shared" si="9"/>
        <v>17.301470588235293</v>
      </c>
      <c r="F28" s="4">
        <f t="shared" si="9"/>
        <v>17.301470588235293</v>
      </c>
      <c r="G28" s="5">
        <f>'Assumption Sheet'!G73</f>
        <v>17.3</v>
      </c>
      <c r="H28" s="5">
        <f>'Assumption Sheet'!H73</f>
        <v>17.3</v>
      </c>
      <c r="I28" s="5">
        <f>'Assumption Sheet'!I73</f>
        <v>17.3</v>
      </c>
      <c r="J28" s="5">
        <f>'Assumption Sheet'!J73</f>
        <v>17.3</v>
      </c>
      <c r="K28" s="5">
        <f>'Assumption Sheet'!K73</f>
        <v>17.3</v>
      </c>
    </row>
    <row r="29" spans="1:11" x14ac:dyDescent="0.3">
      <c r="A29" s="7" t="s">
        <v>301</v>
      </c>
      <c r="C29" s="4">
        <f>C24/C22</f>
        <v>8.7745098039215677</v>
      </c>
      <c r="D29" s="4">
        <f t="shared" ref="D29:F29" si="10">D24/D22</f>
        <v>9.7745098039215694</v>
      </c>
      <c r="E29" s="4">
        <f t="shared" si="10"/>
        <v>10.774509803921569</v>
      </c>
      <c r="F29" s="4">
        <f t="shared" si="10"/>
        <v>11.774509803921568</v>
      </c>
      <c r="G29" s="5">
        <f t="shared" ref="G29:K29" si="11">G24/G22</f>
        <v>12.773508995608442</v>
      </c>
      <c r="H29" s="5">
        <f t="shared" si="11"/>
        <v>13.773508995608442</v>
      </c>
      <c r="I29" s="5">
        <f t="shared" si="11"/>
        <v>14.773508995608442</v>
      </c>
      <c r="J29" s="5">
        <f t="shared" si="11"/>
        <v>15.773508995608443</v>
      </c>
      <c r="K29" s="5">
        <f t="shared" si="11"/>
        <v>16.773508995608445</v>
      </c>
    </row>
    <row r="30" spans="1:11" x14ac:dyDescent="0.3">
      <c r="A30" s="7" t="s">
        <v>302</v>
      </c>
      <c r="C30" s="4">
        <f>C26/C22</f>
        <v>8.5269607843137258</v>
      </c>
      <c r="D30" s="4">
        <f t="shared" ref="D30:F30" si="12">D26/D22</f>
        <v>7.5269607843137258</v>
      </c>
      <c r="E30" s="4">
        <f t="shared" si="12"/>
        <v>6.526960784313725</v>
      </c>
      <c r="F30" s="4">
        <f t="shared" si="12"/>
        <v>5.5269607843137258</v>
      </c>
      <c r="G30" s="5">
        <f t="shared" ref="G30:K30" si="13">G26/G22</f>
        <v>4.5264910043915583</v>
      </c>
      <c r="H30" s="5">
        <f t="shared" si="13"/>
        <v>3.5264910043915587</v>
      </c>
      <c r="I30" s="5">
        <f t="shared" si="13"/>
        <v>2.5264910043915592</v>
      </c>
      <c r="J30" s="5">
        <f t="shared" si="13"/>
        <v>1.5264910043915578</v>
      </c>
      <c r="K30" s="5">
        <f t="shared" si="13"/>
        <v>0.52649100439155661</v>
      </c>
    </row>
    <row r="33" spans="1:11" x14ac:dyDescent="0.3">
      <c r="A33" s="17" t="s">
        <v>126</v>
      </c>
      <c r="B33" s="13"/>
      <c r="C33" s="14"/>
      <c r="D33" s="14"/>
      <c r="E33" s="14"/>
      <c r="F33" s="14"/>
      <c r="G33" s="15"/>
      <c r="H33" s="15"/>
      <c r="I33" s="15"/>
      <c r="J33" s="15"/>
      <c r="K33" s="15"/>
    </row>
    <row r="34" spans="1:11" x14ac:dyDescent="0.3">
      <c r="A34" s="7" t="s">
        <v>115</v>
      </c>
      <c r="C34" s="4">
        <v>37.71</v>
      </c>
      <c r="D34" s="4">
        <v>37.71</v>
      </c>
      <c r="E34" s="4">
        <v>37.71</v>
      </c>
      <c r="F34" s="4">
        <v>37.71</v>
      </c>
      <c r="G34" s="5">
        <f>F38</f>
        <v>37.71</v>
      </c>
      <c r="H34" s="5">
        <f t="shared" ref="H34:K34" si="14">G38</f>
        <v>37.71</v>
      </c>
      <c r="I34" s="5">
        <f t="shared" si="14"/>
        <v>37.71</v>
      </c>
      <c r="J34" s="5">
        <f t="shared" si="14"/>
        <v>37.71</v>
      </c>
      <c r="K34" s="5">
        <f t="shared" si="14"/>
        <v>37.71</v>
      </c>
    </row>
    <row r="35" spans="1:11" x14ac:dyDescent="0.3">
      <c r="A35" s="7" t="s">
        <v>116</v>
      </c>
      <c r="C35" s="4">
        <v>0</v>
      </c>
      <c r="D35" s="4">
        <v>0</v>
      </c>
      <c r="E35" s="4">
        <v>0</v>
      </c>
      <c r="F35" s="4">
        <v>0</v>
      </c>
      <c r="G35" s="5">
        <v>0</v>
      </c>
      <c r="H35" s="5">
        <v>0</v>
      </c>
      <c r="I35" s="5">
        <v>0</v>
      </c>
      <c r="J35" s="5">
        <v>0</v>
      </c>
      <c r="K35" s="5">
        <v>0</v>
      </c>
    </row>
    <row r="36" spans="1:11" x14ac:dyDescent="0.3">
      <c r="A36" s="7" t="s">
        <v>117</v>
      </c>
      <c r="C36" s="4">
        <v>0</v>
      </c>
      <c r="D36" s="4">
        <v>0</v>
      </c>
      <c r="E36" s="4">
        <v>0</v>
      </c>
      <c r="F36" s="4">
        <v>0</v>
      </c>
      <c r="G36" s="5">
        <f>'Assumption Sheet'!G76</f>
        <v>0</v>
      </c>
      <c r="H36" s="5">
        <f>'Assumption Sheet'!H76</f>
        <v>0</v>
      </c>
      <c r="I36" s="5">
        <f>'Assumption Sheet'!I76</f>
        <v>0</v>
      </c>
      <c r="J36" s="5">
        <f>'Assumption Sheet'!J76</f>
        <v>0</v>
      </c>
      <c r="K36" s="5">
        <f>'Assumption Sheet'!K76</f>
        <v>0</v>
      </c>
    </row>
    <row r="37" spans="1:11" x14ac:dyDescent="0.3">
      <c r="A37" s="7" t="s">
        <v>118</v>
      </c>
      <c r="C37" s="4">
        <v>0</v>
      </c>
      <c r="D37" s="4">
        <v>0</v>
      </c>
      <c r="E37" s="4">
        <v>0</v>
      </c>
      <c r="F37" s="4">
        <v>0</v>
      </c>
      <c r="G37" s="5">
        <v>0</v>
      </c>
      <c r="H37" s="5">
        <v>0</v>
      </c>
      <c r="I37" s="5">
        <v>0</v>
      </c>
      <c r="J37" s="5">
        <v>0</v>
      </c>
      <c r="K37" s="5">
        <v>0</v>
      </c>
    </row>
    <row r="38" spans="1:11" x14ac:dyDescent="0.3">
      <c r="A38" s="7" t="s">
        <v>119</v>
      </c>
      <c r="C38" s="4">
        <v>37.71</v>
      </c>
      <c r="D38" s="4">
        <v>37.71</v>
      </c>
      <c r="E38" s="4">
        <v>37.71</v>
      </c>
      <c r="F38" s="4">
        <v>37.71</v>
      </c>
      <c r="G38" s="5">
        <f>SUM(G34:G37)</f>
        <v>37.71</v>
      </c>
      <c r="H38" s="5">
        <f t="shared" ref="H38:K38" si="15">SUM(H34:H37)</f>
        <v>37.71</v>
      </c>
      <c r="I38" s="5">
        <f t="shared" si="15"/>
        <v>37.71</v>
      </c>
      <c r="J38" s="5">
        <f t="shared" si="15"/>
        <v>37.71</v>
      </c>
      <c r="K38" s="5">
        <f t="shared" si="15"/>
        <v>37.71</v>
      </c>
    </row>
    <row r="40" spans="1:11" x14ac:dyDescent="0.3">
      <c r="A40" s="7" t="s">
        <v>120</v>
      </c>
      <c r="C40" s="4">
        <v>4</v>
      </c>
      <c r="D40" s="4">
        <v>4.8</v>
      </c>
      <c r="E40" s="4">
        <v>5.6</v>
      </c>
      <c r="F40" s="4">
        <v>6.4</v>
      </c>
      <c r="G40" s="5">
        <f>F43</f>
        <v>7.2</v>
      </c>
      <c r="H40" s="5">
        <f t="shared" ref="H40:K40" si="16">G43</f>
        <v>8</v>
      </c>
      <c r="I40" s="5">
        <f t="shared" si="16"/>
        <v>8.8000000000000007</v>
      </c>
      <c r="J40" s="5">
        <f t="shared" si="16"/>
        <v>9.6000000000000014</v>
      </c>
      <c r="K40" s="5">
        <f t="shared" si="16"/>
        <v>10.400000000000002</v>
      </c>
    </row>
    <row r="41" spans="1:11" x14ac:dyDescent="0.3">
      <c r="A41" s="7" t="s">
        <v>121</v>
      </c>
      <c r="C41" s="4">
        <v>0.8</v>
      </c>
      <c r="D41" s="4">
        <v>0.8</v>
      </c>
      <c r="E41" s="4">
        <v>0.8</v>
      </c>
      <c r="F41" s="4">
        <v>0.8</v>
      </c>
      <c r="G41" s="5">
        <f>G38/G47</f>
        <v>0.8</v>
      </c>
      <c r="H41" s="5">
        <f t="shared" ref="H41:K41" si="17">H38/H47</f>
        <v>0.8</v>
      </c>
      <c r="I41" s="5">
        <f t="shared" si="17"/>
        <v>0.8</v>
      </c>
      <c r="J41" s="5">
        <f t="shared" si="17"/>
        <v>0.8</v>
      </c>
      <c r="K41" s="5">
        <f t="shared" si="17"/>
        <v>0.8</v>
      </c>
    </row>
    <row r="42" spans="1:11" x14ac:dyDescent="0.3">
      <c r="A42" s="7" t="s">
        <v>122</v>
      </c>
      <c r="C42" s="4">
        <v>0</v>
      </c>
      <c r="D42" s="4">
        <v>0</v>
      </c>
      <c r="E42" s="4">
        <v>0</v>
      </c>
      <c r="F42" s="4">
        <v>0</v>
      </c>
      <c r="G42" s="5">
        <v>0</v>
      </c>
      <c r="H42" s="5">
        <v>0</v>
      </c>
      <c r="I42" s="5">
        <v>0</v>
      </c>
      <c r="J42" s="5">
        <v>0</v>
      </c>
      <c r="K42" s="5">
        <v>0</v>
      </c>
    </row>
    <row r="43" spans="1:11" x14ac:dyDescent="0.3">
      <c r="A43" s="7" t="s">
        <v>123</v>
      </c>
      <c r="C43" s="4">
        <v>4.8</v>
      </c>
      <c r="D43" s="4">
        <v>5.6</v>
      </c>
      <c r="E43" s="4">
        <v>6.4</v>
      </c>
      <c r="F43" s="4">
        <v>7.2</v>
      </c>
      <c r="G43" s="5">
        <f>SUM(G40:G42)</f>
        <v>8</v>
      </c>
      <c r="H43" s="5">
        <f t="shared" ref="H43:K43" si="18">SUM(H40:H42)</f>
        <v>8.8000000000000007</v>
      </c>
      <c r="I43" s="5">
        <f t="shared" si="18"/>
        <v>9.6000000000000014</v>
      </c>
      <c r="J43" s="5">
        <f t="shared" si="18"/>
        <v>10.400000000000002</v>
      </c>
      <c r="K43" s="5">
        <f t="shared" si="18"/>
        <v>11.200000000000003</v>
      </c>
    </row>
    <row r="45" spans="1:11" x14ac:dyDescent="0.3">
      <c r="A45" s="7" t="s">
        <v>124</v>
      </c>
      <c r="C45" s="4">
        <v>32.909999999999997</v>
      </c>
      <c r="D45" s="4">
        <v>32.11</v>
      </c>
      <c r="E45" s="4">
        <v>31.31</v>
      </c>
      <c r="F45" s="4">
        <v>30.51</v>
      </c>
      <c r="G45" s="5">
        <f>G38-G43</f>
        <v>29.71</v>
      </c>
      <c r="H45" s="5">
        <f t="shared" ref="H45:K45" si="19">H38-H43</f>
        <v>28.91</v>
      </c>
      <c r="I45" s="5">
        <f t="shared" si="19"/>
        <v>28.11</v>
      </c>
      <c r="J45" s="5">
        <f t="shared" si="19"/>
        <v>27.31</v>
      </c>
      <c r="K45" s="5">
        <f t="shared" si="19"/>
        <v>26.509999999999998</v>
      </c>
    </row>
    <row r="47" spans="1:11" x14ac:dyDescent="0.3">
      <c r="A47" s="7" t="s">
        <v>300</v>
      </c>
      <c r="C47" s="4">
        <f>C38/C41</f>
        <v>47.137499999999996</v>
      </c>
      <c r="D47" s="4">
        <f t="shared" ref="D47:F47" si="20">D38/D41</f>
        <v>47.137499999999996</v>
      </c>
      <c r="E47" s="4">
        <f t="shared" si="20"/>
        <v>47.137499999999996</v>
      </c>
      <c r="F47" s="4">
        <f t="shared" si="20"/>
        <v>47.137499999999996</v>
      </c>
      <c r="G47" s="5">
        <f>'Assumption Sheet'!G77</f>
        <v>47.137499999999996</v>
      </c>
      <c r="H47" s="5">
        <f>'Assumption Sheet'!H77</f>
        <v>47.137499999999996</v>
      </c>
      <c r="I47" s="5">
        <f>'Assumption Sheet'!I77</f>
        <v>47.137499999999996</v>
      </c>
      <c r="J47" s="5">
        <f>'Assumption Sheet'!J77</f>
        <v>47.137499999999996</v>
      </c>
      <c r="K47" s="5">
        <f>'Assumption Sheet'!K77</f>
        <v>47.137499999999996</v>
      </c>
    </row>
    <row r="48" spans="1:11" x14ac:dyDescent="0.3">
      <c r="A48" s="7" t="s">
        <v>301</v>
      </c>
      <c r="C48" s="4">
        <f>C43/C41</f>
        <v>5.9999999999999991</v>
      </c>
      <c r="D48" s="4">
        <f t="shared" ref="D48:F48" si="21">D43/D41</f>
        <v>6.9999999999999991</v>
      </c>
      <c r="E48" s="4">
        <f t="shared" si="21"/>
        <v>8</v>
      </c>
      <c r="F48" s="4">
        <f t="shared" si="21"/>
        <v>9</v>
      </c>
      <c r="G48" s="5">
        <f t="shared" ref="G48:K48" si="22">G43/G41</f>
        <v>10</v>
      </c>
      <c r="H48" s="5">
        <f t="shared" si="22"/>
        <v>11</v>
      </c>
      <c r="I48" s="5">
        <f t="shared" si="22"/>
        <v>12.000000000000002</v>
      </c>
      <c r="J48" s="5">
        <f t="shared" si="22"/>
        <v>13.000000000000002</v>
      </c>
      <c r="K48" s="5">
        <f t="shared" si="22"/>
        <v>14.000000000000004</v>
      </c>
    </row>
    <row r="49" spans="1:11" x14ac:dyDescent="0.3">
      <c r="A49" s="7" t="s">
        <v>302</v>
      </c>
      <c r="C49" s="4">
        <f>C45/C41</f>
        <v>41.137499999999996</v>
      </c>
      <c r="D49" s="4">
        <f t="shared" ref="D49:F49" si="23">D45/D41</f>
        <v>40.137499999999996</v>
      </c>
      <c r="E49" s="4">
        <f t="shared" si="23"/>
        <v>39.137499999999996</v>
      </c>
      <c r="F49" s="4">
        <f t="shared" si="23"/>
        <v>38.137500000000003</v>
      </c>
      <c r="G49" s="5">
        <f t="shared" ref="G49:K49" si="24">G45/G41</f>
        <v>37.137499999999996</v>
      </c>
      <c r="H49" s="5">
        <f t="shared" si="24"/>
        <v>36.137499999999996</v>
      </c>
      <c r="I49" s="5">
        <f t="shared" si="24"/>
        <v>35.137499999999996</v>
      </c>
      <c r="J49" s="5">
        <f t="shared" si="24"/>
        <v>34.137499999999996</v>
      </c>
      <c r="K49" s="5">
        <f t="shared" si="24"/>
        <v>33.137499999999996</v>
      </c>
    </row>
    <row r="51" spans="1:11" x14ac:dyDescent="0.3">
      <c r="A51" s="17" t="s">
        <v>127</v>
      </c>
      <c r="B51" s="13"/>
      <c r="C51" s="14"/>
      <c r="D51" s="14"/>
      <c r="E51" s="14"/>
      <c r="F51" s="14"/>
      <c r="G51" s="15"/>
      <c r="H51" s="15"/>
      <c r="I51" s="15"/>
      <c r="J51" s="15"/>
      <c r="K51" s="15"/>
    </row>
    <row r="52" spans="1:11" x14ac:dyDescent="0.3">
      <c r="A52" s="7" t="s">
        <v>115</v>
      </c>
      <c r="C52" s="4">
        <v>3.14</v>
      </c>
      <c r="D52" s="4">
        <v>3.14</v>
      </c>
      <c r="E52" s="4">
        <v>3.14</v>
      </c>
      <c r="F52" s="4">
        <v>3.14</v>
      </c>
      <c r="G52" s="5">
        <f>F56</f>
        <v>25.19</v>
      </c>
      <c r="H52" s="5">
        <f t="shared" ref="H52:K52" si="25">G56</f>
        <v>25.19</v>
      </c>
      <c r="I52" s="5">
        <f t="shared" si="25"/>
        <v>25.19</v>
      </c>
      <c r="J52" s="5">
        <f t="shared" si="25"/>
        <v>25.19</v>
      </c>
      <c r="K52" s="5">
        <f t="shared" si="25"/>
        <v>25.19</v>
      </c>
    </row>
    <row r="53" spans="1:11" x14ac:dyDescent="0.3">
      <c r="A53" s="7" t="s">
        <v>116</v>
      </c>
      <c r="C53" s="4">
        <v>0</v>
      </c>
      <c r="D53" s="4">
        <v>0</v>
      </c>
      <c r="E53" s="4">
        <v>0</v>
      </c>
      <c r="F53" s="4">
        <v>0</v>
      </c>
      <c r="G53" s="5">
        <v>0</v>
      </c>
      <c r="H53" s="5">
        <v>0</v>
      </c>
      <c r="I53" s="5">
        <v>0</v>
      </c>
      <c r="J53" s="5">
        <v>0</v>
      </c>
      <c r="K53" s="5">
        <v>0</v>
      </c>
    </row>
    <row r="54" spans="1:11" x14ac:dyDescent="0.3">
      <c r="A54" s="7" t="s">
        <v>117</v>
      </c>
      <c r="C54" s="4">
        <v>0</v>
      </c>
      <c r="D54" s="4">
        <v>0</v>
      </c>
      <c r="E54" s="4">
        <v>0</v>
      </c>
      <c r="F54" s="4">
        <v>22.05</v>
      </c>
      <c r="G54" s="5">
        <f>'Assumption Sheet'!G80</f>
        <v>0</v>
      </c>
      <c r="H54" s="5">
        <f>'Assumption Sheet'!H80</f>
        <v>0</v>
      </c>
      <c r="I54" s="5">
        <f>'Assumption Sheet'!I80</f>
        <v>0</v>
      </c>
      <c r="J54" s="5">
        <f>'Assumption Sheet'!J80</f>
        <v>0</v>
      </c>
      <c r="K54" s="5">
        <f>'Assumption Sheet'!K80</f>
        <v>0</v>
      </c>
    </row>
    <row r="55" spans="1:11" x14ac:dyDescent="0.3">
      <c r="A55" s="7" t="s">
        <v>118</v>
      </c>
      <c r="C55" s="4">
        <v>0</v>
      </c>
      <c r="D55" s="4">
        <v>0</v>
      </c>
      <c r="E55" s="4">
        <v>0</v>
      </c>
      <c r="F55" s="4">
        <v>0</v>
      </c>
      <c r="G55" s="5">
        <v>0</v>
      </c>
      <c r="H55" s="5">
        <v>0</v>
      </c>
      <c r="I55" s="5">
        <v>0</v>
      </c>
      <c r="J55" s="5">
        <v>0</v>
      </c>
      <c r="K55" s="5">
        <v>0</v>
      </c>
    </row>
    <row r="56" spans="1:11" x14ac:dyDescent="0.3">
      <c r="A56" s="7" t="s">
        <v>119</v>
      </c>
      <c r="C56" s="4">
        <v>3.14</v>
      </c>
      <c r="D56" s="4">
        <v>3.14</v>
      </c>
      <c r="E56" s="4">
        <v>3.14</v>
      </c>
      <c r="F56" s="4">
        <v>25.19</v>
      </c>
      <c r="G56" s="5">
        <f>SUM(G52:G55)</f>
        <v>25.19</v>
      </c>
      <c r="H56" s="5">
        <f t="shared" ref="H56:K56" si="26">SUM(H52:H55)</f>
        <v>25.19</v>
      </c>
      <c r="I56" s="5">
        <f t="shared" si="26"/>
        <v>25.19</v>
      </c>
      <c r="J56" s="5">
        <f t="shared" si="26"/>
        <v>25.19</v>
      </c>
      <c r="K56" s="5">
        <f t="shared" si="26"/>
        <v>25.19</v>
      </c>
    </row>
    <row r="58" spans="1:11" x14ac:dyDescent="0.3">
      <c r="A58" s="7" t="s">
        <v>120</v>
      </c>
      <c r="C58" s="4">
        <v>3.14</v>
      </c>
      <c r="D58" s="4">
        <v>3.14</v>
      </c>
      <c r="E58" s="4">
        <v>3.14</v>
      </c>
      <c r="F58" s="4">
        <v>3.14</v>
      </c>
      <c r="G58" s="5">
        <f>F61</f>
        <v>6.2</v>
      </c>
      <c r="H58" s="5">
        <f t="shared" ref="H58:K58" si="27">G61</f>
        <v>9.26</v>
      </c>
      <c r="I58" s="5">
        <f t="shared" si="27"/>
        <v>12.32</v>
      </c>
      <c r="J58" s="5">
        <f t="shared" si="27"/>
        <v>15.379999999999999</v>
      </c>
      <c r="K58" s="5">
        <f t="shared" si="27"/>
        <v>18.439999999999998</v>
      </c>
    </row>
    <row r="59" spans="1:11" x14ac:dyDescent="0.3">
      <c r="A59" s="7" t="s">
        <v>121</v>
      </c>
      <c r="C59" s="4">
        <v>0</v>
      </c>
      <c r="D59" s="4">
        <v>0</v>
      </c>
      <c r="E59" s="4">
        <v>0</v>
      </c>
      <c r="F59" s="4">
        <v>3.06</v>
      </c>
      <c r="G59" s="5">
        <f>G56/G65</f>
        <v>3.0599999999999996</v>
      </c>
      <c r="H59" s="5">
        <f t="shared" ref="H59:K59" si="28">H56/H65</f>
        <v>3.0599999999999996</v>
      </c>
      <c r="I59" s="5">
        <f t="shared" si="28"/>
        <v>3.0599999999999996</v>
      </c>
      <c r="J59" s="5">
        <f t="shared" si="28"/>
        <v>3.0599999999999996</v>
      </c>
      <c r="K59" s="5">
        <f t="shared" si="28"/>
        <v>3.0599999999999996</v>
      </c>
    </row>
    <row r="60" spans="1:11" x14ac:dyDescent="0.3">
      <c r="A60" s="7" t="s">
        <v>122</v>
      </c>
      <c r="C60" s="4">
        <v>0</v>
      </c>
      <c r="D60" s="4">
        <v>0</v>
      </c>
      <c r="E60" s="4">
        <v>0</v>
      </c>
      <c r="F60" s="4">
        <v>0</v>
      </c>
      <c r="G60" s="5">
        <v>0</v>
      </c>
      <c r="H60" s="5">
        <v>0</v>
      </c>
      <c r="I60" s="5">
        <v>0</v>
      </c>
      <c r="J60" s="5">
        <v>0</v>
      </c>
      <c r="K60" s="5">
        <v>0</v>
      </c>
    </row>
    <row r="61" spans="1:11" x14ac:dyDescent="0.3">
      <c r="A61" s="7" t="s">
        <v>123</v>
      </c>
      <c r="C61" s="4">
        <v>3.14</v>
      </c>
      <c r="D61" s="4">
        <v>3.14</v>
      </c>
      <c r="E61" s="4">
        <v>3.14</v>
      </c>
      <c r="F61" s="4">
        <v>6.2</v>
      </c>
      <c r="G61" s="5">
        <f>SUM(G58:G60)</f>
        <v>9.26</v>
      </c>
      <c r="H61" s="5">
        <f t="shared" ref="H61:K61" si="29">SUM(H58:H60)</f>
        <v>12.32</v>
      </c>
      <c r="I61" s="5">
        <f t="shared" si="29"/>
        <v>15.379999999999999</v>
      </c>
      <c r="J61" s="5">
        <f t="shared" si="29"/>
        <v>18.439999999999998</v>
      </c>
      <c r="K61" s="5">
        <f t="shared" si="29"/>
        <v>21.499999999999996</v>
      </c>
    </row>
    <row r="63" spans="1:11" x14ac:dyDescent="0.3">
      <c r="A63" s="7" t="s">
        <v>124</v>
      </c>
      <c r="C63" s="4">
        <v>0</v>
      </c>
      <c r="D63" s="4">
        <v>0</v>
      </c>
      <c r="E63" s="4">
        <v>0</v>
      </c>
      <c r="F63" s="4">
        <v>18.989999999999998</v>
      </c>
      <c r="G63" s="5">
        <f>G56-G61</f>
        <v>15.930000000000001</v>
      </c>
      <c r="H63" s="5">
        <f t="shared" ref="H63:K63" si="30">H56-H61</f>
        <v>12.870000000000001</v>
      </c>
      <c r="I63" s="5">
        <f t="shared" si="30"/>
        <v>9.8100000000000023</v>
      </c>
      <c r="J63" s="5">
        <f t="shared" si="30"/>
        <v>6.7500000000000036</v>
      </c>
      <c r="K63" s="5">
        <f t="shared" si="30"/>
        <v>3.6900000000000048</v>
      </c>
    </row>
    <row r="65" spans="1:11" x14ac:dyDescent="0.3">
      <c r="A65" s="7" t="s">
        <v>300</v>
      </c>
      <c r="C65" s="4">
        <v>0</v>
      </c>
      <c r="D65" s="4">
        <v>0</v>
      </c>
      <c r="E65" s="4">
        <v>0</v>
      </c>
      <c r="F65" s="4">
        <f t="shared" ref="F65" si="31">F56/F59</f>
        <v>8.2320261437908506</v>
      </c>
      <c r="G65" s="5">
        <f>'Assumption Sheet'!G81</f>
        <v>8.2320261437908506</v>
      </c>
      <c r="H65" s="5">
        <f>'Assumption Sheet'!H81</f>
        <v>8.2320261437908506</v>
      </c>
      <c r="I65" s="5">
        <f>'Assumption Sheet'!I81</f>
        <v>8.2320261437908506</v>
      </c>
      <c r="J65" s="5">
        <f>'Assumption Sheet'!J81</f>
        <v>8.2320261437908506</v>
      </c>
      <c r="K65" s="5">
        <f>'Assumption Sheet'!K81</f>
        <v>8.2320261437908506</v>
      </c>
    </row>
    <row r="66" spans="1:11" x14ac:dyDescent="0.3">
      <c r="A66" s="7" t="s">
        <v>301</v>
      </c>
      <c r="C66" s="4">
        <v>0</v>
      </c>
      <c r="D66" s="4">
        <v>0</v>
      </c>
      <c r="E66" s="4">
        <v>0</v>
      </c>
      <c r="F66" s="4">
        <f t="shared" ref="F66" si="32">F61/F59</f>
        <v>2.0261437908496731</v>
      </c>
      <c r="G66" s="5">
        <f t="shared" ref="G66:K66" si="33">G61/G59</f>
        <v>3.0261437908496736</v>
      </c>
      <c r="H66" s="5">
        <f t="shared" si="33"/>
        <v>4.026143790849674</v>
      </c>
      <c r="I66" s="5">
        <f t="shared" si="33"/>
        <v>5.0261437908496731</v>
      </c>
      <c r="J66" s="5">
        <f t="shared" si="33"/>
        <v>6.0261437908496731</v>
      </c>
      <c r="K66" s="5">
        <f t="shared" si="33"/>
        <v>7.0261437908496731</v>
      </c>
    </row>
    <row r="67" spans="1:11" x14ac:dyDescent="0.3">
      <c r="A67" s="7" t="s">
        <v>302</v>
      </c>
      <c r="C67" s="4">
        <v>0</v>
      </c>
      <c r="D67" s="4">
        <v>0</v>
      </c>
      <c r="E67" s="4">
        <v>0</v>
      </c>
      <c r="F67" s="4">
        <f t="shared" ref="F67" si="34">F63/F59</f>
        <v>6.2058823529411757</v>
      </c>
      <c r="G67" s="5">
        <f t="shared" ref="G67:K67" si="35">G63/G59</f>
        <v>5.2058823529411775</v>
      </c>
      <c r="H67" s="5">
        <f t="shared" si="35"/>
        <v>4.2058823529411775</v>
      </c>
      <c r="I67" s="5">
        <f t="shared" si="35"/>
        <v>3.2058823529411775</v>
      </c>
      <c r="J67" s="5">
        <f t="shared" si="35"/>
        <v>2.205882352941178</v>
      </c>
      <c r="K67" s="5">
        <f t="shared" si="35"/>
        <v>1.2058823529411782</v>
      </c>
    </row>
    <row r="69" spans="1:11" x14ac:dyDescent="0.3">
      <c r="A69" s="17" t="s">
        <v>128</v>
      </c>
      <c r="B69" s="13"/>
      <c r="C69" s="14"/>
      <c r="D69" s="14"/>
      <c r="E69" s="14"/>
      <c r="F69" s="14"/>
      <c r="G69" s="15"/>
      <c r="H69" s="15"/>
      <c r="I69" s="15"/>
      <c r="J69" s="15"/>
      <c r="K69" s="15"/>
    </row>
    <row r="70" spans="1:11" x14ac:dyDescent="0.3">
      <c r="A70" s="7" t="s">
        <v>115</v>
      </c>
      <c r="C70" s="4">
        <v>475.66</v>
      </c>
      <c r="D70" s="4">
        <v>480.15</v>
      </c>
      <c r="E70" s="4">
        <v>969.95</v>
      </c>
      <c r="F70" s="4">
        <v>1275.23</v>
      </c>
      <c r="G70" s="5">
        <f>F74</f>
        <v>1336.17</v>
      </c>
      <c r="H70" s="5">
        <f t="shared" ref="H70:K70" si="36">G74</f>
        <v>1386.17</v>
      </c>
      <c r="I70" s="5">
        <f t="shared" si="36"/>
        <v>1436.17</v>
      </c>
      <c r="J70" s="5">
        <f t="shared" si="36"/>
        <v>1486.17</v>
      </c>
      <c r="K70" s="5">
        <f t="shared" si="36"/>
        <v>1536.17</v>
      </c>
    </row>
    <row r="71" spans="1:11" x14ac:dyDescent="0.3">
      <c r="A71" s="7" t="s">
        <v>116</v>
      </c>
      <c r="C71" s="4">
        <v>0</v>
      </c>
      <c r="D71" s="4">
        <v>0</v>
      </c>
      <c r="E71" s="4">
        <v>53.58</v>
      </c>
      <c r="F71" s="4">
        <v>0</v>
      </c>
      <c r="G71" s="5">
        <v>0</v>
      </c>
      <c r="H71" s="5">
        <v>0</v>
      </c>
      <c r="I71" s="5">
        <v>0</v>
      </c>
      <c r="J71" s="5">
        <v>0</v>
      </c>
      <c r="K71" s="5">
        <v>0</v>
      </c>
    </row>
    <row r="72" spans="1:11" x14ac:dyDescent="0.3">
      <c r="A72" s="7" t="s">
        <v>117</v>
      </c>
      <c r="C72" s="4">
        <v>4.99</v>
      </c>
      <c r="D72" s="4">
        <v>524.54999999999995</v>
      </c>
      <c r="E72" s="4">
        <v>251.7</v>
      </c>
      <c r="F72" s="4">
        <v>60.94</v>
      </c>
      <c r="G72" s="5">
        <f>'Assumption Sheet'!G84</f>
        <v>50</v>
      </c>
      <c r="H72" s="5">
        <f>'Assumption Sheet'!H84</f>
        <v>50</v>
      </c>
      <c r="I72" s="5">
        <f>'Assumption Sheet'!I84</f>
        <v>50</v>
      </c>
      <c r="J72" s="5">
        <f>'Assumption Sheet'!J84</f>
        <v>50</v>
      </c>
      <c r="K72" s="5">
        <f>'Assumption Sheet'!K84</f>
        <v>50</v>
      </c>
    </row>
    <row r="73" spans="1:11" x14ac:dyDescent="0.3">
      <c r="A73" s="7" t="s">
        <v>118</v>
      </c>
      <c r="C73" s="4">
        <v>-0.5</v>
      </c>
      <c r="D73" s="4">
        <v>-34.75</v>
      </c>
      <c r="E73" s="4">
        <v>0</v>
      </c>
      <c r="F73" s="4">
        <v>0</v>
      </c>
      <c r="G73" s="5">
        <v>0</v>
      </c>
      <c r="H73" s="5">
        <v>0</v>
      </c>
      <c r="I73" s="5">
        <v>0</v>
      </c>
      <c r="J73" s="5">
        <v>0</v>
      </c>
      <c r="K73" s="5">
        <v>0</v>
      </c>
    </row>
    <row r="74" spans="1:11" x14ac:dyDescent="0.3">
      <c r="A74" s="7" t="s">
        <v>119</v>
      </c>
      <c r="C74" s="4">
        <v>480.15</v>
      </c>
      <c r="D74" s="4">
        <v>969.95</v>
      </c>
      <c r="E74" s="4">
        <v>1275.23</v>
      </c>
      <c r="F74" s="4">
        <v>1336.17</v>
      </c>
      <c r="G74" s="5">
        <f>SUM(G70:G73)</f>
        <v>1386.17</v>
      </c>
      <c r="H74" s="5">
        <f t="shared" ref="H74:K74" si="37">SUM(H70:H73)</f>
        <v>1436.17</v>
      </c>
      <c r="I74" s="5">
        <f t="shared" si="37"/>
        <v>1486.17</v>
      </c>
      <c r="J74" s="5">
        <f t="shared" si="37"/>
        <v>1536.17</v>
      </c>
      <c r="K74" s="5">
        <f t="shared" si="37"/>
        <v>1586.17</v>
      </c>
    </row>
    <row r="76" spans="1:11" x14ac:dyDescent="0.3">
      <c r="A76" s="7" t="s">
        <v>120</v>
      </c>
      <c r="C76" s="4">
        <v>304.64999999999998</v>
      </c>
      <c r="D76" s="4">
        <v>350.02</v>
      </c>
      <c r="E76" s="4">
        <v>363.27</v>
      </c>
      <c r="F76" s="4">
        <v>467.41</v>
      </c>
      <c r="G76" s="5">
        <f>F79</f>
        <v>590.08000000000004</v>
      </c>
      <c r="H76" s="5">
        <f t="shared" ref="H76:K76" si="38">G79</f>
        <v>728.69700000000012</v>
      </c>
      <c r="I76" s="5">
        <f t="shared" si="38"/>
        <v>879.87278947368429</v>
      </c>
      <c r="J76" s="5">
        <f t="shared" si="38"/>
        <v>1045.0027894736843</v>
      </c>
      <c r="K76" s="5">
        <f t="shared" si="38"/>
        <v>1225.7286718266255</v>
      </c>
    </row>
    <row r="77" spans="1:11" x14ac:dyDescent="0.3">
      <c r="A77" s="7" t="s">
        <v>121</v>
      </c>
      <c r="C77" s="4">
        <v>45.87</v>
      </c>
      <c r="D77" s="4">
        <v>43.42</v>
      </c>
      <c r="E77" s="4">
        <v>104.14</v>
      </c>
      <c r="F77" s="4">
        <v>122.67</v>
      </c>
      <c r="G77" s="5">
        <f>G74/G83</f>
        <v>138.61700000000002</v>
      </c>
      <c r="H77" s="5">
        <f t="shared" ref="H77:K77" si="39">H74/H83</f>
        <v>151.1757894736842</v>
      </c>
      <c r="I77" s="5">
        <f t="shared" si="39"/>
        <v>165.13</v>
      </c>
      <c r="J77" s="5">
        <f t="shared" si="39"/>
        <v>180.7258823529412</v>
      </c>
      <c r="K77" s="5">
        <f t="shared" si="39"/>
        <v>198.27125000000001</v>
      </c>
    </row>
    <row r="78" spans="1:11" x14ac:dyDescent="0.3">
      <c r="A78" s="7" t="s">
        <v>122</v>
      </c>
      <c r="C78" s="4">
        <v>-0.5</v>
      </c>
      <c r="D78" s="4">
        <v>-30.17</v>
      </c>
      <c r="E78" s="4">
        <v>0</v>
      </c>
      <c r="F78" s="4">
        <v>0</v>
      </c>
      <c r="G78" s="5">
        <v>0</v>
      </c>
      <c r="H78" s="5">
        <v>0</v>
      </c>
      <c r="I78" s="5">
        <v>0</v>
      </c>
      <c r="J78" s="5">
        <v>0</v>
      </c>
      <c r="K78" s="5">
        <v>0</v>
      </c>
    </row>
    <row r="79" spans="1:11" x14ac:dyDescent="0.3">
      <c r="A79" s="7" t="s">
        <v>123</v>
      </c>
      <c r="C79" s="4">
        <v>350.02</v>
      </c>
      <c r="D79" s="4">
        <v>363.27</v>
      </c>
      <c r="E79" s="4">
        <v>467.41</v>
      </c>
      <c r="F79" s="4">
        <v>590.08000000000004</v>
      </c>
      <c r="G79" s="5">
        <f>SUM(G76:G78)</f>
        <v>728.69700000000012</v>
      </c>
      <c r="H79" s="5">
        <f t="shared" ref="H79:K79" si="40">SUM(H76:H78)</f>
        <v>879.87278947368429</v>
      </c>
      <c r="I79" s="5">
        <f t="shared" si="40"/>
        <v>1045.0027894736843</v>
      </c>
      <c r="J79" s="5">
        <f t="shared" si="40"/>
        <v>1225.7286718266255</v>
      </c>
      <c r="K79" s="5">
        <f t="shared" si="40"/>
        <v>1423.9999218266255</v>
      </c>
    </row>
    <row r="81" spans="1:11" x14ac:dyDescent="0.3">
      <c r="A81" s="7" t="s">
        <v>124</v>
      </c>
      <c r="C81" s="4">
        <v>130.13</v>
      </c>
      <c r="D81" s="4">
        <v>606.67999999999995</v>
      </c>
      <c r="E81" s="4">
        <v>807.82</v>
      </c>
      <c r="F81" s="4">
        <v>746.09</v>
      </c>
      <c r="G81" s="5">
        <f>G74-G79</f>
        <v>657.47299999999996</v>
      </c>
      <c r="H81" s="5">
        <f t="shared" ref="H81:K81" si="41">H74-H79</f>
        <v>556.29721052631578</v>
      </c>
      <c r="I81" s="5">
        <f t="shared" si="41"/>
        <v>441.16721052631578</v>
      </c>
      <c r="J81" s="5">
        <f t="shared" si="41"/>
        <v>310.44132817337459</v>
      </c>
      <c r="K81" s="5">
        <f t="shared" si="41"/>
        <v>162.17007817337458</v>
      </c>
    </row>
    <row r="83" spans="1:11" x14ac:dyDescent="0.3">
      <c r="A83" s="7" t="s">
        <v>300</v>
      </c>
      <c r="C83" s="4">
        <f>C74/C77</f>
        <v>10.467625899280575</v>
      </c>
      <c r="D83" s="4">
        <f t="shared" ref="D83:F83" si="42">D74/D77</f>
        <v>22.338783970520499</v>
      </c>
      <c r="E83" s="4">
        <f t="shared" si="42"/>
        <v>12.245342807758787</v>
      </c>
      <c r="F83" s="4">
        <f t="shared" si="42"/>
        <v>10.892394228417707</v>
      </c>
      <c r="G83" s="5">
        <f>'Assumption Sheet'!G85</f>
        <v>10</v>
      </c>
      <c r="H83" s="5">
        <f>'Assumption Sheet'!H85</f>
        <v>9.5</v>
      </c>
      <c r="I83" s="5">
        <f>'Assumption Sheet'!I85</f>
        <v>9</v>
      </c>
      <c r="J83" s="5">
        <f>'Assumption Sheet'!J85</f>
        <v>8.5</v>
      </c>
      <c r="K83" s="5">
        <f>'Assumption Sheet'!K85</f>
        <v>8</v>
      </c>
    </row>
    <row r="84" spans="1:11" x14ac:dyDescent="0.3">
      <c r="A84" s="7" t="s">
        <v>301</v>
      </c>
      <c r="C84" s="4">
        <f>C79/C77</f>
        <v>7.6306954436450836</v>
      </c>
      <c r="D84" s="4">
        <f t="shared" ref="D84:F84" si="43">D79/D77</f>
        <v>8.366421004145554</v>
      </c>
      <c r="E84" s="4">
        <f t="shared" si="43"/>
        <v>4.4882850009602464</v>
      </c>
      <c r="F84" s="4">
        <f t="shared" si="43"/>
        <v>4.8103040678242444</v>
      </c>
      <c r="G84" s="5">
        <f t="shared" ref="G84:K84" si="44">G79/G77</f>
        <v>5.2569093256959825</v>
      </c>
      <c r="H84" s="5">
        <f t="shared" si="44"/>
        <v>5.8201964252142862</v>
      </c>
      <c r="I84" s="5">
        <f t="shared" si="44"/>
        <v>6.3283642552757486</v>
      </c>
      <c r="J84" s="5">
        <f t="shared" si="44"/>
        <v>6.7822530778014904</v>
      </c>
      <c r="K84" s="5">
        <f t="shared" si="44"/>
        <v>7.1820797106319016</v>
      </c>
    </row>
    <row r="85" spans="1:11" x14ac:dyDescent="0.3">
      <c r="A85" s="7" t="s">
        <v>302</v>
      </c>
      <c r="C85" s="4">
        <f>C81/C77</f>
        <v>2.8369304556354917</v>
      </c>
      <c r="D85" s="4">
        <f t="shared" ref="D85:F85" si="45">D81/D77</f>
        <v>13.972362966374941</v>
      </c>
      <c r="E85" s="4">
        <f t="shared" si="45"/>
        <v>7.7570578067985405</v>
      </c>
      <c r="F85" s="4">
        <f t="shared" si="45"/>
        <v>6.0820901605934621</v>
      </c>
      <c r="G85" s="5">
        <f t="shared" ref="G85:K85" si="46">G81/G77</f>
        <v>4.7430906743040167</v>
      </c>
      <c r="H85" s="5">
        <f t="shared" si="46"/>
        <v>3.6798035747857147</v>
      </c>
      <c r="I85" s="5">
        <f t="shared" si="46"/>
        <v>2.6716357447242522</v>
      </c>
      <c r="J85" s="5">
        <f t="shared" si="46"/>
        <v>1.7177469221985091</v>
      </c>
      <c r="K85" s="5">
        <f t="shared" si="46"/>
        <v>0.81792028936809835</v>
      </c>
    </row>
    <row r="87" spans="1:11" x14ac:dyDescent="0.3">
      <c r="A87" s="17" t="s">
        <v>129</v>
      </c>
      <c r="B87" s="13"/>
      <c r="C87" s="14"/>
      <c r="D87" s="14"/>
      <c r="E87" s="14"/>
      <c r="F87" s="14"/>
      <c r="G87" s="15"/>
      <c r="H87" s="15"/>
      <c r="I87" s="15"/>
      <c r="J87" s="15"/>
      <c r="K87" s="15"/>
    </row>
    <row r="88" spans="1:11" x14ac:dyDescent="0.3">
      <c r="A88" s="7" t="s">
        <v>115</v>
      </c>
      <c r="C88" s="4">
        <v>874.25</v>
      </c>
      <c r="D88" s="4">
        <v>1057.4000000000001</v>
      </c>
      <c r="E88" s="4">
        <v>1373.9</v>
      </c>
      <c r="F88" s="4">
        <v>1746.43</v>
      </c>
      <c r="G88" s="5">
        <f>F92</f>
        <v>1868.92</v>
      </c>
      <c r="H88" s="5">
        <f t="shared" ref="H88:K88" si="47">G92</f>
        <v>2277.3894385039325</v>
      </c>
      <c r="I88" s="5">
        <f t="shared" si="47"/>
        <v>2734.6707311113178</v>
      </c>
      <c r="J88" s="5">
        <f t="shared" si="47"/>
        <v>3184.0579582806818</v>
      </c>
      <c r="K88" s="5">
        <f t="shared" si="47"/>
        <v>3673.9690261700903</v>
      </c>
    </row>
    <row r="89" spans="1:11" x14ac:dyDescent="0.3">
      <c r="A89" s="7" t="s">
        <v>116</v>
      </c>
      <c r="C89" s="4">
        <v>0</v>
      </c>
      <c r="D89" s="4">
        <v>0</v>
      </c>
      <c r="E89" s="4">
        <v>102.04</v>
      </c>
      <c r="F89" s="4">
        <v>0</v>
      </c>
      <c r="G89" s="5">
        <v>0</v>
      </c>
      <c r="H89" s="5">
        <v>0</v>
      </c>
      <c r="I89" s="5">
        <v>0</v>
      </c>
      <c r="J89" s="5">
        <v>0</v>
      </c>
      <c r="K89" s="5">
        <v>0</v>
      </c>
    </row>
    <row r="90" spans="1:11" x14ac:dyDescent="0.3">
      <c r="A90" s="7" t="s">
        <v>117</v>
      </c>
      <c r="C90" s="4">
        <v>183.15</v>
      </c>
      <c r="D90" s="4">
        <v>367.37</v>
      </c>
      <c r="E90" s="4">
        <v>273.57</v>
      </c>
      <c r="F90" s="4">
        <v>159.88</v>
      </c>
      <c r="G90" s="5">
        <f>'Assumption Sheet'!G88</f>
        <v>408.46943850393257</v>
      </c>
      <c r="H90" s="5">
        <f>'Assumption Sheet'!H88</f>
        <v>457.2812926073853</v>
      </c>
      <c r="I90" s="5">
        <f>'Assumption Sheet'!I88</f>
        <v>449.38722716936417</v>
      </c>
      <c r="J90" s="5">
        <f>'Assumption Sheet'!J88</f>
        <v>489.91106788940857</v>
      </c>
      <c r="K90" s="5">
        <f>'Assumption Sheet'!K88</f>
        <v>639.3504202361222</v>
      </c>
    </row>
    <row r="91" spans="1:11" x14ac:dyDescent="0.3">
      <c r="A91" s="7" t="s">
        <v>118</v>
      </c>
      <c r="C91" s="4">
        <v>0</v>
      </c>
      <c r="D91" s="4">
        <v>-50.87</v>
      </c>
      <c r="E91" s="4">
        <v>-3.08</v>
      </c>
      <c r="F91" s="4">
        <v>-37.39</v>
      </c>
      <c r="G91" s="5">
        <v>0</v>
      </c>
      <c r="H91" s="5">
        <v>0</v>
      </c>
      <c r="I91" s="5">
        <v>0</v>
      </c>
      <c r="J91" s="5">
        <v>0</v>
      </c>
      <c r="K91" s="5">
        <v>0</v>
      </c>
    </row>
    <row r="92" spans="1:11" x14ac:dyDescent="0.3">
      <c r="A92" s="7" t="s">
        <v>119</v>
      </c>
      <c r="C92" s="4">
        <v>1057.4000000000001</v>
      </c>
      <c r="D92" s="4">
        <v>1373.9</v>
      </c>
      <c r="E92" s="4">
        <v>1746.43</v>
      </c>
      <c r="F92" s="4">
        <v>1868.92</v>
      </c>
      <c r="G92" s="5">
        <f>SUM(G88:G91)</f>
        <v>2277.3894385039325</v>
      </c>
      <c r="H92" s="5">
        <f t="shared" ref="H92:K92" si="48">SUM(H88:H91)</f>
        <v>2734.6707311113178</v>
      </c>
      <c r="I92" s="5">
        <f t="shared" si="48"/>
        <v>3184.0579582806818</v>
      </c>
      <c r="J92" s="5">
        <f t="shared" si="48"/>
        <v>3673.9690261700903</v>
      </c>
      <c r="K92" s="5">
        <f t="shared" si="48"/>
        <v>4313.3194464062126</v>
      </c>
    </row>
    <row r="94" spans="1:11" x14ac:dyDescent="0.3">
      <c r="A94" s="7" t="s">
        <v>120</v>
      </c>
      <c r="C94" s="4">
        <v>667.73</v>
      </c>
      <c r="D94" s="4">
        <v>811.07</v>
      </c>
      <c r="E94" s="4">
        <v>944.88</v>
      </c>
      <c r="F94" s="4">
        <v>1201.8499999999999</v>
      </c>
      <c r="G94" s="5">
        <f>F97</f>
        <v>1436.23</v>
      </c>
      <c r="H94" s="5">
        <f t="shared" ref="H94:K94" si="49">G97</f>
        <v>1749.672704362941</v>
      </c>
      <c r="I94" s="5">
        <f t="shared" si="49"/>
        <v>2127.4969774746237</v>
      </c>
      <c r="J94" s="5">
        <f t="shared" si="49"/>
        <v>2576.3504716043999</v>
      </c>
      <c r="K94" s="5">
        <f t="shared" si="49"/>
        <v>3088.3234198425607</v>
      </c>
    </row>
    <row r="95" spans="1:11" x14ac:dyDescent="0.3">
      <c r="A95" s="7" t="s">
        <v>121</v>
      </c>
      <c r="C95" s="4">
        <v>143.34</v>
      </c>
      <c r="D95" s="4">
        <v>175.81</v>
      </c>
      <c r="E95" s="4">
        <v>258.18</v>
      </c>
      <c r="F95" s="4">
        <v>262.97000000000003</v>
      </c>
      <c r="G95" s="5">
        <f>G92/G101</f>
        <v>313.4427043629409</v>
      </c>
      <c r="H95" s="5">
        <f t="shared" ref="H95:K95" si="50">H92/H101</f>
        <v>377.82427311168283</v>
      </c>
      <c r="I95" s="5">
        <f t="shared" si="50"/>
        <v>448.8534941297761</v>
      </c>
      <c r="J95" s="5">
        <f t="shared" si="50"/>
        <v>511.972948238161</v>
      </c>
      <c r="K95" s="5">
        <f t="shared" si="50"/>
        <v>599.62327496199009</v>
      </c>
    </row>
    <row r="96" spans="1:11" x14ac:dyDescent="0.3">
      <c r="A96" s="7" t="s">
        <v>122</v>
      </c>
      <c r="C96" s="4">
        <v>0</v>
      </c>
      <c r="D96" s="4">
        <v>-42</v>
      </c>
      <c r="E96" s="4">
        <v>-1.21</v>
      </c>
      <c r="F96" s="4">
        <v>-28.59</v>
      </c>
      <c r="G96" s="5">
        <v>0</v>
      </c>
      <c r="H96" s="5">
        <v>0</v>
      </c>
      <c r="I96" s="5">
        <v>0</v>
      </c>
      <c r="J96" s="5">
        <v>0</v>
      </c>
      <c r="K96" s="5">
        <v>0</v>
      </c>
    </row>
    <row r="97" spans="1:11" x14ac:dyDescent="0.3">
      <c r="A97" s="7" t="s">
        <v>123</v>
      </c>
      <c r="C97" s="4">
        <v>811.07</v>
      </c>
      <c r="D97" s="4">
        <v>944.88</v>
      </c>
      <c r="E97" s="4">
        <v>1201.8499999999999</v>
      </c>
      <c r="F97" s="4">
        <v>1436.23</v>
      </c>
      <c r="G97" s="5">
        <f>SUM(G94:G96)</f>
        <v>1749.672704362941</v>
      </c>
      <c r="H97" s="5">
        <f t="shared" ref="H97:K97" si="51">SUM(H94:H96)</f>
        <v>2127.4969774746237</v>
      </c>
      <c r="I97" s="5">
        <f t="shared" si="51"/>
        <v>2576.3504716043999</v>
      </c>
      <c r="J97" s="5">
        <f t="shared" si="51"/>
        <v>3088.3234198425607</v>
      </c>
      <c r="K97" s="5">
        <f t="shared" si="51"/>
        <v>3687.946694804551</v>
      </c>
    </row>
    <row r="99" spans="1:11" x14ac:dyDescent="0.3">
      <c r="A99" s="7" t="s">
        <v>124</v>
      </c>
      <c r="C99" s="4">
        <v>246.3</v>
      </c>
      <c r="D99" s="4">
        <v>429.02</v>
      </c>
      <c r="E99" s="4">
        <v>544.58000000000004</v>
      </c>
      <c r="F99" s="4">
        <v>432.69</v>
      </c>
      <c r="G99" s="5">
        <f>G92-G97</f>
        <v>527.71673414099155</v>
      </c>
      <c r="H99" s="5">
        <f t="shared" ref="H99:K99" si="52">H92-H97</f>
        <v>607.17375363669407</v>
      </c>
      <c r="I99" s="5">
        <f t="shared" si="52"/>
        <v>607.70748667628186</v>
      </c>
      <c r="J99" s="5">
        <f t="shared" si="52"/>
        <v>585.64560632752955</v>
      </c>
      <c r="K99" s="5">
        <f t="shared" si="52"/>
        <v>625.37275160166155</v>
      </c>
    </row>
    <row r="101" spans="1:11" x14ac:dyDescent="0.3">
      <c r="A101" s="7" t="s">
        <v>300</v>
      </c>
      <c r="C101" s="4">
        <f>C92/C95</f>
        <v>7.3768661922701275</v>
      </c>
      <c r="D101" s="4">
        <f t="shared" ref="D101:F101" si="53">D92/D95</f>
        <v>7.8146863090836707</v>
      </c>
      <c r="E101" s="4">
        <f t="shared" si="53"/>
        <v>6.7643891858393372</v>
      </c>
      <c r="F101" s="4">
        <f t="shared" si="53"/>
        <v>7.1069703768490697</v>
      </c>
      <c r="G101" s="5">
        <f>'Assumption Sheet'!G90</f>
        <v>7.2657280160105513</v>
      </c>
      <c r="H101" s="5">
        <f>'Assumption Sheet'!H90</f>
        <v>7.2379434719456572</v>
      </c>
      <c r="I101" s="5">
        <f>'Assumption Sheet'!I90</f>
        <v>7.0937577626611539</v>
      </c>
      <c r="J101" s="5">
        <f>'Assumption Sheet'!J90</f>
        <v>7.1760999068666091</v>
      </c>
      <c r="K101" s="5">
        <f>'Assumption Sheet'!K90</f>
        <v>7.1933822893709927</v>
      </c>
    </row>
    <row r="102" spans="1:11" x14ac:dyDescent="0.3">
      <c r="A102" s="7" t="s">
        <v>301</v>
      </c>
      <c r="C102" s="4">
        <f>C97/C95</f>
        <v>5.6583647272219899</v>
      </c>
      <c r="D102" s="4">
        <f t="shared" ref="D102:F102" si="54">D97/D95</f>
        <v>5.3744383140890735</v>
      </c>
      <c r="E102" s="4">
        <f t="shared" si="54"/>
        <v>4.6550855991943605</v>
      </c>
      <c r="F102" s="4">
        <f t="shared" si="54"/>
        <v>5.4615735635243556</v>
      </c>
      <c r="G102" s="5">
        <f t="shared" ref="G102:K102" si="55">G97/G95</f>
        <v>5.5821133496122588</v>
      </c>
      <c r="H102" s="5">
        <f t="shared" si="55"/>
        <v>5.6309166162168385</v>
      </c>
      <c r="I102" s="5">
        <f t="shared" si="55"/>
        <v>5.7398472002526173</v>
      </c>
      <c r="J102" s="5">
        <f t="shared" si="55"/>
        <v>6.0322003935370541</v>
      </c>
      <c r="K102" s="5">
        <f t="shared" si="55"/>
        <v>6.1504395322852146</v>
      </c>
    </row>
    <row r="103" spans="1:11" x14ac:dyDescent="0.3">
      <c r="A103" s="7" t="s">
        <v>302</v>
      </c>
      <c r="C103" s="4">
        <f>C99/C95</f>
        <v>1.718292172457095</v>
      </c>
      <c r="D103" s="4">
        <f t="shared" ref="D103:F103" si="56">D99/D95</f>
        <v>2.4402479949945963</v>
      </c>
      <c r="E103" s="4">
        <f t="shared" si="56"/>
        <v>2.1093035866449763</v>
      </c>
      <c r="F103" s="4">
        <f t="shared" si="56"/>
        <v>1.6453968133247137</v>
      </c>
      <c r="G103" s="5">
        <f t="shared" ref="G103:K103" si="57">G99/G95</f>
        <v>1.6836146663982932</v>
      </c>
      <c r="H103" s="5">
        <f t="shared" si="57"/>
        <v>1.6070268557288185</v>
      </c>
      <c r="I103" s="5">
        <f t="shared" si="57"/>
        <v>1.3539105624085364</v>
      </c>
      <c r="J103" s="5">
        <f t="shared" si="57"/>
        <v>1.1438995133295544</v>
      </c>
      <c r="K103" s="5">
        <f t="shared" si="57"/>
        <v>1.0429427570857781</v>
      </c>
    </row>
    <row r="105" spans="1:11" x14ac:dyDescent="0.3">
      <c r="A105" s="17" t="s">
        <v>130</v>
      </c>
      <c r="B105" s="13"/>
      <c r="C105" s="14"/>
      <c r="D105" s="14"/>
      <c r="E105" s="14"/>
      <c r="F105" s="14"/>
      <c r="G105" s="15"/>
      <c r="H105" s="15"/>
      <c r="I105" s="15"/>
      <c r="J105" s="15"/>
      <c r="K105" s="15"/>
    </row>
    <row r="106" spans="1:11" x14ac:dyDescent="0.3">
      <c r="A106" s="7" t="s">
        <v>115</v>
      </c>
      <c r="C106" s="4">
        <v>5.18</v>
      </c>
      <c r="D106" s="4">
        <v>5.18</v>
      </c>
      <c r="E106" s="4">
        <v>5.18</v>
      </c>
      <c r="F106" s="4">
        <v>9.81</v>
      </c>
      <c r="G106" s="5">
        <f>F110</f>
        <v>9.81</v>
      </c>
      <c r="H106" s="5">
        <f t="shared" ref="H106:K106" si="58">G110</f>
        <v>9.81</v>
      </c>
      <c r="I106" s="5">
        <f t="shared" si="58"/>
        <v>9.81</v>
      </c>
      <c r="J106" s="5">
        <f t="shared" si="58"/>
        <v>9.81</v>
      </c>
      <c r="K106" s="5">
        <f t="shared" si="58"/>
        <v>9.81</v>
      </c>
    </row>
    <row r="107" spans="1:11" x14ac:dyDescent="0.3">
      <c r="A107" s="7" t="s">
        <v>116</v>
      </c>
      <c r="C107" s="4">
        <v>0</v>
      </c>
      <c r="D107" s="4">
        <v>0</v>
      </c>
      <c r="E107" s="4">
        <v>0</v>
      </c>
      <c r="F107" s="4">
        <v>0</v>
      </c>
      <c r="G107" s="5">
        <v>0</v>
      </c>
      <c r="H107" s="5">
        <v>0</v>
      </c>
      <c r="I107" s="5">
        <v>0</v>
      </c>
      <c r="J107" s="5">
        <v>0</v>
      </c>
      <c r="K107" s="5">
        <v>0</v>
      </c>
    </row>
    <row r="108" spans="1:11" x14ac:dyDescent="0.3">
      <c r="A108" s="7" t="s">
        <v>117</v>
      </c>
      <c r="C108" s="4">
        <v>0</v>
      </c>
      <c r="D108" s="4">
        <v>0</v>
      </c>
      <c r="E108" s="4">
        <v>4.63</v>
      </c>
      <c r="F108" s="4">
        <v>0</v>
      </c>
      <c r="G108" s="5">
        <f>'Assumption Sheet'!G93</f>
        <v>0</v>
      </c>
      <c r="H108" s="5">
        <f>'Assumption Sheet'!H93</f>
        <v>0</v>
      </c>
      <c r="I108" s="5">
        <f>'Assumption Sheet'!I93</f>
        <v>0</v>
      </c>
      <c r="J108" s="5">
        <f>'Assumption Sheet'!J93</f>
        <v>0</v>
      </c>
      <c r="K108" s="5">
        <f>'Assumption Sheet'!K93</f>
        <v>0</v>
      </c>
    </row>
    <row r="109" spans="1:11" x14ac:dyDescent="0.3">
      <c r="A109" s="7" t="s">
        <v>118</v>
      </c>
      <c r="C109" s="4">
        <v>0</v>
      </c>
      <c r="D109" s="4">
        <v>0</v>
      </c>
      <c r="E109" s="4">
        <v>0</v>
      </c>
      <c r="F109" s="4">
        <v>0</v>
      </c>
      <c r="G109" s="5">
        <v>0</v>
      </c>
      <c r="H109" s="5">
        <v>0</v>
      </c>
      <c r="I109" s="5">
        <v>0</v>
      </c>
      <c r="J109" s="5">
        <v>0</v>
      </c>
      <c r="K109" s="5">
        <v>0</v>
      </c>
    </row>
    <row r="110" spans="1:11" x14ac:dyDescent="0.3">
      <c r="A110" s="7" t="s">
        <v>119</v>
      </c>
      <c r="C110" s="4">
        <v>5.18</v>
      </c>
      <c r="D110" s="4">
        <v>5.18</v>
      </c>
      <c r="E110" s="4">
        <v>9.81</v>
      </c>
      <c r="F110" s="4">
        <v>9.81</v>
      </c>
      <c r="G110" s="5">
        <f>SUM(G106:G109)</f>
        <v>9.81</v>
      </c>
      <c r="H110" s="5">
        <f t="shared" ref="H110:K110" si="59">SUM(H106:H109)</f>
        <v>9.81</v>
      </c>
      <c r="I110" s="5">
        <f t="shared" si="59"/>
        <v>9.81</v>
      </c>
      <c r="J110" s="5">
        <f t="shared" si="59"/>
        <v>9.81</v>
      </c>
      <c r="K110" s="5">
        <f t="shared" si="59"/>
        <v>9.81</v>
      </c>
    </row>
    <row r="112" spans="1:11" x14ac:dyDescent="0.3">
      <c r="A112" s="7" t="s">
        <v>120</v>
      </c>
      <c r="C112" s="4">
        <v>5.18</v>
      </c>
      <c r="D112" s="4">
        <v>5.18</v>
      </c>
      <c r="E112" s="4">
        <v>5.18</v>
      </c>
      <c r="F112" s="4">
        <v>5.18</v>
      </c>
      <c r="G112" s="5">
        <f>F115</f>
        <v>5.76</v>
      </c>
      <c r="H112" s="5">
        <f t="shared" ref="H112:K112" si="60">G115</f>
        <v>6.34</v>
      </c>
      <c r="I112" s="5">
        <f t="shared" si="60"/>
        <v>6.92</v>
      </c>
      <c r="J112" s="5">
        <f t="shared" si="60"/>
        <v>7.5</v>
      </c>
      <c r="K112" s="5">
        <f t="shared" si="60"/>
        <v>8.08</v>
      </c>
    </row>
    <row r="113" spans="1:11" x14ac:dyDescent="0.3">
      <c r="A113" s="7" t="s">
        <v>121</v>
      </c>
      <c r="C113" s="4">
        <v>0</v>
      </c>
      <c r="D113" s="4">
        <v>0</v>
      </c>
      <c r="E113" s="4">
        <v>0</v>
      </c>
      <c r="F113" s="4">
        <v>0.57999999999999996</v>
      </c>
      <c r="G113" s="5">
        <f>G110/G119</f>
        <v>0.57999999999999996</v>
      </c>
      <c r="H113" s="5">
        <f t="shared" ref="H113:K113" si="61">H110/H119</f>
        <v>0.57999999999999996</v>
      </c>
      <c r="I113" s="5">
        <f t="shared" si="61"/>
        <v>0.57999999999999996</v>
      </c>
      <c r="J113" s="5">
        <f t="shared" si="61"/>
        <v>0.57999999999999996</v>
      </c>
      <c r="K113" s="5">
        <f t="shared" si="61"/>
        <v>0.57999999999999996</v>
      </c>
    </row>
    <row r="114" spans="1:11" x14ac:dyDescent="0.3">
      <c r="A114" s="7" t="s">
        <v>122</v>
      </c>
      <c r="C114" s="4">
        <v>0</v>
      </c>
      <c r="D114" s="4">
        <v>0</v>
      </c>
      <c r="E114" s="4">
        <v>0</v>
      </c>
      <c r="F114" s="4">
        <v>0</v>
      </c>
      <c r="G114" s="5">
        <v>0</v>
      </c>
      <c r="H114" s="5">
        <v>0</v>
      </c>
      <c r="I114" s="5">
        <v>0</v>
      </c>
      <c r="J114" s="5">
        <v>0</v>
      </c>
      <c r="K114" s="5">
        <v>0</v>
      </c>
    </row>
    <row r="115" spans="1:11" x14ac:dyDescent="0.3">
      <c r="A115" s="7" t="s">
        <v>123</v>
      </c>
      <c r="C115" s="4">
        <v>5.18</v>
      </c>
      <c r="D115" s="4">
        <v>5.18</v>
      </c>
      <c r="E115" s="4">
        <v>5.18</v>
      </c>
      <c r="F115" s="4">
        <v>5.76</v>
      </c>
      <c r="G115" s="5">
        <f>SUM(G112:G114)</f>
        <v>6.34</v>
      </c>
      <c r="H115" s="5">
        <f t="shared" ref="H115:K115" si="62">SUM(H112:H114)</f>
        <v>6.92</v>
      </c>
      <c r="I115" s="5">
        <f t="shared" si="62"/>
        <v>7.5</v>
      </c>
      <c r="J115" s="5">
        <f t="shared" si="62"/>
        <v>8.08</v>
      </c>
      <c r="K115" s="5">
        <f t="shared" si="62"/>
        <v>8.66</v>
      </c>
    </row>
    <row r="117" spans="1:11" x14ac:dyDescent="0.3">
      <c r="A117" s="7" t="s">
        <v>124</v>
      </c>
      <c r="C117" s="4">
        <v>0</v>
      </c>
      <c r="D117" s="4">
        <v>0</v>
      </c>
      <c r="E117" s="4">
        <v>4.63</v>
      </c>
      <c r="F117" s="4">
        <v>4.05</v>
      </c>
      <c r="G117" s="5">
        <f>G110-G115</f>
        <v>3.4700000000000006</v>
      </c>
      <c r="H117" s="5">
        <f t="shared" ref="H117:K117" si="63">H110-H115</f>
        <v>2.8900000000000006</v>
      </c>
      <c r="I117" s="5">
        <f t="shared" si="63"/>
        <v>2.3100000000000005</v>
      </c>
      <c r="J117" s="5">
        <f t="shared" si="63"/>
        <v>1.7300000000000004</v>
      </c>
      <c r="K117" s="5">
        <f t="shared" si="63"/>
        <v>1.1500000000000004</v>
      </c>
    </row>
    <row r="119" spans="1:11" x14ac:dyDescent="0.3">
      <c r="A119" s="7" t="s">
        <v>300</v>
      </c>
      <c r="C119" s="4">
        <v>0</v>
      </c>
      <c r="D119" s="4">
        <v>0</v>
      </c>
      <c r="E119" s="4">
        <v>0</v>
      </c>
      <c r="F119" s="4">
        <f t="shared" ref="F119" si="64">F110/F113</f>
        <v>16.913793103448278</v>
      </c>
      <c r="G119" s="5">
        <f>'Assumption Sheet'!G94</f>
        <v>16.913793103448278</v>
      </c>
      <c r="H119" s="5">
        <f>'Assumption Sheet'!H94</f>
        <v>16.913793103448278</v>
      </c>
      <c r="I119" s="5">
        <f>'Assumption Sheet'!I94</f>
        <v>16.913793103448278</v>
      </c>
      <c r="J119" s="5">
        <f>'Assumption Sheet'!J94</f>
        <v>16.913793103448278</v>
      </c>
      <c r="K119" s="5">
        <f>'Assumption Sheet'!K94</f>
        <v>16.913793103448278</v>
      </c>
    </row>
    <row r="120" spans="1:11" x14ac:dyDescent="0.3">
      <c r="A120" s="7" t="s">
        <v>301</v>
      </c>
      <c r="C120" s="4">
        <v>0</v>
      </c>
      <c r="D120" s="4">
        <v>0</v>
      </c>
      <c r="E120" s="4">
        <v>0</v>
      </c>
      <c r="F120" s="4">
        <f t="shared" ref="F120:K120" si="65">F115/F113</f>
        <v>9.931034482758621</v>
      </c>
      <c r="G120" s="5">
        <f t="shared" si="65"/>
        <v>10.931034482758621</v>
      </c>
      <c r="H120" s="5">
        <f t="shared" si="65"/>
        <v>11.931034482758621</v>
      </c>
      <c r="I120" s="5">
        <f t="shared" si="65"/>
        <v>12.931034482758621</v>
      </c>
      <c r="J120" s="5">
        <f t="shared" si="65"/>
        <v>13.931034482758621</v>
      </c>
      <c r="K120" s="5">
        <f t="shared" si="65"/>
        <v>14.931034482758623</v>
      </c>
    </row>
    <row r="121" spans="1:11" x14ac:dyDescent="0.3">
      <c r="A121" s="7" t="s">
        <v>302</v>
      </c>
      <c r="C121" s="4">
        <v>0</v>
      </c>
      <c r="D121" s="4">
        <v>0</v>
      </c>
      <c r="E121" s="4">
        <v>0</v>
      </c>
      <c r="F121" s="4">
        <f t="shared" ref="F121:K121" si="66">F117/F113</f>
        <v>6.9827586206896557</v>
      </c>
      <c r="G121" s="5">
        <f t="shared" si="66"/>
        <v>5.9827586206896566</v>
      </c>
      <c r="H121" s="5">
        <f t="shared" si="66"/>
        <v>4.9827586206896566</v>
      </c>
      <c r="I121" s="5">
        <f t="shared" si="66"/>
        <v>3.9827586206896561</v>
      </c>
      <c r="J121" s="5">
        <f t="shared" si="66"/>
        <v>2.9827586206896561</v>
      </c>
      <c r="K121" s="5">
        <f t="shared" si="66"/>
        <v>1.9827586206896559</v>
      </c>
    </row>
    <row r="123" spans="1:11" s="1" customFormat="1" x14ac:dyDescent="0.3">
      <c r="A123" s="17" t="s">
        <v>303</v>
      </c>
      <c r="B123" s="17"/>
      <c r="C123" s="18"/>
      <c r="D123" s="18"/>
      <c r="E123" s="18"/>
      <c r="F123" s="18"/>
      <c r="G123" s="19"/>
      <c r="H123" s="19"/>
      <c r="I123" s="19"/>
      <c r="J123" s="19"/>
      <c r="K123" s="19"/>
    </row>
    <row r="124" spans="1:11" x14ac:dyDescent="0.3">
      <c r="A124" s="7" t="s">
        <v>115</v>
      </c>
      <c r="C124" s="4">
        <f>C6+C15+C34+C52+C70+C88+C106</f>
        <v>21474.289999999997</v>
      </c>
      <c r="D124" s="4">
        <f t="shared" ref="D124:K124" si="67">D6+D15+D34+D52+D70+D88+D106</f>
        <v>22621.370000000003</v>
      </c>
      <c r="E124" s="4">
        <f t="shared" si="67"/>
        <v>23427.670000000002</v>
      </c>
      <c r="F124" s="4">
        <f t="shared" si="67"/>
        <v>24110.11</v>
      </c>
      <c r="G124" s="5">
        <f t="shared" si="67"/>
        <v>24315.59</v>
      </c>
      <c r="H124" s="5">
        <f t="shared" si="67"/>
        <v>24774.059438503933</v>
      </c>
      <c r="I124" s="5">
        <f t="shared" si="67"/>
        <v>25281.340731111319</v>
      </c>
      <c r="J124" s="5">
        <f t="shared" si="67"/>
        <v>25780.727958280684</v>
      </c>
      <c r="K124" s="5">
        <f t="shared" si="67"/>
        <v>26320.639026170091</v>
      </c>
    </row>
    <row r="125" spans="1:11" x14ac:dyDescent="0.3">
      <c r="A125" s="7" t="s">
        <v>116</v>
      </c>
      <c r="C125" s="4">
        <f t="shared" ref="C125:K125" si="68">C7+C16+C35+C53+C71+C89+C107</f>
        <v>0</v>
      </c>
      <c r="D125" s="4">
        <f t="shared" si="68"/>
        <v>0</v>
      </c>
      <c r="E125" s="4">
        <f t="shared" si="68"/>
        <v>155.62</v>
      </c>
      <c r="F125" s="4">
        <f t="shared" si="68"/>
        <v>0</v>
      </c>
      <c r="G125" s="5">
        <f t="shared" si="68"/>
        <v>0</v>
      </c>
      <c r="H125" s="5">
        <f t="shared" si="68"/>
        <v>0</v>
      </c>
      <c r="I125" s="5">
        <f t="shared" si="68"/>
        <v>0</v>
      </c>
      <c r="J125" s="5">
        <f t="shared" si="68"/>
        <v>0</v>
      </c>
      <c r="K125" s="5">
        <f t="shared" si="68"/>
        <v>0</v>
      </c>
    </row>
    <row r="126" spans="1:11" x14ac:dyDescent="0.3">
      <c r="A126" s="7" t="s">
        <v>117</v>
      </c>
      <c r="C126" s="4">
        <f t="shared" ref="C126:K126" si="69">C8+C17+C36+C54+C72+C90+C108</f>
        <v>1147.5800000000002</v>
      </c>
      <c r="D126" s="4">
        <f t="shared" si="69"/>
        <v>891.92</v>
      </c>
      <c r="E126" s="4">
        <f t="shared" si="69"/>
        <v>529.9</v>
      </c>
      <c r="F126" s="4">
        <f t="shared" si="69"/>
        <v>242.87</v>
      </c>
      <c r="G126" s="5">
        <f t="shared" si="69"/>
        <v>458.46943850393257</v>
      </c>
      <c r="H126" s="5">
        <f t="shared" si="69"/>
        <v>507.2812926073853</v>
      </c>
      <c r="I126" s="5">
        <f t="shared" si="69"/>
        <v>499.38722716936417</v>
      </c>
      <c r="J126" s="5">
        <f t="shared" si="69"/>
        <v>539.91106788940851</v>
      </c>
      <c r="K126" s="5">
        <f t="shared" si="69"/>
        <v>689.3504202361222</v>
      </c>
    </row>
    <row r="127" spans="1:11" x14ac:dyDescent="0.3">
      <c r="A127" s="7" t="s">
        <v>118</v>
      </c>
      <c r="C127" s="4">
        <f t="shared" ref="C127:K127" si="70">C9+C18+C37+C55+C73+C91+C109</f>
        <v>-0.5</v>
      </c>
      <c r="D127" s="4">
        <f t="shared" si="70"/>
        <v>-85.62</v>
      </c>
      <c r="E127" s="4">
        <f t="shared" si="70"/>
        <v>-3.08</v>
      </c>
      <c r="F127" s="4">
        <f t="shared" si="70"/>
        <v>-37.39</v>
      </c>
      <c r="G127" s="5">
        <f t="shared" si="70"/>
        <v>0</v>
      </c>
      <c r="H127" s="5">
        <f t="shared" si="70"/>
        <v>0</v>
      </c>
      <c r="I127" s="5">
        <f t="shared" si="70"/>
        <v>0</v>
      </c>
      <c r="J127" s="5">
        <f t="shared" si="70"/>
        <v>0</v>
      </c>
      <c r="K127" s="5">
        <f t="shared" si="70"/>
        <v>0</v>
      </c>
    </row>
    <row r="128" spans="1:11" x14ac:dyDescent="0.3">
      <c r="A128" s="7" t="s">
        <v>119</v>
      </c>
      <c r="C128" s="4">
        <f t="shared" ref="C128:K128" si="71">C10+C19+C38+C56+C74+C92+C110</f>
        <v>22621.370000000003</v>
      </c>
      <c r="D128" s="4">
        <f t="shared" si="71"/>
        <v>23427.670000000002</v>
      </c>
      <c r="E128" s="4">
        <f t="shared" si="71"/>
        <v>24110.11</v>
      </c>
      <c r="F128" s="4">
        <f t="shared" si="71"/>
        <v>24315.59</v>
      </c>
      <c r="G128" s="5">
        <f t="shared" si="71"/>
        <v>24774.059438503933</v>
      </c>
      <c r="H128" s="5">
        <f t="shared" si="71"/>
        <v>25281.340731111319</v>
      </c>
      <c r="I128" s="5">
        <f t="shared" si="71"/>
        <v>25780.727958280684</v>
      </c>
      <c r="J128" s="5">
        <f t="shared" si="71"/>
        <v>26320.639026170091</v>
      </c>
      <c r="K128" s="5">
        <f t="shared" si="71"/>
        <v>27009.989446406213</v>
      </c>
    </row>
    <row r="130" spans="1:11" x14ac:dyDescent="0.3">
      <c r="A130" s="7" t="s">
        <v>120</v>
      </c>
      <c r="C130" s="4">
        <f>C21+C40+C58+C76+C94+C112</f>
        <v>1016.42</v>
      </c>
      <c r="D130" s="4">
        <f t="shared" ref="D130:K130" si="72">D21+D40+D58+D76+D94+D112</f>
        <v>1210.01</v>
      </c>
      <c r="E130" s="4">
        <f t="shared" si="72"/>
        <v>1361.95</v>
      </c>
      <c r="F130" s="4">
        <f t="shared" si="72"/>
        <v>1727.94</v>
      </c>
      <c r="G130" s="5">
        <f t="shared" si="72"/>
        <v>2093.5100000000002</v>
      </c>
      <c r="H130" s="5">
        <f t="shared" si="72"/>
        <v>2554.0900511837503</v>
      </c>
      <c r="I130" s="5">
        <f t="shared" si="72"/>
        <v>3091.6104605899263</v>
      </c>
      <c r="J130" s="5">
        <f t="shared" si="72"/>
        <v>3714.1143015405119</v>
      </c>
      <c r="K130" s="5">
        <f t="shared" si="72"/>
        <v>4415.3334789524233</v>
      </c>
    </row>
    <row r="131" spans="1:11" x14ac:dyDescent="0.3">
      <c r="A131" s="7" t="s">
        <v>121</v>
      </c>
      <c r="C131" s="4">
        <f t="shared" ref="C131:J131" si="73">C22+C41+C59+C77+C95+C113</f>
        <v>194.09</v>
      </c>
      <c r="D131" s="4">
        <f t="shared" si="73"/>
        <v>224.11</v>
      </c>
      <c r="E131" s="4">
        <f t="shared" si="73"/>
        <v>367.2</v>
      </c>
      <c r="F131" s="4">
        <f t="shared" si="73"/>
        <v>394.16</v>
      </c>
      <c r="G131" s="5">
        <f t="shared" si="73"/>
        <v>460.58005118375019</v>
      </c>
      <c r="H131" s="5">
        <f t="shared" si="73"/>
        <v>537.52040940617633</v>
      </c>
      <c r="I131" s="5">
        <f t="shared" si="73"/>
        <v>622.50384095058541</v>
      </c>
      <c r="J131" s="5">
        <f t="shared" si="73"/>
        <v>701.21917741191146</v>
      </c>
      <c r="K131" s="5">
        <f>K22+K41+K59+K77+K95+K113</f>
        <v>806.41487178279942</v>
      </c>
    </row>
    <row r="132" spans="1:11" x14ac:dyDescent="0.3">
      <c r="A132" s="7" t="s">
        <v>122</v>
      </c>
      <c r="C132" s="4">
        <f t="shared" ref="C132:K132" si="74">C23+C42+C60+C78+C96+C114</f>
        <v>-0.5</v>
      </c>
      <c r="D132" s="4">
        <f t="shared" si="74"/>
        <v>-72.17</v>
      </c>
      <c r="E132" s="4">
        <f t="shared" si="74"/>
        <v>-1.21</v>
      </c>
      <c r="F132" s="4">
        <f t="shared" si="74"/>
        <v>-28.59</v>
      </c>
      <c r="G132" s="5">
        <f t="shared" si="74"/>
        <v>0</v>
      </c>
      <c r="H132" s="5">
        <f t="shared" si="74"/>
        <v>0</v>
      </c>
      <c r="I132" s="5">
        <f t="shared" si="74"/>
        <v>0</v>
      </c>
      <c r="J132" s="5">
        <f t="shared" si="74"/>
        <v>0</v>
      </c>
      <c r="K132" s="5">
        <f t="shared" si="74"/>
        <v>0</v>
      </c>
    </row>
    <row r="133" spans="1:11" x14ac:dyDescent="0.3">
      <c r="A133" s="7" t="s">
        <v>123</v>
      </c>
      <c r="C133" s="4">
        <f t="shared" ref="C133:K133" si="75">C24+C43+C61+C79+C97+C115</f>
        <v>1210.01</v>
      </c>
      <c r="D133" s="4">
        <f t="shared" si="75"/>
        <v>1361.95</v>
      </c>
      <c r="E133" s="4">
        <f t="shared" si="75"/>
        <v>1727.94</v>
      </c>
      <c r="F133" s="4">
        <f t="shared" si="75"/>
        <v>2093.5100000000002</v>
      </c>
      <c r="G133" s="5">
        <f t="shared" si="75"/>
        <v>2554.0900511837503</v>
      </c>
      <c r="H133" s="5">
        <f t="shared" si="75"/>
        <v>3091.6104605899263</v>
      </c>
      <c r="I133" s="5">
        <f t="shared" si="75"/>
        <v>3714.1143015405119</v>
      </c>
      <c r="J133" s="5">
        <f t="shared" si="75"/>
        <v>4415.3334789524233</v>
      </c>
      <c r="K133" s="5">
        <f t="shared" si="75"/>
        <v>5221.7483507352226</v>
      </c>
    </row>
    <row r="135" spans="1:11" s="1" customFormat="1" x14ac:dyDescent="0.3">
      <c r="A135" s="6" t="s">
        <v>124</v>
      </c>
      <c r="B135" s="6"/>
      <c r="C135" s="10">
        <f>C12+C26+C45+C63+C81+C99+C117</f>
        <v>21411.33</v>
      </c>
      <c r="D135" s="10">
        <f t="shared" ref="D135:K135" si="76">D12+D26+D45+D63+D81+D99+D117</f>
        <v>22065.72</v>
      </c>
      <c r="E135" s="10">
        <f t="shared" si="76"/>
        <v>22382.170000000006</v>
      </c>
      <c r="F135" s="10">
        <f t="shared" si="76"/>
        <v>22222.079999999998</v>
      </c>
      <c r="G135" s="11">
        <f t="shared" si="76"/>
        <v>22219.969387320187</v>
      </c>
      <c r="H135" s="11">
        <f t="shared" si="76"/>
        <v>22189.730270521388</v>
      </c>
      <c r="I135" s="11">
        <f t="shared" si="76"/>
        <v>22066.613656740174</v>
      </c>
      <c r="J135" s="11">
        <f t="shared" si="76"/>
        <v>21905.305547217671</v>
      </c>
      <c r="K135" s="11">
        <f t="shared" si="76"/>
        <v>21788.24109567099</v>
      </c>
    </row>
    <row r="136" spans="1:11" x14ac:dyDescent="0.3">
      <c r="G136" s="4"/>
      <c r="H136" s="4"/>
      <c r="I136" s="4"/>
      <c r="J136" s="4"/>
      <c r="K136" s="4"/>
    </row>
    <row r="137" spans="1:11" x14ac:dyDescent="0.3">
      <c r="A137" s="7" t="s">
        <v>300</v>
      </c>
      <c r="C137" s="4">
        <f>C128/C131</f>
        <v>116.55092998093669</v>
      </c>
      <c r="D137" s="4">
        <f t="shared" ref="D137:F137" si="77">D128/D131</f>
        <v>104.53647762259605</v>
      </c>
      <c r="E137" s="4">
        <f t="shared" si="77"/>
        <v>65.659340958605668</v>
      </c>
      <c r="F137" s="4">
        <f t="shared" si="77"/>
        <v>61.689643799472293</v>
      </c>
      <c r="G137" s="5">
        <f t="shared" ref="G137:K137" si="78">G128/G131</f>
        <v>53.788824276760145</v>
      </c>
      <c r="H137" s="5">
        <f t="shared" si="78"/>
        <v>47.033266623384193</v>
      </c>
      <c r="I137" s="5">
        <f t="shared" si="78"/>
        <v>41.414568493123831</v>
      </c>
      <c r="J137" s="5">
        <f t="shared" si="78"/>
        <v>37.535537923128949</v>
      </c>
      <c r="K137" s="5">
        <f t="shared" si="78"/>
        <v>33.493912862362379</v>
      </c>
    </row>
    <row r="138" spans="1:11" x14ac:dyDescent="0.3">
      <c r="A138" s="7" t="s">
        <v>301</v>
      </c>
      <c r="C138" s="4">
        <f>C133/C131</f>
        <v>6.234272760059766</v>
      </c>
      <c r="D138" s="4">
        <f t="shared" ref="D138:F138" si="79">D133/D131</f>
        <v>6.0771496140288246</v>
      </c>
      <c r="E138" s="4">
        <f t="shared" si="79"/>
        <v>4.7057189542483666</v>
      </c>
      <c r="F138" s="4">
        <f t="shared" si="79"/>
        <v>5.3113202760300391</v>
      </c>
      <c r="G138" s="5">
        <f t="shared" ref="G138:K138" si="80">G133/G131</f>
        <v>5.545377062292232</v>
      </c>
      <c r="H138" s="5">
        <f t="shared" si="80"/>
        <v>5.7516150205447483</v>
      </c>
      <c r="I138" s="5">
        <f t="shared" si="80"/>
        <v>5.9664118632086316</v>
      </c>
      <c r="J138" s="5">
        <f t="shared" si="80"/>
        <v>6.2966524892384115</v>
      </c>
      <c r="K138" s="5">
        <f t="shared" si="80"/>
        <v>6.4752629613478323</v>
      </c>
    </row>
    <row r="139" spans="1:11" x14ac:dyDescent="0.3">
      <c r="A139" s="7" t="s">
        <v>302</v>
      </c>
      <c r="C139" s="4">
        <f>C135/C131</f>
        <v>110.31650265340822</v>
      </c>
      <c r="D139" s="4">
        <f t="shared" ref="D139:F139" si="81">D135/D131</f>
        <v>98.459328008567226</v>
      </c>
      <c r="E139" s="4">
        <f t="shared" si="81"/>
        <v>60.953622004357314</v>
      </c>
      <c r="F139" s="4">
        <f t="shared" si="81"/>
        <v>56.378323523442248</v>
      </c>
      <c r="G139" s="5">
        <f t="shared" ref="G139:K139" si="82">G135/G131</f>
        <v>48.243447214467928</v>
      </c>
      <c r="H139" s="5">
        <f t="shared" si="82"/>
        <v>41.281651602839432</v>
      </c>
      <c r="I139" s="5">
        <f t="shared" si="82"/>
        <v>35.448156629915204</v>
      </c>
      <c r="J139" s="5">
        <f t="shared" si="82"/>
        <v>31.238885433890545</v>
      </c>
      <c r="K139" s="5">
        <f t="shared" si="82"/>
        <v>27.018649901014545</v>
      </c>
    </row>
    <row r="143" spans="1:11" x14ac:dyDescent="0.3">
      <c r="A143" s="20" t="s">
        <v>131</v>
      </c>
      <c r="B143" s="21"/>
      <c r="C143" s="22"/>
      <c r="D143" s="22"/>
      <c r="E143" s="22"/>
      <c r="F143" s="22"/>
      <c r="G143" s="23"/>
      <c r="H143" s="23"/>
      <c r="I143" s="23"/>
      <c r="J143" s="23"/>
      <c r="K143" s="23"/>
    </row>
    <row r="145" spans="1:11" s="1" customFormat="1" x14ac:dyDescent="0.3">
      <c r="A145" s="17" t="s">
        <v>132</v>
      </c>
      <c r="B145" s="17"/>
      <c r="C145" s="18"/>
      <c r="D145" s="18"/>
      <c r="E145" s="18"/>
      <c r="F145" s="18"/>
      <c r="G145" s="19"/>
      <c r="H145" s="19"/>
      <c r="I145" s="19"/>
      <c r="J145" s="19"/>
      <c r="K145" s="19"/>
    </row>
    <row r="146" spans="1:11" x14ac:dyDescent="0.3">
      <c r="A146" s="7" t="s">
        <v>115</v>
      </c>
      <c r="C146" s="4">
        <v>2702.6</v>
      </c>
      <c r="D146" s="4">
        <v>7911.67</v>
      </c>
      <c r="E146" s="4">
        <v>15111.89</v>
      </c>
      <c r="F146" s="4">
        <v>24994.16</v>
      </c>
      <c r="G146" s="5">
        <f>F150</f>
        <v>41988.03</v>
      </c>
      <c r="H146" s="5">
        <f t="shared" ref="H146:K146" si="83">G150</f>
        <v>69581.740000000005</v>
      </c>
      <c r="I146" s="5">
        <f t="shared" si="83"/>
        <v>97175.450000000012</v>
      </c>
      <c r="J146" s="5">
        <f t="shared" si="83"/>
        <v>124769.16000000002</v>
      </c>
      <c r="K146" s="5">
        <f t="shared" si="83"/>
        <v>132255.31000000003</v>
      </c>
    </row>
    <row r="147" spans="1:11" x14ac:dyDescent="0.3">
      <c r="A147" s="7" t="s">
        <v>116</v>
      </c>
      <c r="D147" s="4">
        <v>0</v>
      </c>
      <c r="E147" s="4">
        <v>0</v>
      </c>
      <c r="F147" s="4">
        <v>0</v>
      </c>
      <c r="G147" s="5">
        <v>0</v>
      </c>
      <c r="H147" s="5">
        <v>0</v>
      </c>
      <c r="I147" s="5">
        <v>0</v>
      </c>
      <c r="J147" s="5">
        <v>0</v>
      </c>
      <c r="K147" s="5">
        <v>0</v>
      </c>
    </row>
    <row r="148" spans="1:11" x14ac:dyDescent="0.3">
      <c r="A148" s="7" t="s">
        <v>117</v>
      </c>
      <c r="C148" s="4">
        <v>5209.07</v>
      </c>
      <c r="D148" s="4">
        <v>7200.22</v>
      </c>
      <c r="E148" s="4">
        <v>9882.27</v>
      </c>
      <c r="F148" s="4">
        <v>17218.87</v>
      </c>
      <c r="G148" s="5">
        <f>'Assumption Sheet'!G97</f>
        <v>27593.710000000003</v>
      </c>
      <c r="H148" s="5">
        <f>'Assumption Sheet'!H97</f>
        <v>27593.710000000003</v>
      </c>
      <c r="I148" s="5">
        <f>'Assumption Sheet'!I97</f>
        <v>27593.710000000003</v>
      </c>
      <c r="J148" s="5">
        <f>'Assumption Sheet'!J97</f>
        <v>7486.15</v>
      </c>
      <c r="K148" s="5">
        <f>'Assumption Sheet'!K97</f>
        <v>7935.3190000000004</v>
      </c>
    </row>
    <row r="149" spans="1:11" x14ac:dyDescent="0.3">
      <c r="A149" s="7" t="s">
        <v>118</v>
      </c>
      <c r="F149" s="4">
        <v>-225</v>
      </c>
      <c r="G149" s="5">
        <v>0</v>
      </c>
      <c r="H149" s="5">
        <v>0</v>
      </c>
      <c r="I149" s="5">
        <v>0</v>
      </c>
      <c r="J149" s="5">
        <v>0</v>
      </c>
      <c r="K149" s="5">
        <v>0</v>
      </c>
    </row>
    <row r="150" spans="1:11" x14ac:dyDescent="0.3">
      <c r="A150" s="7" t="s">
        <v>119</v>
      </c>
      <c r="C150" s="4">
        <v>7911.67</v>
      </c>
      <c r="D150" s="4">
        <v>15111.89</v>
      </c>
      <c r="E150" s="4">
        <v>24994.16</v>
      </c>
      <c r="F150" s="4">
        <v>41988.03</v>
      </c>
      <c r="G150" s="5">
        <f>SUM(G146:G149)</f>
        <v>69581.740000000005</v>
      </c>
      <c r="H150" s="5">
        <f t="shared" ref="H150:K150" si="84">SUM(H146:H149)</f>
        <v>97175.450000000012</v>
      </c>
      <c r="I150" s="5">
        <f t="shared" si="84"/>
        <v>124769.16000000002</v>
      </c>
      <c r="J150" s="5">
        <f t="shared" si="84"/>
        <v>132255.31000000003</v>
      </c>
      <c r="K150" s="5">
        <f t="shared" si="84"/>
        <v>140190.62900000002</v>
      </c>
    </row>
    <row r="152" spans="1:11" x14ac:dyDescent="0.3">
      <c r="A152" s="7" t="s">
        <v>133</v>
      </c>
      <c r="C152" s="4">
        <v>925.67</v>
      </c>
      <c r="D152" s="4">
        <v>1969.6</v>
      </c>
      <c r="E152" s="4">
        <v>3744.12</v>
      </c>
      <c r="F152" s="4">
        <v>6743.19</v>
      </c>
      <c r="G152" s="5">
        <f>F157</f>
        <v>11613.82</v>
      </c>
      <c r="H152" s="5">
        <f t="shared" ref="H152:K152" si="85">G157</f>
        <v>18571.993999999999</v>
      </c>
      <c r="I152" s="5">
        <f t="shared" si="85"/>
        <v>28289.539000000001</v>
      </c>
      <c r="J152" s="5">
        <f t="shared" si="85"/>
        <v>40766.455000000002</v>
      </c>
      <c r="K152" s="5">
        <f t="shared" si="85"/>
        <v>53991.986000000004</v>
      </c>
    </row>
    <row r="153" spans="1:11" x14ac:dyDescent="0.3">
      <c r="A153" s="7" t="s">
        <v>134</v>
      </c>
      <c r="D153" s="4">
        <v>0</v>
      </c>
      <c r="E153" s="4">
        <v>0</v>
      </c>
      <c r="F153" s="4">
        <v>0</v>
      </c>
      <c r="G153" s="5">
        <v>0</v>
      </c>
      <c r="H153" s="5">
        <v>0</v>
      </c>
      <c r="I153" s="5">
        <v>0</v>
      </c>
      <c r="J153" s="5">
        <v>0</v>
      </c>
      <c r="K153" s="5">
        <v>0</v>
      </c>
    </row>
    <row r="154" spans="1:11" x14ac:dyDescent="0.3">
      <c r="A154" s="7" t="s">
        <v>135</v>
      </c>
      <c r="C154" s="4">
        <v>1043.9100000000001</v>
      </c>
      <c r="D154" s="4">
        <v>1774.52</v>
      </c>
      <c r="E154" s="4">
        <v>2999.07</v>
      </c>
      <c r="F154" s="4">
        <v>4870.63</v>
      </c>
      <c r="G154" s="5">
        <f>G150/G161</f>
        <v>6958.1740000000009</v>
      </c>
      <c r="H154" s="5">
        <f t="shared" ref="H154:K154" si="86">H150/H161</f>
        <v>9717.5450000000019</v>
      </c>
      <c r="I154" s="5">
        <f t="shared" si="86"/>
        <v>12476.916000000001</v>
      </c>
      <c r="J154" s="5">
        <f t="shared" si="86"/>
        <v>13225.531000000003</v>
      </c>
      <c r="K154" s="5">
        <f t="shared" si="86"/>
        <v>14019.062900000001</v>
      </c>
    </row>
    <row r="155" spans="1:11" x14ac:dyDescent="0.3">
      <c r="A155" s="7" t="s">
        <v>136</v>
      </c>
      <c r="D155" s="4">
        <v>0</v>
      </c>
      <c r="E155" s="4">
        <v>0</v>
      </c>
      <c r="F155" s="4">
        <v>0</v>
      </c>
      <c r="G155" s="5">
        <v>0</v>
      </c>
      <c r="H155" s="5">
        <v>0</v>
      </c>
      <c r="I155" s="5">
        <v>0</v>
      </c>
      <c r="J155" s="5">
        <v>0</v>
      </c>
      <c r="K155" s="5">
        <v>0</v>
      </c>
    </row>
    <row r="156" spans="1:11" x14ac:dyDescent="0.3">
      <c r="A156" s="7" t="s">
        <v>122</v>
      </c>
      <c r="D156" s="4">
        <v>0</v>
      </c>
      <c r="E156" s="4">
        <v>0</v>
      </c>
      <c r="F156" s="4">
        <v>0</v>
      </c>
      <c r="G156" s="5">
        <v>0</v>
      </c>
      <c r="H156" s="5">
        <v>0</v>
      </c>
      <c r="I156" s="5">
        <v>0</v>
      </c>
      <c r="J156" s="5">
        <v>0</v>
      </c>
      <c r="K156" s="5">
        <v>0</v>
      </c>
    </row>
    <row r="157" spans="1:11" x14ac:dyDescent="0.3">
      <c r="A157" s="7" t="s">
        <v>137</v>
      </c>
      <c r="C157" s="4">
        <v>1969.6</v>
      </c>
      <c r="D157" s="4">
        <v>3744.12</v>
      </c>
      <c r="E157" s="4">
        <v>6743.19</v>
      </c>
      <c r="F157" s="4">
        <v>11613.82</v>
      </c>
      <c r="G157" s="5">
        <f>SUM(G152:G156)</f>
        <v>18571.993999999999</v>
      </c>
      <c r="H157" s="5">
        <f t="shared" ref="H157:K157" si="87">SUM(H152:H156)</f>
        <v>28289.539000000001</v>
      </c>
      <c r="I157" s="5">
        <f t="shared" si="87"/>
        <v>40766.455000000002</v>
      </c>
      <c r="J157" s="5">
        <f t="shared" si="87"/>
        <v>53991.986000000004</v>
      </c>
      <c r="K157" s="5">
        <f t="shared" si="87"/>
        <v>68011.048900000009</v>
      </c>
    </row>
    <row r="159" spans="1:11" x14ac:dyDescent="0.3">
      <c r="A159" s="7" t="s">
        <v>124</v>
      </c>
      <c r="C159" s="4">
        <v>5942.07</v>
      </c>
      <c r="D159" s="4">
        <v>1136.77</v>
      </c>
      <c r="E159" s="4">
        <v>18250.97</v>
      </c>
      <c r="F159" s="4">
        <v>30374.21</v>
      </c>
      <c r="G159" s="5">
        <f>G150-G157</f>
        <v>51009.746000000006</v>
      </c>
      <c r="H159" s="5">
        <f t="shared" ref="H159:K159" si="88">H150-H157</f>
        <v>68885.911000000007</v>
      </c>
      <c r="I159" s="5">
        <f t="shared" si="88"/>
        <v>84002.705000000016</v>
      </c>
      <c r="J159" s="5">
        <f t="shared" si="88"/>
        <v>78263.324000000022</v>
      </c>
      <c r="K159" s="5">
        <f t="shared" si="88"/>
        <v>72179.580100000006</v>
      </c>
    </row>
    <row r="161" spans="1:11" x14ac:dyDescent="0.3">
      <c r="A161" s="7" t="s">
        <v>300</v>
      </c>
      <c r="D161" s="4">
        <f>D150/D154</f>
        <v>8.5160437752180869</v>
      </c>
      <c r="E161" s="4">
        <f t="shared" ref="E161:F161" si="89">E150/E154</f>
        <v>8.3339701974278686</v>
      </c>
      <c r="F161" s="4">
        <f t="shared" si="89"/>
        <v>8.6206568760098801</v>
      </c>
      <c r="G161" s="5">
        <f>'Assumption Sheet'!G98</f>
        <v>10</v>
      </c>
      <c r="H161" s="5">
        <f>'Assumption Sheet'!H98</f>
        <v>10</v>
      </c>
      <c r="I161" s="5">
        <f>'Assumption Sheet'!I98</f>
        <v>10</v>
      </c>
      <c r="J161" s="5">
        <f>'Assumption Sheet'!J98</f>
        <v>10</v>
      </c>
      <c r="K161" s="5">
        <f>'Assumption Sheet'!K98</f>
        <v>10</v>
      </c>
    </row>
    <row r="162" spans="1:11" x14ac:dyDescent="0.3">
      <c r="A162" s="7" t="s">
        <v>301</v>
      </c>
      <c r="D162" s="4">
        <f>D157/D154</f>
        <v>2.1099339539706512</v>
      </c>
      <c r="E162" s="4">
        <f t="shared" ref="E162:F162" si="90">E157/E154</f>
        <v>2.2484270123738357</v>
      </c>
      <c r="F162" s="4">
        <f t="shared" si="90"/>
        <v>2.3844595052385418</v>
      </c>
      <c r="G162" s="5">
        <f t="shared" ref="G162:K162" si="91">G157/G154</f>
        <v>2.6690901952150083</v>
      </c>
      <c r="H162" s="5">
        <f t="shared" si="91"/>
        <v>2.9111816822047127</v>
      </c>
      <c r="I162" s="5">
        <f t="shared" si="91"/>
        <v>3.2673502811111335</v>
      </c>
      <c r="J162" s="5">
        <f t="shared" si="91"/>
        <v>4.0824059162539479</v>
      </c>
      <c r="K162" s="5">
        <f t="shared" si="91"/>
        <v>4.8513263250998042</v>
      </c>
    </row>
    <row r="163" spans="1:11" x14ac:dyDescent="0.3">
      <c r="A163" s="7" t="s">
        <v>302</v>
      </c>
      <c r="D163" s="4">
        <f>D159/D154</f>
        <v>0.6406070373960282</v>
      </c>
      <c r="E163" s="4">
        <f t="shared" ref="E163:F163" si="92">E159/E154</f>
        <v>6.0855431850540338</v>
      </c>
      <c r="F163" s="4">
        <f t="shared" si="92"/>
        <v>6.236197370771337</v>
      </c>
      <c r="G163" s="5">
        <f t="shared" ref="G163:K163" si="93">G159/G154</f>
        <v>7.3309098047849908</v>
      </c>
      <c r="H163" s="5">
        <f t="shared" si="93"/>
        <v>7.0888183177952859</v>
      </c>
      <c r="I163" s="5">
        <f t="shared" si="93"/>
        <v>6.732649718888867</v>
      </c>
      <c r="J163" s="5">
        <f t="shared" si="93"/>
        <v>5.9175940837460521</v>
      </c>
      <c r="K163" s="5">
        <f t="shared" si="93"/>
        <v>5.1486736749001967</v>
      </c>
    </row>
    <row r="165" spans="1:11" s="1" customFormat="1" x14ac:dyDescent="0.3">
      <c r="A165" s="17" t="s">
        <v>138</v>
      </c>
      <c r="B165" s="17"/>
      <c r="C165" s="18"/>
      <c r="D165" s="18"/>
      <c r="E165" s="18"/>
      <c r="F165" s="18"/>
      <c r="G165" s="19"/>
      <c r="H165" s="19"/>
      <c r="I165" s="19"/>
      <c r="J165" s="19"/>
      <c r="K165" s="19"/>
    </row>
    <row r="166" spans="1:11" x14ac:dyDescent="0.3">
      <c r="A166" s="7" t="s">
        <v>115</v>
      </c>
      <c r="C166" s="4">
        <v>92.32</v>
      </c>
      <c r="D166" s="4">
        <v>170.86</v>
      </c>
      <c r="E166" s="4">
        <v>162.21</v>
      </c>
      <c r="F166" s="4">
        <v>163.21</v>
      </c>
      <c r="G166" s="5">
        <f>F170</f>
        <v>729.74</v>
      </c>
      <c r="H166" s="5">
        <f t="shared" ref="H166:K166" si="94">G170</f>
        <v>1129.74</v>
      </c>
      <c r="I166" s="5">
        <f t="shared" si="94"/>
        <v>1429.74</v>
      </c>
      <c r="J166" s="5">
        <f t="shared" si="94"/>
        <v>1629.74</v>
      </c>
      <c r="K166" s="5">
        <f t="shared" si="94"/>
        <v>1729.74</v>
      </c>
    </row>
    <row r="167" spans="1:11" x14ac:dyDescent="0.3">
      <c r="A167" s="7" t="s">
        <v>116</v>
      </c>
      <c r="C167" s="4">
        <v>0</v>
      </c>
      <c r="D167" s="4">
        <v>0</v>
      </c>
      <c r="E167" s="4">
        <v>0</v>
      </c>
      <c r="F167" s="4">
        <v>0</v>
      </c>
      <c r="G167" s="5">
        <v>0</v>
      </c>
      <c r="H167" s="5">
        <v>0</v>
      </c>
      <c r="I167" s="5">
        <v>0</v>
      </c>
      <c r="J167" s="5">
        <v>0</v>
      </c>
      <c r="K167" s="5">
        <v>0</v>
      </c>
    </row>
    <row r="168" spans="1:11" x14ac:dyDescent="0.3">
      <c r="A168" s="7" t="s">
        <v>117</v>
      </c>
      <c r="C168" s="4">
        <v>78.540000000000006</v>
      </c>
      <c r="D168" s="4">
        <v>5.21</v>
      </c>
      <c r="E168" s="4">
        <v>1</v>
      </c>
      <c r="F168" s="4">
        <v>566.53</v>
      </c>
      <c r="G168" s="5">
        <f>'Assumption Sheet'!G101</f>
        <v>400</v>
      </c>
      <c r="H168" s="5">
        <f>'Assumption Sheet'!H101</f>
        <v>300</v>
      </c>
      <c r="I168" s="5">
        <f>'Assumption Sheet'!I101</f>
        <v>200</v>
      </c>
      <c r="J168" s="5">
        <f>'Assumption Sheet'!J101</f>
        <v>100</v>
      </c>
      <c r="K168" s="5">
        <f>'Assumption Sheet'!K101</f>
        <v>100</v>
      </c>
    </row>
    <row r="169" spans="1:11" x14ac:dyDescent="0.3">
      <c r="A169" s="7" t="s">
        <v>118</v>
      </c>
      <c r="C169" s="4">
        <v>0</v>
      </c>
      <c r="D169" s="4">
        <v>-13.86</v>
      </c>
      <c r="E169" s="4">
        <v>0</v>
      </c>
      <c r="F169" s="4">
        <v>0</v>
      </c>
      <c r="G169" s="5">
        <v>0</v>
      </c>
      <c r="H169" s="5">
        <v>0</v>
      </c>
      <c r="I169" s="5">
        <v>0</v>
      </c>
      <c r="J169" s="5">
        <v>0</v>
      </c>
      <c r="K169" s="5">
        <v>0</v>
      </c>
    </row>
    <row r="170" spans="1:11" x14ac:dyDescent="0.3">
      <c r="A170" s="7" t="s">
        <v>119</v>
      </c>
      <c r="C170" s="4">
        <v>107.86</v>
      </c>
      <c r="D170" s="4">
        <v>162.21</v>
      </c>
      <c r="E170" s="4">
        <v>163.21</v>
      </c>
      <c r="F170" s="4">
        <v>729.74</v>
      </c>
      <c r="G170" s="5">
        <f>SUM(G166:G169)</f>
        <v>1129.74</v>
      </c>
      <c r="H170" s="5">
        <f t="shared" ref="H170:K170" si="95">SUM(H166:H169)</f>
        <v>1429.74</v>
      </c>
      <c r="I170" s="5">
        <f t="shared" si="95"/>
        <v>1629.74</v>
      </c>
      <c r="J170" s="5">
        <f t="shared" si="95"/>
        <v>1729.74</v>
      </c>
      <c r="K170" s="5">
        <f t="shared" si="95"/>
        <v>1829.74</v>
      </c>
    </row>
    <row r="172" spans="1:11" x14ac:dyDescent="0.3">
      <c r="A172" s="7" t="s">
        <v>133</v>
      </c>
      <c r="C172" s="4">
        <v>75.22</v>
      </c>
      <c r="D172" s="4">
        <v>96.26</v>
      </c>
      <c r="E172" s="4">
        <v>104.41</v>
      </c>
      <c r="F172" s="4">
        <v>123.11</v>
      </c>
      <c r="G172" s="5">
        <f>F177</f>
        <v>232.42</v>
      </c>
      <c r="H172" s="5">
        <f t="shared" ref="H172:K172" si="96">G177</f>
        <v>345.39400000000001</v>
      </c>
      <c r="I172" s="5">
        <f t="shared" si="96"/>
        <v>488.36799999999999</v>
      </c>
      <c r="J172" s="5">
        <f t="shared" si="96"/>
        <v>651.34199999999998</v>
      </c>
      <c r="K172" s="5">
        <f t="shared" si="96"/>
        <v>824.31600000000003</v>
      </c>
    </row>
    <row r="173" spans="1:11" x14ac:dyDescent="0.3">
      <c r="A173" s="7" t="s">
        <v>134</v>
      </c>
      <c r="C173" s="4">
        <v>0</v>
      </c>
      <c r="D173" s="4">
        <v>0</v>
      </c>
      <c r="E173" s="4">
        <v>0</v>
      </c>
      <c r="F173" s="4">
        <v>0</v>
      </c>
      <c r="G173" s="5">
        <v>0</v>
      </c>
      <c r="H173" s="5">
        <v>0</v>
      </c>
      <c r="I173" s="5">
        <v>0</v>
      </c>
      <c r="J173" s="5">
        <v>0</v>
      </c>
      <c r="K173" s="5">
        <v>0</v>
      </c>
    </row>
    <row r="174" spans="1:11" x14ac:dyDescent="0.3">
      <c r="A174" s="7" t="s">
        <v>135</v>
      </c>
      <c r="C174" s="4">
        <v>21.04</v>
      </c>
      <c r="D174" s="4">
        <v>18.5</v>
      </c>
      <c r="E174" s="4">
        <v>18.97</v>
      </c>
      <c r="F174" s="4">
        <v>109.31</v>
      </c>
      <c r="G174" s="5">
        <f>G170/G181</f>
        <v>112.974</v>
      </c>
      <c r="H174" s="5">
        <f t="shared" ref="H174:K174" si="97">H170/H181</f>
        <v>142.97399999999999</v>
      </c>
      <c r="I174" s="5">
        <f t="shared" si="97"/>
        <v>162.97399999999999</v>
      </c>
      <c r="J174" s="5">
        <f t="shared" si="97"/>
        <v>172.97399999999999</v>
      </c>
      <c r="K174" s="5">
        <f t="shared" si="97"/>
        <v>182.97399999999999</v>
      </c>
    </row>
    <row r="175" spans="1:11" x14ac:dyDescent="0.3">
      <c r="A175" s="7" t="s">
        <v>136</v>
      </c>
      <c r="C175" s="4">
        <v>0</v>
      </c>
      <c r="D175" s="4">
        <v>0</v>
      </c>
      <c r="E175" s="4">
        <v>0</v>
      </c>
      <c r="F175" s="4">
        <v>0</v>
      </c>
      <c r="G175" s="5">
        <v>0</v>
      </c>
      <c r="H175" s="5">
        <v>0</v>
      </c>
      <c r="I175" s="5">
        <v>0</v>
      </c>
      <c r="J175" s="5">
        <v>0</v>
      </c>
      <c r="K175" s="5">
        <v>0</v>
      </c>
    </row>
    <row r="176" spans="1:11" x14ac:dyDescent="0.3">
      <c r="A176" s="7" t="s">
        <v>122</v>
      </c>
      <c r="C176" s="4">
        <v>0</v>
      </c>
      <c r="D176" s="4">
        <v>-10.61</v>
      </c>
      <c r="E176" s="4">
        <v>0</v>
      </c>
      <c r="F176" s="4">
        <v>0</v>
      </c>
      <c r="G176" s="5">
        <v>0</v>
      </c>
      <c r="H176" s="5">
        <v>0</v>
      </c>
      <c r="I176" s="5">
        <v>0</v>
      </c>
      <c r="J176" s="5">
        <v>0</v>
      </c>
      <c r="K176" s="5">
        <v>0</v>
      </c>
    </row>
    <row r="177" spans="1:11" x14ac:dyDescent="0.3">
      <c r="A177" s="7" t="s">
        <v>137</v>
      </c>
      <c r="C177" s="4">
        <v>96.26</v>
      </c>
      <c r="D177" s="4">
        <v>104.15</v>
      </c>
      <c r="E177" s="4">
        <v>123.11</v>
      </c>
      <c r="F177" s="4">
        <v>232.42</v>
      </c>
      <c r="G177" s="5">
        <f>SUM(G172:G176)</f>
        <v>345.39400000000001</v>
      </c>
      <c r="H177" s="5">
        <f t="shared" ref="H177:K177" si="98">SUM(H172:H176)</f>
        <v>488.36799999999999</v>
      </c>
      <c r="I177" s="5">
        <f t="shared" si="98"/>
        <v>651.34199999999998</v>
      </c>
      <c r="J177" s="5">
        <f t="shared" si="98"/>
        <v>824.31600000000003</v>
      </c>
      <c r="K177" s="5">
        <f t="shared" si="98"/>
        <v>1007.29</v>
      </c>
    </row>
    <row r="179" spans="1:11" x14ac:dyDescent="0.3">
      <c r="A179" s="7" t="s">
        <v>124</v>
      </c>
      <c r="C179" s="4">
        <v>74.599999999999994</v>
      </c>
      <c r="D179" s="4">
        <v>58.06</v>
      </c>
      <c r="E179" s="4">
        <v>40.1</v>
      </c>
      <c r="F179" s="4">
        <v>497.32</v>
      </c>
      <c r="G179" s="5">
        <f>G170-G177</f>
        <v>784.346</v>
      </c>
      <c r="H179" s="5">
        <f t="shared" ref="H179:K179" si="99">H170-H177</f>
        <v>941.37200000000007</v>
      </c>
      <c r="I179" s="5">
        <f t="shared" si="99"/>
        <v>978.39800000000002</v>
      </c>
      <c r="J179" s="5">
        <f t="shared" si="99"/>
        <v>905.42399999999998</v>
      </c>
      <c r="K179" s="5">
        <f t="shared" si="99"/>
        <v>822.45</v>
      </c>
    </row>
    <row r="181" spans="1:11" x14ac:dyDescent="0.3">
      <c r="A181" s="7" t="s">
        <v>300</v>
      </c>
      <c r="C181" s="4">
        <f>C170/C174</f>
        <v>5.1264258555133084</v>
      </c>
      <c r="D181" s="4">
        <f t="shared" ref="D181:F181" si="100">D170/D174</f>
        <v>8.7681081081081089</v>
      </c>
      <c r="E181" s="4">
        <f t="shared" si="100"/>
        <v>8.6035846072746445</v>
      </c>
      <c r="F181" s="4">
        <f t="shared" si="100"/>
        <v>6.6758759491354862</v>
      </c>
      <c r="G181" s="5">
        <f>'Assumption Sheet'!G102</f>
        <v>10</v>
      </c>
      <c r="H181" s="5">
        <f>'Assumption Sheet'!H102</f>
        <v>10</v>
      </c>
      <c r="I181" s="5">
        <f>'Assumption Sheet'!I102</f>
        <v>10</v>
      </c>
      <c r="J181" s="5">
        <f>'Assumption Sheet'!J102</f>
        <v>10</v>
      </c>
      <c r="K181" s="5">
        <f>'Assumption Sheet'!K102</f>
        <v>10</v>
      </c>
    </row>
    <row r="182" spans="1:11" x14ac:dyDescent="0.3">
      <c r="A182" s="7" t="s">
        <v>301</v>
      </c>
      <c r="C182" s="4">
        <f>C177/C174</f>
        <v>4.575095057034221</v>
      </c>
      <c r="D182" s="4">
        <f t="shared" ref="D182:F182" si="101">D177/D174</f>
        <v>5.6297297297297302</v>
      </c>
      <c r="E182" s="4">
        <f t="shared" si="101"/>
        <v>6.4897206114918298</v>
      </c>
      <c r="F182" s="4">
        <f t="shared" si="101"/>
        <v>2.1262464550361355</v>
      </c>
      <c r="G182" s="5">
        <f t="shared" ref="G182:K182" si="102">G177/G174</f>
        <v>3.0572875174818983</v>
      </c>
      <c r="H182" s="5">
        <f t="shared" si="102"/>
        <v>3.4157818904136419</v>
      </c>
      <c r="I182" s="5">
        <f t="shared" si="102"/>
        <v>3.9966006847718041</v>
      </c>
      <c r="J182" s="5">
        <f t="shared" si="102"/>
        <v>4.7655485795553094</v>
      </c>
      <c r="K182" s="5">
        <f t="shared" si="102"/>
        <v>5.5050990851159183</v>
      </c>
    </row>
    <row r="183" spans="1:11" x14ac:dyDescent="0.3">
      <c r="A183" s="7" t="s">
        <v>302</v>
      </c>
      <c r="C183" s="4">
        <f>C179/C174</f>
        <v>3.5456273764258555</v>
      </c>
      <c r="D183" s="4">
        <f t="shared" ref="D183:F183" si="103">D179/D174</f>
        <v>3.1383783783783783</v>
      </c>
      <c r="E183" s="4">
        <f t="shared" si="103"/>
        <v>2.1138639957828151</v>
      </c>
      <c r="F183" s="4">
        <f t="shared" si="103"/>
        <v>4.5496294940993502</v>
      </c>
      <c r="G183" s="5">
        <f t="shared" ref="G183:K183" si="104">G179/G174</f>
        <v>6.9427124825181012</v>
      </c>
      <c r="H183" s="5">
        <f t="shared" si="104"/>
        <v>6.5842181095863594</v>
      </c>
      <c r="I183" s="5">
        <f t="shared" si="104"/>
        <v>6.0033993152281964</v>
      </c>
      <c r="J183" s="5">
        <f t="shared" si="104"/>
        <v>5.2344514204446915</v>
      </c>
      <c r="K183" s="5">
        <f t="shared" si="104"/>
        <v>4.4949009148840826</v>
      </c>
    </row>
    <row r="185" spans="1:11" s="1" customFormat="1" x14ac:dyDescent="0.3">
      <c r="A185" s="17" t="s">
        <v>139</v>
      </c>
      <c r="B185" s="17"/>
      <c r="C185" s="18"/>
      <c r="D185" s="18"/>
      <c r="E185" s="18"/>
      <c r="F185" s="18"/>
      <c r="G185" s="19"/>
      <c r="H185" s="19"/>
      <c r="I185" s="19"/>
      <c r="J185" s="19"/>
      <c r="K185" s="19"/>
    </row>
    <row r="186" spans="1:11" x14ac:dyDescent="0.3">
      <c r="A186" s="7" t="s">
        <v>115</v>
      </c>
      <c r="E186" s="4">
        <v>0</v>
      </c>
      <c r="F186" s="4">
        <v>467.3</v>
      </c>
      <c r="G186" s="5">
        <f>F190</f>
        <v>473.3</v>
      </c>
      <c r="H186" s="5">
        <f t="shared" ref="H186:K186" si="105">G190</f>
        <v>473.3</v>
      </c>
      <c r="I186" s="5">
        <f t="shared" si="105"/>
        <v>473.3</v>
      </c>
      <c r="J186" s="5">
        <f t="shared" si="105"/>
        <v>473.3</v>
      </c>
      <c r="K186" s="5">
        <f t="shared" si="105"/>
        <v>473.3</v>
      </c>
    </row>
    <row r="187" spans="1:11" x14ac:dyDescent="0.3">
      <c r="A187" s="7" t="s">
        <v>116</v>
      </c>
      <c r="E187" s="4">
        <v>467.3</v>
      </c>
      <c r="F187" s="4">
        <v>0</v>
      </c>
      <c r="G187" s="5">
        <v>0</v>
      </c>
      <c r="H187" s="5">
        <v>0</v>
      </c>
      <c r="I187" s="5">
        <v>0</v>
      </c>
      <c r="J187" s="5">
        <v>0</v>
      </c>
      <c r="K187" s="5">
        <v>0</v>
      </c>
    </row>
    <row r="188" spans="1:11" x14ac:dyDescent="0.3">
      <c r="A188" s="7" t="s">
        <v>117</v>
      </c>
      <c r="E188" s="4">
        <v>0</v>
      </c>
      <c r="F188" s="4">
        <v>6</v>
      </c>
      <c r="G188" s="5">
        <f>'Assumption Sheet'!G105</f>
        <v>0</v>
      </c>
      <c r="H188" s="5">
        <f>'Assumption Sheet'!H105</f>
        <v>0</v>
      </c>
      <c r="I188" s="5">
        <f>'Assumption Sheet'!I105</f>
        <v>0</v>
      </c>
      <c r="J188" s="5">
        <f>'Assumption Sheet'!J105</f>
        <v>0</v>
      </c>
      <c r="K188" s="5">
        <f>'Assumption Sheet'!K105</f>
        <v>0</v>
      </c>
    </row>
    <row r="189" spans="1:11" x14ac:dyDescent="0.3">
      <c r="A189" s="7" t="s">
        <v>118</v>
      </c>
      <c r="E189" s="4">
        <v>0</v>
      </c>
      <c r="F189" s="4">
        <v>0</v>
      </c>
      <c r="G189" s="5">
        <v>0</v>
      </c>
      <c r="H189" s="5">
        <v>0</v>
      </c>
      <c r="I189" s="5">
        <v>0</v>
      </c>
      <c r="J189" s="5">
        <v>0</v>
      </c>
      <c r="K189" s="5">
        <v>0</v>
      </c>
    </row>
    <row r="190" spans="1:11" x14ac:dyDescent="0.3">
      <c r="A190" s="7" t="s">
        <v>119</v>
      </c>
      <c r="E190" s="4">
        <v>467.3</v>
      </c>
      <c r="F190" s="4">
        <f>SUM(F186:F189)</f>
        <v>473.3</v>
      </c>
      <c r="G190" s="5">
        <f>SUM(G186:G189)</f>
        <v>473.3</v>
      </c>
      <c r="H190" s="5">
        <f t="shared" ref="H190:K190" si="106">SUM(H186:H189)</f>
        <v>473.3</v>
      </c>
      <c r="I190" s="5">
        <f t="shared" si="106"/>
        <v>473.3</v>
      </c>
      <c r="J190" s="5">
        <f t="shared" si="106"/>
        <v>473.3</v>
      </c>
      <c r="K190" s="5">
        <f t="shared" si="106"/>
        <v>473.3</v>
      </c>
    </row>
    <row r="192" spans="1:11" x14ac:dyDescent="0.3">
      <c r="A192" s="7" t="s">
        <v>133</v>
      </c>
      <c r="E192" s="4">
        <v>0</v>
      </c>
      <c r="F192" s="4">
        <v>40.119999999999997</v>
      </c>
      <c r="G192" s="5">
        <f>F197</f>
        <v>139.04</v>
      </c>
      <c r="H192" s="5">
        <f t="shared" ref="H192:K192" si="107">G197</f>
        <v>233.7</v>
      </c>
      <c r="I192" s="5">
        <f t="shared" si="107"/>
        <v>328.36</v>
      </c>
      <c r="J192" s="5">
        <f t="shared" si="107"/>
        <v>423.02</v>
      </c>
      <c r="K192" s="5">
        <f t="shared" si="107"/>
        <v>473.3</v>
      </c>
    </row>
    <row r="193" spans="1:11" x14ac:dyDescent="0.3">
      <c r="A193" s="7" t="s">
        <v>134</v>
      </c>
      <c r="E193" s="4">
        <v>0</v>
      </c>
      <c r="F193" s="4">
        <v>0</v>
      </c>
      <c r="G193" s="5">
        <v>0</v>
      </c>
      <c r="H193" s="5">
        <v>0</v>
      </c>
      <c r="I193" s="5">
        <v>0</v>
      </c>
      <c r="J193" s="5">
        <v>0</v>
      </c>
      <c r="K193" s="5">
        <v>0</v>
      </c>
    </row>
    <row r="194" spans="1:11" x14ac:dyDescent="0.3">
      <c r="A194" s="7" t="s">
        <v>135</v>
      </c>
      <c r="E194" s="4">
        <v>40.119999999999997</v>
      </c>
      <c r="F194" s="4">
        <v>98.92</v>
      </c>
      <c r="G194" s="5">
        <f>G190/G201</f>
        <v>94.66</v>
      </c>
      <c r="H194" s="5">
        <f t="shared" ref="H194:I194" si="108">H190/H201</f>
        <v>94.66</v>
      </c>
      <c r="I194" s="5">
        <f t="shared" si="108"/>
        <v>94.66</v>
      </c>
      <c r="J194" s="5">
        <f>J190-J192</f>
        <v>50.28000000000003</v>
      </c>
      <c r="K194" s="5">
        <v>0</v>
      </c>
    </row>
    <row r="195" spans="1:11" x14ac:dyDescent="0.3">
      <c r="A195" s="7" t="s">
        <v>136</v>
      </c>
      <c r="E195" s="4">
        <v>0</v>
      </c>
      <c r="F195" s="4">
        <v>0</v>
      </c>
      <c r="G195" s="5">
        <v>0</v>
      </c>
      <c r="H195" s="5">
        <v>0</v>
      </c>
      <c r="I195" s="5">
        <v>0</v>
      </c>
      <c r="J195" s="5">
        <v>0</v>
      </c>
      <c r="K195" s="5">
        <v>0</v>
      </c>
    </row>
    <row r="196" spans="1:11" x14ac:dyDescent="0.3">
      <c r="A196" s="7" t="s">
        <v>122</v>
      </c>
      <c r="E196" s="4">
        <v>0</v>
      </c>
      <c r="F196" s="4">
        <v>0</v>
      </c>
      <c r="G196" s="5">
        <v>0</v>
      </c>
      <c r="H196" s="5">
        <v>0</v>
      </c>
      <c r="I196" s="5">
        <v>0</v>
      </c>
      <c r="J196" s="5">
        <v>0</v>
      </c>
      <c r="K196" s="5">
        <v>0</v>
      </c>
    </row>
    <row r="197" spans="1:11" x14ac:dyDescent="0.3">
      <c r="A197" s="7" t="s">
        <v>137</v>
      </c>
      <c r="E197" s="4">
        <v>40.119999999999997</v>
      </c>
      <c r="F197" s="4">
        <v>139.04</v>
      </c>
      <c r="G197" s="5">
        <f>SUM(G192:G196)</f>
        <v>233.7</v>
      </c>
      <c r="H197" s="5">
        <f t="shared" ref="H197:K197" si="109">SUM(H192:H196)</f>
        <v>328.36</v>
      </c>
      <c r="I197" s="5">
        <f t="shared" si="109"/>
        <v>423.02</v>
      </c>
      <c r="J197" s="5">
        <f t="shared" si="109"/>
        <v>473.3</v>
      </c>
      <c r="K197" s="5">
        <f t="shared" si="109"/>
        <v>473.3</v>
      </c>
    </row>
    <row r="199" spans="1:11" x14ac:dyDescent="0.3">
      <c r="A199" s="7" t="s">
        <v>124</v>
      </c>
      <c r="E199" s="4">
        <v>427.18</v>
      </c>
      <c r="F199" s="4">
        <v>334.26</v>
      </c>
      <c r="G199" s="5">
        <f>G190-G197</f>
        <v>239.60000000000002</v>
      </c>
      <c r="H199" s="5">
        <f t="shared" ref="H199:K199" si="110">H190-H197</f>
        <v>144.94</v>
      </c>
      <c r="I199" s="5">
        <f t="shared" si="110"/>
        <v>50.28000000000003</v>
      </c>
      <c r="J199" s="5">
        <f t="shared" si="110"/>
        <v>0</v>
      </c>
      <c r="K199" s="5">
        <f t="shared" si="110"/>
        <v>0</v>
      </c>
    </row>
    <row r="201" spans="1:11" x14ac:dyDescent="0.3">
      <c r="A201" s="7" t="s">
        <v>300</v>
      </c>
      <c r="E201" s="4">
        <f>E190/E194</f>
        <v>11.647557328015953</v>
      </c>
      <c r="F201" s="4">
        <f>F190/F194</f>
        <v>4.7846744844318643</v>
      </c>
      <c r="G201" s="5">
        <f>'Assumption Sheet'!G106</f>
        <v>5</v>
      </c>
      <c r="H201" s="5">
        <f>'Assumption Sheet'!H106</f>
        <v>5</v>
      </c>
      <c r="I201" s="5">
        <f>'Assumption Sheet'!I106</f>
        <v>5</v>
      </c>
      <c r="J201" s="5">
        <f>'Assumption Sheet'!J106</f>
        <v>5</v>
      </c>
      <c r="K201" s="5">
        <f>'Assumption Sheet'!K106</f>
        <v>5</v>
      </c>
    </row>
    <row r="202" spans="1:11" x14ac:dyDescent="0.3">
      <c r="A202" s="7" t="s">
        <v>301</v>
      </c>
      <c r="E202" s="4">
        <f>E197/E194</f>
        <v>1</v>
      </c>
      <c r="F202" s="4">
        <f>F197/F194</f>
        <v>1.405580266882329</v>
      </c>
      <c r="G202" s="5">
        <f t="shared" ref="G202:I202" si="111">G197/G194</f>
        <v>2.4688358335094018</v>
      </c>
      <c r="H202" s="5">
        <f t="shared" si="111"/>
        <v>3.4688358335094023</v>
      </c>
      <c r="I202" s="5">
        <f t="shared" si="111"/>
        <v>4.4688358335094023</v>
      </c>
      <c r="J202" s="5">
        <f>J197/J194</f>
        <v>9.4132856006364314</v>
      </c>
    </row>
    <row r="203" spans="1:11" x14ac:dyDescent="0.3">
      <c r="A203" s="7" t="s">
        <v>302</v>
      </c>
      <c r="E203" s="4">
        <f>E199/E194</f>
        <v>10.647557328015953</v>
      </c>
      <c r="F203" s="4">
        <f>F199/F194</f>
        <v>3.3790942175495347</v>
      </c>
      <c r="G203" s="5">
        <f t="shared" ref="G203:I203" si="112">G199/G194</f>
        <v>2.5311641664905982</v>
      </c>
      <c r="H203" s="5">
        <f t="shared" si="112"/>
        <v>1.5311641664905979</v>
      </c>
      <c r="I203" s="5">
        <f t="shared" si="112"/>
        <v>0.53116416649059828</v>
      </c>
      <c r="J203" s="5">
        <f>J199/J194</f>
        <v>0</v>
      </c>
    </row>
    <row r="206" spans="1:11" x14ac:dyDescent="0.3">
      <c r="A206" s="17" t="s">
        <v>315</v>
      </c>
      <c r="B206" s="13"/>
      <c r="C206" s="14"/>
      <c r="D206" s="14"/>
      <c r="E206" s="14"/>
      <c r="F206" s="14"/>
      <c r="G206" s="15"/>
      <c r="H206" s="15"/>
      <c r="I206" s="15"/>
      <c r="J206" s="15"/>
      <c r="K206" s="15"/>
    </row>
    <row r="207" spans="1:11" x14ac:dyDescent="0.3">
      <c r="A207" s="7" t="s">
        <v>115</v>
      </c>
      <c r="E207" s="4">
        <v>0</v>
      </c>
      <c r="F207" s="4">
        <v>30829</v>
      </c>
      <c r="G207" s="5">
        <f>F211</f>
        <v>30829</v>
      </c>
      <c r="H207" s="5">
        <f t="shared" ref="H207:K207" si="113">G211</f>
        <v>30829</v>
      </c>
      <c r="I207" s="5">
        <f t="shared" si="113"/>
        <v>30829</v>
      </c>
      <c r="J207" s="5">
        <f t="shared" si="113"/>
        <v>30829</v>
      </c>
      <c r="K207" s="5">
        <f t="shared" si="113"/>
        <v>30829</v>
      </c>
    </row>
    <row r="208" spans="1:11" x14ac:dyDescent="0.3">
      <c r="A208" s="7" t="s">
        <v>116</v>
      </c>
      <c r="E208" s="4">
        <v>30829</v>
      </c>
      <c r="F208" s="4">
        <v>0</v>
      </c>
      <c r="G208" s="5">
        <v>0</v>
      </c>
      <c r="H208" s="5">
        <v>0</v>
      </c>
      <c r="I208" s="5">
        <v>0</v>
      </c>
      <c r="J208" s="5">
        <v>0</v>
      </c>
      <c r="K208" s="5">
        <v>0</v>
      </c>
    </row>
    <row r="209" spans="1:11" x14ac:dyDescent="0.3">
      <c r="A209" s="7" t="s">
        <v>117</v>
      </c>
      <c r="E209" s="4">
        <v>0</v>
      </c>
      <c r="F209" s="4">
        <v>0</v>
      </c>
      <c r="G209" s="5">
        <v>0</v>
      </c>
      <c r="H209" s="5">
        <v>0</v>
      </c>
      <c r="I209" s="5">
        <v>0</v>
      </c>
      <c r="J209" s="5">
        <v>0</v>
      </c>
      <c r="K209" s="5">
        <v>0</v>
      </c>
    </row>
    <row r="210" spans="1:11" x14ac:dyDescent="0.3">
      <c r="A210" s="7" t="s">
        <v>118</v>
      </c>
      <c r="E210" s="4">
        <v>0</v>
      </c>
      <c r="F210" s="4">
        <v>0</v>
      </c>
      <c r="G210" s="5">
        <v>0</v>
      </c>
      <c r="H210" s="5">
        <v>0</v>
      </c>
      <c r="I210" s="5">
        <v>0</v>
      </c>
      <c r="J210" s="5">
        <v>0</v>
      </c>
      <c r="K210" s="5">
        <v>0</v>
      </c>
    </row>
    <row r="211" spans="1:11" x14ac:dyDescent="0.3">
      <c r="A211" s="7" t="s">
        <v>119</v>
      </c>
      <c r="E211" s="4">
        <v>30829</v>
      </c>
      <c r="F211" s="4">
        <v>30829</v>
      </c>
      <c r="G211" s="5">
        <f>SUM(G207:G210)</f>
        <v>30829</v>
      </c>
      <c r="H211" s="5">
        <f t="shared" ref="H211:K211" si="114">SUM(H207:H210)</f>
        <v>30829</v>
      </c>
      <c r="I211" s="5">
        <f t="shared" si="114"/>
        <v>30829</v>
      </c>
      <c r="J211" s="5">
        <f t="shared" si="114"/>
        <v>30829</v>
      </c>
      <c r="K211" s="5">
        <f t="shared" si="114"/>
        <v>30829</v>
      </c>
    </row>
    <row r="213" spans="1:11" x14ac:dyDescent="0.3">
      <c r="A213" s="7" t="s">
        <v>133</v>
      </c>
      <c r="E213" s="4">
        <v>0</v>
      </c>
      <c r="F213" s="4">
        <v>0</v>
      </c>
      <c r="G213" s="5">
        <v>0</v>
      </c>
      <c r="H213" s="5">
        <v>0</v>
      </c>
      <c r="I213" s="5">
        <v>0</v>
      </c>
      <c r="J213" s="5">
        <v>0</v>
      </c>
      <c r="K213" s="5">
        <v>0</v>
      </c>
    </row>
    <row r="214" spans="1:11" x14ac:dyDescent="0.3">
      <c r="A214" s="7" t="s">
        <v>134</v>
      </c>
      <c r="E214" s="4">
        <v>0</v>
      </c>
      <c r="F214" s="4">
        <v>0</v>
      </c>
      <c r="G214" s="5">
        <f>F218</f>
        <v>2743.43</v>
      </c>
      <c r="H214" s="5">
        <f t="shared" ref="H214:K214" si="115">G218</f>
        <v>2743.43</v>
      </c>
      <c r="I214" s="5">
        <f t="shared" si="115"/>
        <v>2743.43</v>
      </c>
      <c r="J214" s="5">
        <f t="shared" si="115"/>
        <v>2743.43</v>
      </c>
      <c r="K214" s="5">
        <f t="shared" si="115"/>
        <v>2743.43</v>
      </c>
    </row>
    <row r="215" spans="1:11" x14ac:dyDescent="0.3">
      <c r="A215" s="7" t="s">
        <v>135</v>
      </c>
      <c r="E215" s="4">
        <v>0</v>
      </c>
      <c r="F215" s="4">
        <v>0</v>
      </c>
      <c r="G215" s="5">
        <v>0</v>
      </c>
      <c r="H215" s="5">
        <v>0</v>
      </c>
      <c r="I215" s="5">
        <v>0</v>
      </c>
      <c r="J215" s="5">
        <v>0</v>
      </c>
      <c r="K215" s="5">
        <v>0</v>
      </c>
    </row>
    <row r="216" spans="1:11" x14ac:dyDescent="0.3">
      <c r="A216" s="7" t="s">
        <v>136</v>
      </c>
      <c r="E216" s="4">
        <v>0</v>
      </c>
      <c r="F216" s="4">
        <v>2743.43</v>
      </c>
      <c r="G216" s="5">
        <v>0</v>
      </c>
      <c r="H216" s="5">
        <v>0</v>
      </c>
      <c r="I216" s="5">
        <v>0</v>
      </c>
      <c r="J216" s="5">
        <v>0</v>
      </c>
      <c r="K216" s="5">
        <v>0</v>
      </c>
    </row>
    <row r="217" spans="1:11" x14ac:dyDescent="0.3">
      <c r="A217" s="7" t="s">
        <v>122</v>
      </c>
      <c r="E217" s="4">
        <v>0</v>
      </c>
      <c r="F217" s="4">
        <v>0</v>
      </c>
      <c r="G217" s="5">
        <v>0</v>
      </c>
      <c r="H217" s="5">
        <v>0</v>
      </c>
      <c r="I217" s="5">
        <v>0</v>
      </c>
      <c r="J217" s="5">
        <v>0</v>
      </c>
      <c r="K217" s="5">
        <v>0</v>
      </c>
    </row>
    <row r="218" spans="1:11" x14ac:dyDescent="0.3">
      <c r="A218" s="7" t="s">
        <v>316</v>
      </c>
      <c r="E218" s="4">
        <v>0</v>
      </c>
      <c r="F218" s="4">
        <f>SUM(F213:F217)</f>
        <v>2743.43</v>
      </c>
      <c r="G218" s="5">
        <f>SUM(G213:G217)</f>
        <v>2743.43</v>
      </c>
      <c r="H218" s="5">
        <f t="shared" ref="H218:K218" si="116">SUM(H213:H217)</f>
        <v>2743.43</v>
      </c>
      <c r="I218" s="5">
        <f t="shared" si="116"/>
        <v>2743.43</v>
      </c>
      <c r="J218" s="5">
        <f t="shared" si="116"/>
        <v>2743.43</v>
      </c>
      <c r="K218" s="5">
        <f t="shared" si="116"/>
        <v>2743.43</v>
      </c>
    </row>
    <row r="220" spans="1:11" x14ac:dyDescent="0.3">
      <c r="A220" s="7" t="s">
        <v>124</v>
      </c>
      <c r="E220" s="4">
        <v>30829</v>
      </c>
      <c r="F220" s="4">
        <f>F211-F216</f>
        <v>28085.57</v>
      </c>
      <c r="G220" s="5">
        <f>G211-G218</f>
        <v>28085.57</v>
      </c>
      <c r="H220" s="5">
        <f t="shared" ref="H220:K220" si="117">H211-H218</f>
        <v>28085.57</v>
      </c>
      <c r="I220" s="5">
        <f t="shared" si="117"/>
        <v>28085.57</v>
      </c>
      <c r="J220" s="5">
        <f t="shared" si="117"/>
        <v>28085.57</v>
      </c>
      <c r="K220" s="5">
        <f t="shared" si="117"/>
        <v>28085.57</v>
      </c>
    </row>
    <row r="223" spans="1:11" s="1" customFormat="1" x14ac:dyDescent="0.3">
      <c r="A223" s="17" t="s">
        <v>140</v>
      </c>
      <c r="B223" s="17"/>
      <c r="C223" s="18"/>
      <c r="D223" s="18"/>
      <c r="E223" s="18"/>
      <c r="F223" s="18"/>
      <c r="G223" s="19"/>
      <c r="H223" s="19"/>
      <c r="I223" s="19"/>
      <c r="J223" s="19"/>
      <c r="K223" s="19"/>
    </row>
    <row r="224" spans="1:11" x14ac:dyDescent="0.3">
      <c r="A224" s="7" t="s">
        <v>115</v>
      </c>
      <c r="E224" s="4">
        <v>0</v>
      </c>
      <c r="F224" s="4">
        <v>522</v>
      </c>
      <c r="G224" s="5">
        <f>F228</f>
        <v>522</v>
      </c>
      <c r="H224" s="5">
        <f t="shared" ref="H224:K224" si="118">G228</f>
        <v>522</v>
      </c>
      <c r="I224" s="5">
        <f t="shared" si="118"/>
        <v>522</v>
      </c>
      <c r="J224" s="5">
        <f t="shared" si="118"/>
        <v>522</v>
      </c>
      <c r="K224" s="5">
        <f t="shared" si="118"/>
        <v>522</v>
      </c>
    </row>
    <row r="225" spans="1:11" x14ac:dyDescent="0.3">
      <c r="A225" s="7" t="s">
        <v>116</v>
      </c>
      <c r="E225" s="4">
        <v>522</v>
      </c>
      <c r="F225" s="4">
        <v>0</v>
      </c>
      <c r="G225" s="5">
        <v>0</v>
      </c>
      <c r="H225" s="5">
        <v>0</v>
      </c>
      <c r="I225" s="5">
        <v>0</v>
      </c>
      <c r="J225" s="5">
        <v>0</v>
      </c>
      <c r="K225" s="5">
        <v>0</v>
      </c>
    </row>
    <row r="226" spans="1:11" x14ac:dyDescent="0.3">
      <c r="A226" s="7" t="s">
        <v>117</v>
      </c>
      <c r="E226" s="4">
        <v>0</v>
      </c>
      <c r="F226" s="4">
        <v>0</v>
      </c>
      <c r="G226" s="5">
        <v>0</v>
      </c>
      <c r="H226" s="5">
        <v>0</v>
      </c>
      <c r="I226" s="5">
        <v>0</v>
      </c>
      <c r="J226" s="5">
        <v>0</v>
      </c>
      <c r="K226" s="5">
        <v>0</v>
      </c>
    </row>
    <row r="227" spans="1:11" x14ac:dyDescent="0.3">
      <c r="A227" s="7" t="s">
        <v>118</v>
      </c>
      <c r="E227" s="4">
        <v>0</v>
      </c>
      <c r="F227" s="4">
        <v>0</v>
      </c>
      <c r="G227" s="5">
        <v>0</v>
      </c>
      <c r="H227" s="5">
        <v>0</v>
      </c>
      <c r="I227" s="5">
        <v>0</v>
      </c>
      <c r="J227" s="5">
        <v>0</v>
      </c>
      <c r="K227" s="5">
        <v>0</v>
      </c>
    </row>
    <row r="228" spans="1:11" x14ac:dyDescent="0.3">
      <c r="A228" s="7" t="s">
        <v>119</v>
      </c>
      <c r="E228" s="4">
        <v>522</v>
      </c>
      <c r="F228" s="4">
        <v>522</v>
      </c>
      <c r="G228" s="5">
        <f>SUM(G224:G227)</f>
        <v>522</v>
      </c>
      <c r="H228" s="5">
        <f t="shared" ref="H228:K228" si="119">SUM(H224:H227)</f>
        <v>522</v>
      </c>
      <c r="I228" s="5">
        <f t="shared" si="119"/>
        <v>522</v>
      </c>
      <c r="J228" s="5">
        <f t="shared" si="119"/>
        <v>522</v>
      </c>
      <c r="K228" s="5">
        <f t="shared" si="119"/>
        <v>522</v>
      </c>
    </row>
    <row r="230" spans="1:11" x14ac:dyDescent="0.3">
      <c r="A230" s="7" t="s">
        <v>133</v>
      </c>
      <c r="E230" s="4">
        <v>0</v>
      </c>
      <c r="F230" s="4">
        <v>21.75</v>
      </c>
      <c r="G230" s="5">
        <f>F235</f>
        <v>73.95</v>
      </c>
      <c r="H230" s="5">
        <f t="shared" ref="H230:K230" si="120">G235</f>
        <v>126.15</v>
      </c>
      <c r="I230" s="5">
        <f t="shared" si="120"/>
        <v>178.35000000000002</v>
      </c>
      <c r="J230" s="5">
        <f t="shared" si="120"/>
        <v>230.55</v>
      </c>
      <c r="K230" s="5">
        <f t="shared" si="120"/>
        <v>282.75</v>
      </c>
    </row>
    <row r="231" spans="1:11" x14ac:dyDescent="0.3">
      <c r="A231" s="7" t="s">
        <v>134</v>
      </c>
      <c r="E231" s="4">
        <v>0</v>
      </c>
      <c r="F231" s="4">
        <v>0</v>
      </c>
      <c r="G231" s="5">
        <v>0</v>
      </c>
      <c r="H231" s="5">
        <v>0</v>
      </c>
      <c r="I231" s="5">
        <v>0</v>
      </c>
      <c r="J231" s="5">
        <v>0</v>
      </c>
      <c r="K231" s="5">
        <v>0</v>
      </c>
    </row>
    <row r="232" spans="1:11" x14ac:dyDescent="0.3">
      <c r="A232" s="7" t="s">
        <v>135</v>
      </c>
      <c r="E232" s="4">
        <v>21.75</v>
      </c>
      <c r="F232" s="4">
        <v>52.2</v>
      </c>
      <c r="G232" s="5">
        <f>G228/G239</f>
        <v>52.2</v>
      </c>
      <c r="H232" s="5">
        <f t="shared" ref="H232:K232" si="121">H228/H239</f>
        <v>52.2</v>
      </c>
      <c r="I232" s="5">
        <f t="shared" si="121"/>
        <v>52.2</v>
      </c>
      <c r="J232" s="5">
        <f t="shared" si="121"/>
        <v>52.2</v>
      </c>
      <c r="K232" s="5">
        <f t="shared" si="121"/>
        <v>52.2</v>
      </c>
    </row>
    <row r="233" spans="1:11" x14ac:dyDescent="0.3">
      <c r="A233" s="7" t="s">
        <v>136</v>
      </c>
      <c r="E233" s="4">
        <v>0</v>
      </c>
      <c r="F233" s="4">
        <v>0</v>
      </c>
      <c r="G233" s="5">
        <v>0</v>
      </c>
      <c r="H233" s="5">
        <v>0</v>
      </c>
      <c r="I233" s="5">
        <v>0</v>
      </c>
      <c r="J233" s="5">
        <v>0</v>
      </c>
      <c r="K233" s="5">
        <v>0</v>
      </c>
    </row>
    <row r="234" spans="1:11" x14ac:dyDescent="0.3">
      <c r="A234" s="7" t="s">
        <v>122</v>
      </c>
      <c r="E234" s="4">
        <v>0</v>
      </c>
      <c r="F234" s="4">
        <v>0</v>
      </c>
      <c r="G234" s="5">
        <v>0</v>
      </c>
      <c r="H234" s="5">
        <v>0</v>
      </c>
      <c r="I234" s="5">
        <v>0</v>
      </c>
      <c r="J234" s="5">
        <v>0</v>
      </c>
      <c r="K234" s="5">
        <v>0</v>
      </c>
    </row>
    <row r="235" spans="1:11" x14ac:dyDescent="0.3">
      <c r="A235" s="7" t="s">
        <v>137</v>
      </c>
      <c r="E235" s="4">
        <v>21.75</v>
      </c>
      <c r="F235" s="4">
        <v>73.95</v>
      </c>
      <c r="G235" s="5">
        <f>SUM(G230:G234)</f>
        <v>126.15</v>
      </c>
      <c r="H235" s="5">
        <f t="shared" ref="H235:K235" si="122">SUM(H230:H234)</f>
        <v>178.35000000000002</v>
      </c>
      <c r="I235" s="5">
        <f t="shared" si="122"/>
        <v>230.55</v>
      </c>
      <c r="J235" s="5">
        <f t="shared" si="122"/>
        <v>282.75</v>
      </c>
      <c r="K235" s="5">
        <f t="shared" si="122"/>
        <v>334.95</v>
      </c>
    </row>
    <row r="237" spans="1:11" x14ac:dyDescent="0.3">
      <c r="A237" s="7" t="s">
        <v>124</v>
      </c>
      <c r="E237" s="4">
        <v>500.25</v>
      </c>
      <c r="F237" s="4">
        <v>448.05</v>
      </c>
      <c r="G237" s="5">
        <f>G228-G235</f>
        <v>395.85</v>
      </c>
      <c r="H237" s="5">
        <f t="shared" ref="H237:K237" si="123">H228-H235</f>
        <v>343.65</v>
      </c>
      <c r="I237" s="5">
        <f t="shared" si="123"/>
        <v>291.45</v>
      </c>
      <c r="J237" s="5">
        <f t="shared" si="123"/>
        <v>239.25</v>
      </c>
      <c r="K237" s="5">
        <f t="shared" si="123"/>
        <v>187.05</v>
      </c>
    </row>
    <row r="239" spans="1:11" x14ac:dyDescent="0.3">
      <c r="A239" s="7" t="s">
        <v>300</v>
      </c>
      <c r="E239" s="4">
        <f>E228/E232</f>
        <v>24</v>
      </c>
      <c r="F239" s="4">
        <f>F228/F232</f>
        <v>10</v>
      </c>
      <c r="G239" s="5">
        <f>'Assumption Sheet'!G109</f>
        <v>10</v>
      </c>
      <c r="H239" s="5">
        <f>'Assumption Sheet'!H109</f>
        <v>10</v>
      </c>
      <c r="I239" s="5">
        <f>'Assumption Sheet'!I109</f>
        <v>10</v>
      </c>
      <c r="J239" s="5">
        <f>'Assumption Sheet'!J109</f>
        <v>10</v>
      </c>
      <c r="K239" s="5">
        <f>'Assumption Sheet'!K109</f>
        <v>10</v>
      </c>
    </row>
    <row r="240" spans="1:11" x14ac:dyDescent="0.3">
      <c r="A240" s="7" t="s">
        <v>301</v>
      </c>
      <c r="E240" s="4">
        <f>E235/E232</f>
        <v>1</v>
      </c>
      <c r="F240" s="4">
        <f>F235/F232</f>
        <v>1.4166666666666667</v>
      </c>
      <c r="G240" s="5">
        <f t="shared" ref="G240:K240" si="124">G235/G232</f>
        <v>2.4166666666666665</v>
      </c>
      <c r="H240" s="5">
        <f t="shared" si="124"/>
        <v>3.416666666666667</v>
      </c>
      <c r="I240" s="5">
        <f t="shared" si="124"/>
        <v>4.416666666666667</v>
      </c>
      <c r="J240" s="5">
        <f t="shared" si="124"/>
        <v>5.4166666666666661</v>
      </c>
      <c r="K240" s="5">
        <f t="shared" si="124"/>
        <v>6.4166666666666661</v>
      </c>
    </row>
    <row r="241" spans="1:12" x14ac:dyDescent="0.3">
      <c r="A241" s="7" t="s">
        <v>302</v>
      </c>
      <c r="E241" s="4">
        <f>E237/E232</f>
        <v>23</v>
      </c>
      <c r="F241" s="4">
        <f>F237/F232</f>
        <v>8.5833333333333339</v>
      </c>
      <c r="G241" s="5">
        <f t="shared" ref="G241:K241" si="125">G237/G232</f>
        <v>7.583333333333333</v>
      </c>
      <c r="H241" s="5">
        <f t="shared" si="125"/>
        <v>6.5833333333333321</v>
      </c>
      <c r="I241" s="5">
        <f t="shared" si="125"/>
        <v>5.583333333333333</v>
      </c>
      <c r="J241" s="5">
        <f t="shared" si="125"/>
        <v>4.583333333333333</v>
      </c>
      <c r="K241" s="5">
        <f t="shared" si="125"/>
        <v>3.5833333333333335</v>
      </c>
    </row>
    <row r="243" spans="1:12" s="1" customFormat="1" x14ac:dyDescent="0.3">
      <c r="A243" s="17" t="s">
        <v>141</v>
      </c>
      <c r="B243" s="17"/>
      <c r="C243" s="18"/>
      <c r="D243" s="18"/>
      <c r="E243" s="18"/>
      <c r="F243" s="18"/>
      <c r="G243" s="19"/>
      <c r="H243" s="19"/>
      <c r="I243" s="19"/>
      <c r="J243" s="19"/>
      <c r="K243" s="19"/>
    </row>
    <row r="244" spans="1:12" x14ac:dyDescent="0.3">
      <c r="A244" s="7" t="s">
        <v>115</v>
      </c>
      <c r="F244" s="4">
        <v>1165</v>
      </c>
      <c r="G244" s="5">
        <f>F248</f>
        <v>1165</v>
      </c>
      <c r="H244" s="5">
        <f t="shared" ref="H244:K244" si="126">G248</f>
        <v>1165</v>
      </c>
      <c r="I244" s="5">
        <f t="shared" si="126"/>
        <v>1165</v>
      </c>
      <c r="J244" s="5">
        <f t="shared" si="126"/>
        <v>1165</v>
      </c>
      <c r="K244" s="5">
        <f t="shared" si="126"/>
        <v>1165</v>
      </c>
    </row>
    <row r="245" spans="1:12" x14ac:dyDescent="0.3">
      <c r="A245" s="7" t="s">
        <v>116</v>
      </c>
      <c r="E245" s="4">
        <v>1165</v>
      </c>
      <c r="F245" s="4">
        <v>0</v>
      </c>
      <c r="G245" s="5">
        <v>0</v>
      </c>
      <c r="H245" s="5">
        <v>0</v>
      </c>
      <c r="I245" s="5">
        <v>0</v>
      </c>
      <c r="J245" s="5">
        <v>0</v>
      </c>
      <c r="K245" s="5">
        <v>0</v>
      </c>
    </row>
    <row r="246" spans="1:12" x14ac:dyDescent="0.3">
      <c r="A246" s="7" t="s">
        <v>117</v>
      </c>
      <c r="E246" s="4">
        <v>0</v>
      </c>
      <c r="F246" s="4">
        <v>0</v>
      </c>
      <c r="G246" s="5">
        <v>0</v>
      </c>
      <c r="H246" s="5">
        <v>0</v>
      </c>
      <c r="I246" s="5">
        <v>0</v>
      </c>
      <c r="J246" s="5">
        <v>0</v>
      </c>
      <c r="K246" s="5">
        <v>0</v>
      </c>
    </row>
    <row r="247" spans="1:12" x14ac:dyDescent="0.3">
      <c r="A247" s="7" t="s">
        <v>118</v>
      </c>
      <c r="E247" s="4">
        <v>0</v>
      </c>
      <c r="F247" s="4">
        <v>0</v>
      </c>
      <c r="G247" s="5">
        <v>0</v>
      </c>
      <c r="H247" s="5">
        <v>0</v>
      </c>
      <c r="I247" s="5">
        <v>0</v>
      </c>
      <c r="J247" s="5">
        <v>0</v>
      </c>
      <c r="K247" s="5">
        <v>0</v>
      </c>
    </row>
    <row r="248" spans="1:12" x14ac:dyDescent="0.3">
      <c r="A248" s="7" t="s">
        <v>119</v>
      </c>
      <c r="E248" s="4">
        <v>1165</v>
      </c>
      <c r="F248" s="4">
        <v>1165</v>
      </c>
      <c r="G248" s="5">
        <f>SUM(G244:G247)</f>
        <v>1165</v>
      </c>
      <c r="H248" s="5">
        <f t="shared" ref="H248:K248" si="127">SUM(H244:H247)</f>
        <v>1165</v>
      </c>
      <c r="I248" s="5">
        <f t="shared" si="127"/>
        <v>1165</v>
      </c>
      <c r="J248" s="5">
        <f t="shared" si="127"/>
        <v>1165</v>
      </c>
      <c r="K248" s="5">
        <f t="shared" si="127"/>
        <v>1165</v>
      </c>
    </row>
    <row r="250" spans="1:12" x14ac:dyDescent="0.3">
      <c r="A250" s="7" t="s">
        <v>133</v>
      </c>
      <c r="F250" s="4">
        <v>60.68</v>
      </c>
      <c r="G250" s="5">
        <f>F255</f>
        <v>206.3</v>
      </c>
      <c r="H250" s="5">
        <f t="shared" ref="H250:K250" si="128">G255</f>
        <v>351.93</v>
      </c>
      <c r="I250" s="5">
        <f t="shared" si="128"/>
        <v>497.56</v>
      </c>
      <c r="J250" s="5">
        <f t="shared" si="128"/>
        <v>643.19000000000005</v>
      </c>
      <c r="K250" s="5">
        <f t="shared" si="128"/>
        <v>788.82</v>
      </c>
    </row>
    <row r="251" spans="1:12" x14ac:dyDescent="0.3">
      <c r="A251" s="7" t="s">
        <v>134</v>
      </c>
      <c r="E251" s="4">
        <v>0</v>
      </c>
      <c r="F251" s="4">
        <v>0</v>
      </c>
      <c r="G251" s="5">
        <v>0</v>
      </c>
      <c r="H251" s="5">
        <v>0</v>
      </c>
      <c r="I251" s="5">
        <v>0</v>
      </c>
      <c r="J251" s="5">
        <v>0</v>
      </c>
      <c r="K251" s="5">
        <v>0</v>
      </c>
      <c r="L251" s="5"/>
    </row>
    <row r="252" spans="1:12" x14ac:dyDescent="0.3">
      <c r="A252" s="7" t="s">
        <v>135</v>
      </c>
      <c r="E252" s="4">
        <v>60.68</v>
      </c>
      <c r="F252" s="4">
        <v>145.63</v>
      </c>
      <c r="G252" s="5">
        <f>G248/G259</f>
        <v>145.63</v>
      </c>
      <c r="H252" s="5">
        <f t="shared" ref="H252:K252" si="129">H248/H259</f>
        <v>145.63</v>
      </c>
      <c r="I252" s="5">
        <f t="shared" si="129"/>
        <v>145.63</v>
      </c>
      <c r="J252" s="5">
        <f t="shared" si="129"/>
        <v>145.63</v>
      </c>
      <c r="K252" s="5">
        <f t="shared" si="129"/>
        <v>145.63</v>
      </c>
    </row>
    <row r="253" spans="1:12" x14ac:dyDescent="0.3">
      <c r="A253" s="7" t="s">
        <v>136</v>
      </c>
      <c r="E253" s="4">
        <v>0</v>
      </c>
      <c r="F253" s="4">
        <v>0</v>
      </c>
      <c r="G253" s="5">
        <v>0</v>
      </c>
      <c r="H253" s="5">
        <v>0</v>
      </c>
      <c r="I253" s="5">
        <v>0</v>
      </c>
      <c r="J253" s="5">
        <v>0</v>
      </c>
      <c r="K253" s="5">
        <v>0</v>
      </c>
    </row>
    <row r="254" spans="1:12" x14ac:dyDescent="0.3">
      <c r="A254" s="7" t="s">
        <v>122</v>
      </c>
      <c r="E254" s="4">
        <v>0</v>
      </c>
      <c r="F254" s="4">
        <v>0</v>
      </c>
      <c r="G254" s="5">
        <v>0</v>
      </c>
      <c r="H254" s="5">
        <v>0</v>
      </c>
      <c r="I254" s="5">
        <v>0</v>
      </c>
      <c r="J254" s="5">
        <v>0</v>
      </c>
      <c r="K254" s="5">
        <v>0</v>
      </c>
    </row>
    <row r="255" spans="1:12" x14ac:dyDescent="0.3">
      <c r="A255" s="7" t="s">
        <v>137</v>
      </c>
      <c r="E255" s="4">
        <v>60.68</v>
      </c>
      <c r="F255" s="4">
        <v>206.3</v>
      </c>
      <c r="G255" s="5">
        <f>SUM(G250:G254)</f>
        <v>351.93</v>
      </c>
      <c r="H255" s="5">
        <f t="shared" ref="H255:K255" si="130">SUM(H250:H254)</f>
        <v>497.56</v>
      </c>
      <c r="I255" s="5">
        <f t="shared" si="130"/>
        <v>643.19000000000005</v>
      </c>
      <c r="J255" s="5">
        <f t="shared" si="130"/>
        <v>788.82</v>
      </c>
      <c r="K255" s="5">
        <f t="shared" si="130"/>
        <v>934.45</v>
      </c>
    </row>
    <row r="257" spans="1:11" x14ac:dyDescent="0.3">
      <c r="A257" s="7" t="s">
        <v>124</v>
      </c>
      <c r="E257" s="4">
        <v>1104.32</v>
      </c>
      <c r="F257" s="4">
        <v>958.7</v>
      </c>
      <c r="G257" s="5">
        <f>G248-G255</f>
        <v>813.06999999999994</v>
      </c>
      <c r="H257" s="5">
        <f t="shared" ref="H257:K257" si="131">H248-H255</f>
        <v>667.44</v>
      </c>
      <c r="I257" s="5">
        <f t="shared" si="131"/>
        <v>521.80999999999995</v>
      </c>
      <c r="J257" s="5">
        <f t="shared" si="131"/>
        <v>376.17999999999995</v>
      </c>
      <c r="K257" s="5">
        <f t="shared" si="131"/>
        <v>230.54999999999995</v>
      </c>
    </row>
    <row r="259" spans="1:11" x14ac:dyDescent="0.3">
      <c r="A259" s="7" t="s">
        <v>300</v>
      </c>
      <c r="E259" s="4">
        <f>E248/E252</f>
        <v>19.199077125906395</v>
      </c>
      <c r="F259" s="4">
        <f>F248/F252</f>
        <v>7.9997253313190964</v>
      </c>
      <c r="G259" s="5">
        <f>'Assumption Sheet'!G112</f>
        <v>7.9997253313190964</v>
      </c>
      <c r="H259" s="5">
        <f>'Assumption Sheet'!H112</f>
        <v>7.9997253313190964</v>
      </c>
      <c r="I259" s="5">
        <f>'Assumption Sheet'!I112</f>
        <v>7.9997253313190964</v>
      </c>
      <c r="J259" s="5">
        <f>'Assumption Sheet'!J112</f>
        <v>7.9997253313190964</v>
      </c>
      <c r="K259" s="5">
        <f>'Assumption Sheet'!K112</f>
        <v>7.9997253313190964</v>
      </c>
    </row>
    <row r="260" spans="1:11" x14ac:dyDescent="0.3">
      <c r="A260" s="7" t="s">
        <v>301</v>
      </c>
      <c r="E260" s="4">
        <f>E255/E252</f>
        <v>1</v>
      </c>
      <c r="F260" s="4">
        <f t="shared" ref="F260:K260" si="132">F255/F252</f>
        <v>1.4166037217606264</v>
      </c>
      <c r="G260" s="5">
        <f t="shared" si="132"/>
        <v>2.4166037217606262</v>
      </c>
      <c r="H260" s="5">
        <f t="shared" si="132"/>
        <v>3.4166037217606262</v>
      </c>
      <c r="I260" s="5">
        <f t="shared" si="132"/>
        <v>4.4166037217606267</v>
      </c>
      <c r="J260" s="5">
        <f t="shared" si="132"/>
        <v>5.4166037217606267</v>
      </c>
      <c r="K260" s="5">
        <f t="shared" si="132"/>
        <v>6.4166037217606267</v>
      </c>
    </row>
    <row r="261" spans="1:11" x14ac:dyDescent="0.3">
      <c r="A261" s="7" t="s">
        <v>302</v>
      </c>
      <c r="E261" s="4">
        <f>E257/E252</f>
        <v>18.199077125906392</v>
      </c>
      <c r="F261" s="4">
        <f t="shared" ref="F261:K261" si="133">F257/F252</f>
        <v>6.5831216095584706</v>
      </c>
      <c r="G261" s="5">
        <f t="shared" si="133"/>
        <v>5.5831216095584697</v>
      </c>
      <c r="H261" s="5">
        <f t="shared" si="133"/>
        <v>4.5831216095584706</v>
      </c>
      <c r="I261" s="5">
        <f t="shared" si="133"/>
        <v>3.5831216095584697</v>
      </c>
      <c r="J261" s="5">
        <f t="shared" si="133"/>
        <v>2.5831216095584697</v>
      </c>
      <c r="K261" s="5">
        <f t="shared" si="133"/>
        <v>1.5831216095584699</v>
      </c>
    </row>
    <row r="263" spans="1:11" s="1" customFormat="1" x14ac:dyDescent="0.3">
      <c r="A263" s="17" t="s">
        <v>142</v>
      </c>
      <c r="B263" s="17"/>
      <c r="C263" s="18"/>
      <c r="D263" s="18"/>
      <c r="E263" s="18"/>
      <c r="F263" s="18"/>
      <c r="G263" s="19"/>
      <c r="H263" s="19"/>
      <c r="I263" s="19"/>
      <c r="J263" s="19"/>
      <c r="K263" s="19"/>
    </row>
    <row r="264" spans="1:11" x14ac:dyDescent="0.3">
      <c r="A264" s="7" t="s">
        <v>115</v>
      </c>
      <c r="E264" s="4">
        <v>0</v>
      </c>
      <c r="F264" s="4">
        <v>157</v>
      </c>
      <c r="G264" s="5">
        <f>F268</f>
        <v>157</v>
      </c>
      <c r="H264" s="5">
        <f t="shared" ref="H264:K264" si="134">G268</f>
        <v>157</v>
      </c>
      <c r="I264" s="5">
        <f t="shared" si="134"/>
        <v>157</v>
      </c>
      <c r="J264" s="5">
        <f t="shared" si="134"/>
        <v>157</v>
      </c>
      <c r="K264" s="5">
        <f t="shared" si="134"/>
        <v>157</v>
      </c>
    </row>
    <row r="265" spans="1:11" x14ac:dyDescent="0.3">
      <c r="A265" s="7" t="s">
        <v>116</v>
      </c>
      <c r="E265" s="4">
        <v>157</v>
      </c>
      <c r="F265" s="4">
        <v>0</v>
      </c>
      <c r="G265" s="5">
        <v>0</v>
      </c>
      <c r="H265" s="5">
        <v>0</v>
      </c>
      <c r="I265" s="5">
        <v>0</v>
      </c>
      <c r="J265" s="5">
        <v>0</v>
      </c>
      <c r="K265" s="5">
        <v>0</v>
      </c>
    </row>
    <row r="266" spans="1:11" x14ac:dyDescent="0.3">
      <c r="A266" s="7" t="s">
        <v>117</v>
      </c>
      <c r="E266" s="4">
        <v>0</v>
      </c>
      <c r="F266" s="4">
        <v>0</v>
      </c>
      <c r="G266" s="5">
        <v>0</v>
      </c>
      <c r="H266" s="5">
        <v>0</v>
      </c>
      <c r="I266" s="5">
        <v>0</v>
      </c>
      <c r="J266" s="5">
        <v>0</v>
      </c>
      <c r="K266" s="5">
        <v>0</v>
      </c>
    </row>
    <row r="267" spans="1:11" x14ac:dyDescent="0.3">
      <c r="A267" s="7" t="s">
        <v>118</v>
      </c>
      <c r="E267" s="4">
        <v>0</v>
      </c>
      <c r="F267" s="4">
        <v>0</v>
      </c>
      <c r="G267" s="5">
        <v>0</v>
      </c>
      <c r="H267" s="5">
        <v>0</v>
      </c>
      <c r="I267" s="5">
        <v>0</v>
      </c>
      <c r="J267" s="5">
        <v>0</v>
      </c>
      <c r="K267" s="5">
        <v>0</v>
      </c>
    </row>
    <row r="268" spans="1:11" x14ac:dyDescent="0.3">
      <c r="A268" s="7" t="s">
        <v>119</v>
      </c>
      <c r="E268" s="4">
        <v>157</v>
      </c>
      <c r="F268" s="4">
        <v>157</v>
      </c>
      <c r="G268" s="5">
        <f>SUM(G264:G267)</f>
        <v>157</v>
      </c>
      <c r="H268" s="5">
        <f t="shared" ref="H268:K268" si="135">SUM(H264:H267)</f>
        <v>157</v>
      </c>
      <c r="I268" s="5">
        <f t="shared" si="135"/>
        <v>157</v>
      </c>
      <c r="J268" s="5">
        <f t="shared" si="135"/>
        <v>157</v>
      </c>
      <c r="K268" s="5">
        <f t="shared" si="135"/>
        <v>157</v>
      </c>
    </row>
    <row r="270" spans="1:11" x14ac:dyDescent="0.3">
      <c r="A270" s="7" t="s">
        <v>133</v>
      </c>
      <c r="E270" s="4">
        <v>0</v>
      </c>
      <c r="F270" s="4">
        <v>9.35</v>
      </c>
      <c r="G270" s="5">
        <f>F275</f>
        <v>31.78</v>
      </c>
      <c r="H270" s="5">
        <f t="shared" ref="H270:K270" si="136">G275</f>
        <v>54.208571428571432</v>
      </c>
      <c r="I270" s="5">
        <f t="shared" si="136"/>
        <v>76.637142857142862</v>
      </c>
      <c r="J270" s="5">
        <f t="shared" si="136"/>
        <v>99.065714285714293</v>
      </c>
      <c r="K270" s="5">
        <f t="shared" si="136"/>
        <v>121.49428571428572</v>
      </c>
    </row>
    <row r="271" spans="1:11" x14ac:dyDescent="0.3">
      <c r="A271" s="7" t="s">
        <v>134</v>
      </c>
      <c r="E271" s="4">
        <v>0</v>
      </c>
      <c r="F271" s="4">
        <v>0</v>
      </c>
      <c r="G271" s="5">
        <v>0</v>
      </c>
      <c r="H271" s="5">
        <v>0</v>
      </c>
      <c r="I271" s="5">
        <v>0</v>
      </c>
      <c r="J271" s="5">
        <v>0</v>
      </c>
      <c r="K271" s="5">
        <v>0</v>
      </c>
    </row>
    <row r="272" spans="1:11" x14ac:dyDescent="0.3">
      <c r="A272" s="7" t="s">
        <v>135</v>
      </c>
      <c r="E272" s="4">
        <v>9.35</v>
      </c>
      <c r="F272" s="4">
        <v>22.44</v>
      </c>
      <c r="G272" s="5">
        <f>G268/G279</f>
        <v>22.428571428571427</v>
      </c>
      <c r="H272" s="5">
        <f t="shared" ref="H272:K272" si="137">H268/H279</f>
        <v>22.428571428571427</v>
      </c>
      <c r="I272" s="5">
        <f t="shared" si="137"/>
        <v>22.428571428571427</v>
      </c>
      <c r="J272" s="5">
        <f t="shared" si="137"/>
        <v>22.428571428571427</v>
      </c>
      <c r="K272" s="5">
        <f t="shared" si="137"/>
        <v>22.428571428571427</v>
      </c>
    </row>
    <row r="273" spans="1:11" x14ac:dyDescent="0.3">
      <c r="A273" s="7" t="s">
        <v>136</v>
      </c>
      <c r="E273" s="4">
        <v>0</v>
      </c>
      <c r="F273" s="4">
        <v>0</v>
      </c>
      <c r="G273" s="5">
        <v>0</v>
      </c>
      <c r="H273" s="5">
        <v>0</v>
      </c>
      <c r="I273" s="5">
        <v>0</v>
      </c>
      <c r="J273" s="5">
        <v>0</v>
      </c>
      <c r="K273" s="5">
        <v>0</v>
      </c>
    </row>
    <row r="274" spans="1:11" x14ac:dyDescent="0.3">
      <c r="A274" s="7" t="s">
        <v>122</v>
      </c>
      <c r="E274" s="4">
        <v>0</v>
      </c>
      <c r="F274" s="4">
        <v>0</v>
      </c>
      <c r="G274" s="5">
        <v>0</v>
      </c>
      <c r="H274" s="5">
        <v>0</v>
      </c>
      <c r="I274" s="5">
        <v>0</v>
      </c>
      <c r="J274" s="5">
        <v>0</v>
      </c>
      <c r="K274" s="5">
        <v>0</v>
      </c>
    </row>
    <row r="275" spans="1:11" x14ac:dyDescent="0.3">
      <c r="A275" s="7" t="s">
        <v>137</v>
      </c>
      <c r="E275" s="4">
        <v>9.35</v>
      </c>
      <c r="F275" s="4">
        <v>31.78</v>
      </c>
      <c r="G275" s="5">
        <f>SUM(G270:G274)</f>
        <v>54.208571428571432</v>
      </c>
      <c r="H275" s="5">
        <f t="shared" ref="H275:K275" si="138">SUM(H270:H274)</f>
        <v>76.637142857142862</v>
      </c>
      <c r="I275" s="5">
        <f t="shared" si="138"/>
        <v>99.065714285714293</v>
      </c>
      <c r="J275" s="5">
        <f t="shared" si="138"/>
        <v>121.49428571428572</v>
      </c>
      <c r="K275" s="5">
        <f t="shared" si="138"/>
        <v>143.92285714285714</v>
      </c>
    </row>
    <row r="277" spans="1:11" x14ac:dyDescent="0.3">
      <c r="A277" s="7" t="s">
        <v>124</v>
      </c>
      <c r="E277" s="4">
        <v>147.65</v>
      </c>
      <c r="F277" s="4">
        <v>125.22</v>
      </c>
      <c r="G277" s="5">
        <f>G268-G275</f>
        <v>102.79142857142857</v>
      </c>
      <c r="H277" s="5">
        <f t="shared" ref="H277:K277" si="139">H268-H275</f>
        <v>80.362857142857138</v>
      </c>
      <c r="I277" s="5">
        <f t="shared" si="139"/>
        <v>57.934285714285707</v>
      </c>
      <c r="J277" s="5">
        <f t="shared" si="139"/>
        <v>35.505714285714276</v>
      </c>
      <c r="K277" s="5">
        <f t="shared" si="139"/>
        <v>13.07714285714286</v>
      </c>
    </row>
    <row r="279" spans="1:11" x14ac:dyDescent="0.3">
      <c r="A279" s="7" t="s">
        <v>300</v>
      </c>
      <c r="E279" s="4">
        <f>E268/E272</f>
        <v>16.791443850267381</v>
      </c>
      <c r="F279" s="4">
        <f>F268/F272</f>
        <v>6.9964349376114079</v>
      </c>
      <c r="G279" s="5">
        <f>'Assumption Sheet'!G115</f>
        <v>7</v>
      </c>
      <c r="H279" s="5">
        <f>'Assumption Sheet'!H115</f>
        <v>7</v>
      </c>
      <c r="I279" s="5">
        <f>'Assumption Sheet'!I115</f>
        <v>7</v>
      </c>
      <c r="J279" s="5">
        <f>'Assumption Sheet'!J115</f>
        <v>7</v>
      </c>
      <c r="K279" s="5">
        <f>'Assumption Sheet'!K115</f>
        <v>7</v>
      </c>
    </row>
    <row r="280" spans="1:11" x14ac:dyDescent="0.3">
      <c r="A280" s="7" t="s">
        <v>301</v>
      </c>
      <c r="E280" s="4">
        <f>E275/E272</f>
        <v>1</v>
      </c>
      <c r="F280" s="4">
        <f>F275/F272</f>
        <v>1.4162210338680927</v>
      </c>
      <c r="G280" s="5">
        <f t="shared" ref="G280:K280" si="140">G275/G272</f>
        <v>2.4169426751592358</v>
      </c>
      <c r="H280" s="5">
        <f t="shared" si="140"/>
        <v>3.4169426751592362</v>
      </c>
      <c r="I280" s="5">
        <f t="shared" si="140"/>
        <v>4.4169426751592367</v>
      </c>
      <c r="J280" s="5">
        <f t="shared" si="140"/>
        <v>5.4169426751592367</v>
      </c>
      <c r="K280" s="5">
        <f t="shared" si="140"/>
        <v>6.4169426751592358</v>
      </c>
    </row>
    <row r="281" spans="1:11" x14ac:dyDescent="0.3">
      <c r="A281" s="7" t="s">
        <v>302</v>
      </c>
      <c r="E281" s="4">
        <f>E277/E272</f>
        <v>15.791443850267381</v>
      </c>
      <c r="F281" s="4">
        <f>F277/F272</f>
        <v>5.5802139037433154</v>
      </c>
      <c r="G281" s="5">
        <f t="shared" ref="G281:K281" si="141">G277/G272</f>
        <v>4.5830573248407642</v>
      </c>
      <c r="H281" s="5">
        <f t="shared" si="141"/>
        <v>3.5830573248407642</v>
      </c>
      <c r="I281" s="5">
        <f t="shared" si="141"/>
        <v>2.5830573248407642</v>
      </c>
      <c r="J281" s="5">
        <f t="shared" si="141"/>
        <v>1.583057324840764</v>
      </c>
      <c r="K281" s="5">
        <f t="shared" si="141"/>
        <v>0.58305732484076445</v>
      </c>
    </row>
    <row r="283" spans="1:11" s="1" customFormat="1" x14ac:dyDescent="0.3">
      <c r="A283" s="17" t="s">
        <v>313</v>
      </c>
      <c r="B283" s="17"/>
      <c r="C283" s="18"/>
      <c r="D283" s="18"/>
      <c r="E283" s="18"/>
      <c r="F283" s="18"/>
      <c r="G283" s="19"/>
      <c r="H283" s="19"/>
      <c r="I283" s="19"/>
      <c r="J283" s="19"/>
      <c r="K283" s="19"/>
    </row>
    <row r="284" spans="1:11" x14ac:dyDescent="0.3">
      <c r="A284" s="7" t="s">
        <v>115</v>
      </c>
      <c r="C284" s="4">
        <f>C146+C166+C186+C207+C224+C244+C264</f>
        <v>2794.92</v>
      </c>
      <c r="D284" s="4">
        <f t="shared" ref="D284:K284" si="142">D146+D166+D186+D207+D224+D244+D264</f>
        <v>8082.53</v>
      </c>
      <c r="E284" s="4">
        <f t="shared" si="142"/>
        <v>15274.099999999999</v>
      </c>
      <c r="F284" s="4">
        <f t="shared" si="142"/>
        <v>58297.67</v>
      </c>
      <c r="G284" s="5">
        <f t="shared" si="142"/>
        <v>75864.070000000007</v>
      </c>
      <c r="H284" s="5">
        <f t="shared" si="142"/>
        <v>103857.78000000001</v>
      </c>
      <c r="I284" s="5">
        <f t="shared" si="142"/>
        <v>131751.49000000002</v>
      </c>
      <c r="J284" s="5">
        <f t="shared" si="142"/>
        <v>159545.20000000001</v>
      </c>
      <c r="K284" s="5">
        <f t="shared" si="142"/>
        <v>167131.35</v>
      </c>
    </row>
    <row r="285" spans="1:11" x14ac:dyDescent="0.3">
      <c r="A285" s="7" t="s">
        <v>116</v>
      </c>
      <c r="C285" s="4">
        <f t="shared" ref="C285:K285" si="143">C147+C167+C187+C208+C225+C245+C265</f>
        <v>0</v>
      </c>
      <c r="D285" s="4">
        <f t="shared" si="143"/>
        <v>0</v>
      </c>
      <c r="E285" s="4">
        <f t="shared" si="143"/>
        <v>33140.300000000003</v>
      </c>
      <c r="F285" s="4">
        <f t="shared" si="143"/>
        <v>0</v>
      </c>
      <c r="G285" s="5">
        <f t="shared" si="143"/>
        <v>0</v>
      </c>
      <c r="H285" s="5">
        <f t="shared" si="143"/>
        <v>0</v>
      </c>
      <c r="I285" s="5">
        <f t="shared" si="143"/>
        <v>0</v>
      </c>
      <c r="J285" s="5">
        <f t="shared" si="143"/>
        <v>0</v>
      </c>
      <c r="K285" s="5">
        <f t="shared" si="143"/>
        <v>0</v>
      </c>
    </row>
    <row r="286" spans="1:11" x14ac:dyDescent="0.3">
      <c r="A286" s="7" t="s">
        <v>117</v>
      </c>
      <c r="C286" s="4">
        <f t="shared" ref="C286:K286" si="144">C148+C168+C188+C209+C226+C246+C266</f>
        <v>5287.61</v>
      </c>
      <c r="D286" s="4">
        <f t="shared" si="144"/>
        <v>7205.43</v>
      </c>
      <c r="E286" s="4">
        <f t="shared" si="144"/>
        <v>9883.27</v>
      </c>
      <c r="F286" s="4">
        <f t="shared" si="144"/>
        <v>17791.399999999998</v>
      </c>
      <c r="G286" s="5">
        <f t="shared" si="144"/>
        <v>27993.710000000003</v>
      </c>
      <c r="H286" s="5">
        <f t="shared" si="144"/>
        <v>27893.710000000003</v>
      </c>
      <c r="I286" s="5">
        <f t="shared" si="144"/>
        <v>27793.710000000003</v>
      </c>
      <c r="J286" s="5">
        <f t="shared" si="144"/>
        <v>7586.15</v>
      </c>
      <c r="K286" s="5">
        <f t="shared" si="144"/>
        <v>8035.3190000000004</v>
      </c>
    </row>
    <row r="287" spans="1:11" x14ac:dyDescent="0.3">
      <c r="A287" s="7" t="s">
        <v>118</v>
      </c>
      <c r="C287" s="4">
        <f t="shared" ref="C287:K287" si="145">C149+C169+C189+C210+C227+C247+C267</f>
        <v>0</v>
      </c>
      <c r="D287" s="4">
        <f t="shared" si="145"/>
        <v>-13.86</v>
      </c>
      <c r="E287" s="4">
        <f t="shared" si="145"/>
        <v>0</v>
      </c>
      <c r="F287" s="4">
        <f t="shared" si="145"/>
        <v>-225</v>
      </c>
      <c r="G287" s="5">
        <f t="shared" si="145"/>
        <v>0</v>
      </c>
      <c r="H287" s="5">
        <f t="shared" si="145"/>
        <v>0</v>
      </c>
      <c r="I287" s="5">
        <f t="shared" si="145"/>
        <v>0</v>
      </c>
      <c r="J287" s="5">
        <f t="shared" si="145"/>
        <v>0</v>
      </c>
      <c r="K287" s="5">
        <f t="shared" si="145"/>
        <v>0</v>
      </c>
    </row>
    <row r="288" spans="1:11" x14ac:dyDescent="0.3">
      <c r="A288" s="7" t="s">
        <v>119</v>
      </c>
      <c r="C288" s="4">
        <f t="shared" ref="C288:K288" si="146">C150+C170+C190+C211+C228+C248+C268</f>
        <v>8019.53</v>
      </c>
      <c r="D288" s="4">
        <f t="shared" si="146"/>
        <v>15274.099999999999</v>
      </c>
      <c r="E288" s="4">
        <f t="shared" si="146"/>
        <v>58297.67</v>
      </c>
      <c r="F288" s="4">
        <f t="shared" si="146"/>
        <v>75864.070000000007</v>
      </c>
      <c r="G288" s="5">
        <f t="shared" si="146"/>
        <v>103857.78000000001</v>
      </c>
      <c r="H288" s="5">
        <f t="shared" si="146"/>
        <v>131751.49000000002</v>
      </c>
      <c r="I288" s="5">
        <f t="shared" si="146"/>
        <v>159545.20000000001</v>
      </c>
      <c r="J288" s="5">
        <f t="shared" si="146"/>
        <v>167131.35</v>
      </c>
      <c r="K288" s="5">
        <f t="shared" si="146"/>
        <v>175166.66899999999</v>
      </c>
    </row>
    <row r="290" spans="1:11" x14ac:dyDescent="0.3">
      <c r="A290" s="7" t="s">
        <v>133</v>
      </c>
      <c r="C290" s="4">
        <f t="shared" ref="C290:K290" si="147">C152+C172+C192+C213+C230+C250+C270</f>
        <v>1000.89</v>
      </c>
      <c r="D290" s="4">
        <f t="shared" si="147"/>
        <v>2065.86</v>
      </c>
      <c r="E290" s="4">
        <f t="shared" si="147"/>
        <v>3848.5299999999997</v>
      </c>
      <c r="F290" s="4">
        <f t="shared" si="147"/>
        <v>6998.2</v>
      </c>
      <c r="G290" s="5">
        <f t="shared" si="147"/>
        <v>12297.310000000001</v>
      </c>
      <c r="H290" s="5">
        <f t="shared" si="147"/>
        <v>19683.376571428573</v>
      </c>
      <c r="I290" s="5">
        <f t="shared" si="147"/>
        <v>29858.814142857143</v>
      </c>
      <c r="J290" s="5">
        <f t="shared" si="147"/>
        <v>42813.622714285717</v>
      </c>
      <c r="K290" s="5">
        <f t="shared" si="147"/>
        <v>56482.666285714295</v>
      </c>
    </row>
    <row r="291" spans="1:11" x14ac:dyDescent="0.3">
      <c r="A291" s="7" t="s">
        <v>134</v>
      </c>
      <c r="C291" s="4">
        <f t="shared" ref="C291:K291" si="148">C153+C173+C193+C214+C231+C251+C271</f>
        <v>0</v>
      </c>
      <c r="D291" s="4">
        <f t="shared" si="148"/>
        <v>0</v>
      </c>
      <c r="E291" s="4">
        <f t="shared" si="148"/>
        <v>0</v>
      </c>
      <c r="F291" s="4">
        <f t="shared" si="148"/>
        <v>0</v>
      </c>
      <c r="G291" s="5">
        <f t="shared" si="148"/>
        <v>2743.43</v>
      </c>
      <c r="H291" s="5">
        <f t="shared" si="148"/>
        <v>2743.43</v>
      </c>
      <c r="I291" s="5">
        <f t="shared" si="148"/>
        <v>2743.43</v>
      </c>
      <c r="J291" s="5">
        <f t="shared" si="148"/>
        <v>2743.43</v>
      </c>
      <c r="K291" s="5">
        <f t="shared" si="148"/>
        <v>2743.43</v>
      </c>
    </row>
    <row r="292" spans="1:11" x14ac:dyDescent="0.3">
      <c r="A292" s="7" t="s">
        <v>135</v>
      </c>
      <c r="C292" s="4">
        <f t="shared" ref="C292:K292" si="149">C154+C174+C194+C215+C232+C252+C272</f>
        <v>1064.95</v>
      </c>
      <c r="D292" s="4">
        <f t="shared" si="149"/>
        <v>1793.02</v>
      </c>
      <c r="E292" s="4">
        <f t="shared" si="149"/>
        <v>3149.9399999999996</v>
      </c>
      <c r="F292" s="4">
        <f t="shared" si="149"/>
        <v>5299.13</v>
      </c>
      <c r="G292" s="5">
        <f t="shared" si="149"/>
        <v>7386.0665714285724</v>
      </c>
      <c r="H292" s="5">
        <f t="shared" si="149"/>
        <v>10175.437571428572</v>
      </c>
      <c r="I292" s="5">
        <f t="shared" si="149"/>
        <v>12954.808571428572</v>
      </c>
      <c r="J292" s="5">
        <f t="shared" si="149"/>
        <v>13669.043571428574</v>
      </c>
      <c r="K292" s="5">
        <f t="shared" si="149"/>
        <v>14422.295471428572</v>
      </c>
    </row>
    <row r="293" spans="1:11" x14ac:dyDescent="0.3">
      <c r="A293" s="7" t="s">
        <v>136</v>
      </c>
      <c r="C293" s="4">
        <f t="shared" ref="C293:K293" si="150">C155+C175+C195+C216+C233+C253+C273</f>
        <v>0</v>
      </c>
      <c r="D293" s="4">
        <f t="shared" si="150"/>
        <v>0</v>
      </c>
      <c r="E293" s="4">
        <f t="shared" si="150"/>
        <v>0</v>
      </c>
      <c r="F293" s="4">
        <f t="shared" si="150"/>
        <v>2743.43</v>
      </c>
      <c r="G293" s="5">
        <f t="shared" si="150"/>
        <v>0</v>
      </c>
      <c r="H293" s="5">
        <f t="shared" si="150"/>
        <v>0</v>
      </c>
      <c r="I293" s="5">
        <f t="shared" si="150"/>
        <v>0</v>
      </c>
      <c r="J293" s="5">
        <f t="shared" si="150"/>
        <v>0</v>
      </c>
      <c r="K293" s="5">
        <f t="shared" si="150"/>
        <v>0</v>
      </c>
    </row>
    <row r="294" spans="1:11" x14ac:dyDescent="0.3">
      <c r="A294" s="7" t="s">
        <v>122</v>
      </c>
      <c r="C294" s="4">
        <f t="shared" ref="C294:K294" si="151">C156+C176+C196+C217+C234+C254+C274</f>
        <v>0</v>
      </c>
      <c r="D294" s="4">
        <f t="shared" si="151"/>
        <v>-10.61</v>
      </c>
      <c r="E294" s="4">
        <f t="shared" si="151"/>
        <v>0</v>
      </c>
      <c r="F294" s="4">
        <f t="shared" si="151"/>
        <v>0</v>
      </c>
      <c r="G294" s="5">
        <f t="shared" si="151"/>
        <v>0</v>
      </c>
      <c r="H294" s="5">
        <f t="shared" si="151"/>
        <v>0</v>
      </c>
      <c r="I294" s="5">
        <f t="shared" si="151"/>
        <v>0</v>
      </c>
      <c r="J294" s="5">
        <f t="shared" si="151"/>
        <v>0</v>
      </c>
      <c r="K294" s="5">
        <f t="shared" si="151"/>
        <v>0</v>
      </c>
    </row>
    <row r="295" spans="1:11" x14ac:dyDescent="0.3">
      <c r="A295" s="7" t="s">
        <v>137</v>
      </c>
      <c r="C295" s="4">
        <f t="shared" ref="C295:K295" si="152">C157+C177+C197+C218+C235+C255+C275</f>
        <v>2065.86</v>
      </c>
      <c r="D295" s="4">
        <f t="shared" si="152"/>
        <v>3848.27</v>
      </c>
      <c r="E295" s="4">
        <f t="shared" si="152"/>
        <v>6998.2</v>
      </c>
      <c r="F295" s="4">
        <f t="shared" si="152"/>
        <v>15040.740000000002</v>
      </c>
      <c r="G295" s="5">
        <f t="shared" si="152"/>
        <v>22426.806571428573</v>
      </c>
      <c r="H295" s="5">
        <f t="shared" si="152"/>
        <v>32602.244142857144</v>
      </c>
      <c r="I295" s="5">
        <f t="shared" si="152"/>
        <v>45557.052714285717</v>
      </c>
      <c r="J295" s="5">
        <f t="shared" si="152"/>
        <v>59226.096285714295</v>
      </c>
      <c r="K295" s="5">
        <f t="shared" si="152"/>
        <v>73648.391757142846</v>
      </c>
    </row>
    <row r="297" spans="1:11" s="1" customFormat="1" x14ac:dyDescent="0.3">
      <c r="A297" s="6" t="s">
        <v>124</v>
      </c>
      <c r="B297" s="6"/>
      <c r="C297" s="10">
        <f t="shared" ref="C297:K297" si="153">C159+C179+C199+C220+C237+C257+C277</f>
        <v>6016.67</v>
      </c>
      <c r="D297" s="10">
        <f t="shared" si="153"/>
        <v>1194.83</v>
      </c>
      <c r="E297" s="10">
        <f t="shared" si="153"/>
        <v>51299.47</v>
      </c>
      <c r="F297" s="10">
        <f t="shared" si="153"/>
        <v>60823.33</v>
      </c>
      <c r="G297" s="11">
        <f t="shared" si="153"/>
        <v>81430.973428571437</v>
      </c>
      <c r="H297" s="11">
        <f t="shared" si="153"/>
        <v>99149.245857142858</v>
      </c>
      <c r="I297" s="11">
        <f t="shared" si="153"/>
        <v>113988.14728571429</v>
      </c>
      <c r="J297" s="11">
        <f t="shared" si="153"/>
        <v>107905.25371428573</v>
      </c>
      <c r="K297" s="11">
        <f t="shared" si="153"/>
        <v>101518.27724285716</v>
      </c>
    </row>
    <row r="299" spans="1:11" x14ac:dyDescent="0.3">
      <c r="A299" s="7" t="s">
        <v>300</v>
      </c>
      <c r="C299" s="4">
        <f>C288/C292</f>
        <v>7.53042865862247</v>
      </c>
      <c r="D299" s="4">
        <f t="shared" ref="D299:K299" si="154">D288/D292</f>
        <v>8.5186445215335009</v>
      </c>
      <c r="E299" s="4">
        <f t="shared" si="154"/>
        <v>18.507549350146355</v>
      </c>
      <c r="F299" s="4">
        <f t="shared" si="154"/>
        <v>14.316325510036554</v>
      </c>
      <c r="G299" s="5">
        <f t="shared" si="154"/>
        <v>14.061311118119589</v>
      </c>
      <c r="H299" s="5">
        <f t="shared" si="154"/>
        <v>12.947992562987428</v>
      </c>
      <c r="I299" s="5">
        <f t="shared" si="154"/>
        <v>12.315519686788116</v>
      </c>
      <c r="J299" s="5">
        <f t="shared" si="154"/>
        <v>12.226996653177896</v>
      </c>
      <c r="K299" s="5">
        <f t="shared" si="154"/>
        <v>12.145547104274463</v>
      </c>
    </row>
    <row r="300" spans="1:11" x14ac:dyDescent="0.3">
      <c r="A300" s="7" t="s">
        <v>301</v>
      </c>
      <c r="C300" s="4">
        <f>C295/C292</f>
        <v>1.9398657213953707</v>
      </c>
      <c r="D300" s="4">
        <f t="shared" ref="D300:K300" si="155">D295/D292</f>
        <v>2.1462504601175669</v>
      </c>
      <c r="E300" s="4">
        <f t="shared" si="155"/>
        <v>2.2216931116148246</v>
      </c>
      <c r="F300" s="4">
        <f t="shared" si="155"/>
        <v>2.8383413881146531</v>
      </c>
      <c r="G300" s="5">
        <f t="shared" si="155"/>
        <v>3.036366698640641</v>
      </c>
      <c r="H300" s="5">
        <f t="shared" si="155"/>
        <v>3.2040139712910625</v>
      </c>
      <c r="I300" s="5">
        <f t="shared" si="155"/>
        <v>3.51661334577806</v>
      </c>
      <c r="J300" s="5">
        <f t="shared" si="155"/>
        <v>4.332863230424576</v>
      </c>
      <c r="K300" s="5">
        <f t="shared" si="155"/>
        <v>5.1065651721700407</v>
      </c>
    </row>
    <row r="301" spans="1:11" x14ac:dyDescent="0.3">
      <c r="A301" s="7" t="s">
        <v>302</v>
      </c>
      <c r="C301" s="4">
        <f>C297/C292</f>
        <v>5.6497206441616976</v>
      </c>
      <c r="D301" s="4">
        <f t="shared" ref="D301:K301" si="156">D297/D292</f>
        <v>0.6663785122307615</v>
      </c>
      <c r="E301" s="4">
        <f t="shared" si="156"/>
        <v>16.28585623853153</v>
      </c>
      <c r="F301" s="4">
        <f t="shared" si="156"/>
        <v>11.477984121921901</v>
      </c>
      <c r="G301" s="5">
        <f t="shared" si="156"/>
        <v>11.024944419478947</v>
      </c>
      <c r="H301" s="5">
        <f t="shared" si="156"/>
        <v>9.743978591696365</v>
      </c>
      <c r="I301" s="5">
        <f t="shared" si="156"/>
        <v>8.7989063410100563</v>
      </c>
      <c r="J301" s="5">
        <f t="shared" si="156"/>
        <v>7.8941334227533213</v>
      </c>
      <c r="K301" s="5">
        <f t="shared" si="156"/>
        <v>7.0389819321044236</v>
      </c>
    </row>
    <row r="304" spans="1:11" s="1" customFormat="1" x14ac:dyDescent="0.3">
      <c r="A304" s="45" t="s">
        <v>17</v>
      </c>
      <c r="B304" s="45"/>
      <c r="C304" s="46"/>
      <c r="D304" s="46"/>
      <c r="E304" s="46"/>
      <c r="F304" s="46"/>
      <c r="G304" s="47"/>
      <c r="H304" s="47"/>
      <c r="I304" s="47"/>
      <c r="J304" s="47"/>
      <c r="K304" s="47"/>
    </row>
    <row r="305" spans="1:11" x14ac:dyDescent="0.3">
      <c r="A305" s="7" t="s">
        <v>333</v>
      </c>
      <c r="C305" s="4">
        <v>252.71</v>
      </c>
      <c r="D305" s="4">
        <v>252.71</v>
      </c>
      <c r="E305" s="4">
        <v>252.71</v>
      </c>
      <c r="F305" s="4">
        <v>252.71</v>
      </c>
      <c r="G305" s="5">
        <f>F308</f>
        <v>252.71</v>
      </c>
      <c r="H305" s="5">
        <f t="shared" ref="H305:K305" si="157">G308</f>
        <v>252.71</v>
      </c>
      <c r="I305" s="5">
        <f t="shared" si="157"/>
        <v>252.71</v>
      </c>
      <c r="J305" s="5">
        <f t="shared" si="157"/>
        <v>252.71</v>
      </c>
      <c r="K305" s="5">
        <f t="shared" si="157"/>
        <v>252.71</v>
      </c>
    </row>
    <row r="306" spans="1:11" x14ac:dyDescent="0.3">
      <c r="A306" s="7" t="s">
        <v>329</v>
      </c>
      <c r="C306" s="4">
        <v>0</v>
      </c>
      <c r="D306" s="4">
        <v>0</v>
      </c>
      <c r="E306" s="4">
        <v>0</v>
      </c>
      <c r="F306" s="4">
        <v>0</v>
      </c>
      <c r="G306" s="5">
        <v>0</v>
      </c>
      <c r="H306" s="5">
        <v>0</v>
      </c>
      <c r="I306" s="5">
        <v>0</v>
      </c>
      <c r="J306" s="5">
        <v>0</v>
      </c>
      <c r="K306" s="5">
        <v>0</v>
      </c>
    </row>
    <row r="307" spans="1:11" x14ac:dyDescent="0.3">
      <c r="A307" s="7" t="s">
        <v>330</v>
      </c>
      <c r="C307" s="4">
        <v>0</v>
      </c>
      <c r="D307" s="4">
        <v>0</v>
      </c>
      <c r="E307" s="4">
        <v>0</v>
      </c>
      <c r="F307" s="4">
        <v>0</v>
      </c>
      <c r="G307" s="5">
        <v>0</v>
      </c>
      <c r="H307" s="5">
        <v>0</v>
      </c>
      <c r="I307" s="5">
        <v>0</v>
      </c>
      <c r="J307" s="5">
        <v>0</v>
      </c>
      <c r="K307" s="5">
        <v>0</v>
      </c>
    </row>
    <row r="308" spans="1:11" x14ac:dyDescent="0.3">
      <c r="A308" s="7" t="s">
        <v>334</v>
      </c>
      <c r="C308" s="4">
        <v>252.71</v>
      </c>
      <c r="D308" s="4">
        <v>252.71</v>
      </c>
      <c r="E308" s="4">
        <v>252.71</v>
      </c>
      <c r="F308" s="4">
        <v>252.71</v>
      </c>
      <c r="G308" s="5">
        <f>SUM(G305:G307)</f>
        <v>252.71</v>
      </c>
      <c r="H308" s="5">
        <f t="shared" ref="H308:K308" si="158">SUM(H305:H307)</f>
        <v>252.71</v>
      </c>
      <c r="I308" s="5">
        <f t="shared" si="158"/>
        <v>252.71</v>
      </c>
      <c r="J308" s="5">
        <f t="shared" si="158"/>
        <v>252.71</v>
      </c>
      <c r="K308" s="5">
        <f t="shared" si="158"/>
        <v>252.71</v>
      </c>
    </row>
    <row r="311" spans="1:11" x14ac:dyDescent="0.3">
      <c r="A311" s="7" t="s">
        <v>335</v>
      </c>
      <c r="C311" s="4">
        <v>27.68</v>
      </c>
      <c r="D311" s="4">
        <v>33.22</v>
      </c>
      <c r="E311" s="4">
        <v>38.76</v>
      </c>
      <c r="F311" s="4">
        <v>44.3</v>
      </c>
      <c r="G311" s="5">
        <f>F313</f>
        <v>49.84</v>
      </c>
      <c r="H311" s="5">
        <f t="shared" ref="H311:K311" si="159">G313</f>
        <v>55.38</v>
      </c>
      <c r="I311" s="5">
        <f t="shared" si="159"/>
        <v>60.92</v>
      </c>
      <c r="J311" s="5">
        <f t="shared" si="159"/>
        <v>66.460000000000008</v>
      </c>
      <c r="K311" s="5">
        <f t="shared" si="159"/>
        <v>72.000000000000014</v>
      </c>
    </row>
    <row r="312" spans="1:11" x14ac:dyDescent="0.3">
      <c r="A312" s="7" t="s">
        <v>331</v>
      </c>
      <c r="C312" s="4">
        <v>5.54</v>
      </c>
      <c r="D312" s="4">
        <v>5.54</v>
      </c>
      <c r="E312" s="4">
        <v>5.54</v>
      </c>
      <c r="F312" s="4">
        <v>5.54</v>
      </c>
      <c r="G312" s="5">
        <f>'Assumption Sheet'!G118</f>
        <v>5.54</v>
      </c>
      <c r="H312" s="5">
        <f>'Assumption Sheet'!H118</f>
        <v>5.54</v>
      </c>
      <c r="I312" s="5">
        <f>'Assumption Sheet'!I118</f>
        <v>5.54</v>
      </c>
      <c r="J312" s="5">
        <f>'Assumption Sheet'!J118</f>
        <v>5.54</v>
      </c>
      <c r="K312" s="5">
        <f>'Assumption Sheet'!K118</f>
        <v>5.54</v>
      </c>
    </row>
    <row r="313" spans="1:11" x14ac:dyDescent="0.3">
      <c r="A313" s="7" t="s">
        <v>336</v>
      </c>
      <c r="C313" s="4">
        <v>33.22</v>
      </c>
      <c r="D313" s="4">
        <v>38.76</v>
      </c>
      <c r="E313" s="4">
        <v>44.3</v>
      </c>
      <c r="F313" s="4">
        <v>49.84</v>
      </c>
      <c r="G313" s="5">
        <f>SUM(G311:G312)</f>
        <v>55.38</v>
      </c>
      <c r="H313" s="5">
        <f t="shared" ref="H313:K313" si="160">SUM(H311:H312)</f>
        <v>60.92</v>
      </c>
      <c r="I313" s="5">
        <f t="shared" si="160"/>
        <v>66.460000000000008</v>
      </c>
      <c r="J313" s="5">
        <f t="shared" si="160"/>
        <v>72.000000000000014</v>
      </c>
      <c r="K313" s="5">
        <f t="shared" si="160"/>
        <v>77.54000000000002</v>
      </c>
    </row>
    <row r="315" spans="1:11" s="1" customFormat="1" x14ac:dyDescent="0.3">
      <c r="A315" s="6" t="s">
        <v>332</v>
      </c>
      <c r="B315" s="6"/>
      <c r="C315" s="10">
        <v>219.49</v>
      </c>
      <c r="D315" s="10">
        <v>213.95</v>
      </c>
      <c r="E315" s="10">
        <v>208.41</v>
      </c>
      <c r="F315" s="10">
        <v>202.87</v>
      </c>
      <c r="G315" s="11">
        <f>G308-G313</f>
        <v>197.33</v>
      </c>
      <c r="H315" s="11">
        <f t="shared" ref="H315:K315" si="161">H308-H313</f>
        <v>191.79000000000002</v>
      </c>
      <c r="I315" s="11">
        <f t="shared" si="161"/>
        <v>186.25</v>
      </c>
      <c r="J315" s="11">
        <f t="shared" si="161"/>
        <v>180.70999999999998</v>
      </c>
      <c r="K315" s="11">
        <f t="shared" si="161"/>
        <v>175.17</v>
      </c>
    </row>
    <row r="318" spans="1:11" x14ac:dyDescent="0.3">
      <c r="A318" s="51" t="s">
        <v>113</v>
      </c>
      <c r="B318" s="43"/>
      <c r="C318" s="50"/>
      <c r="D318" s="50"/>
      <c r="E318" s="50"/>
      <c r="F318" s="50"/>
      <c r="G318" s="44"/>
      <c r="H318" s="44"/>
      <c r="I318" s="44"/>
      <c r="J318" s="44"/>
      <c r="K318" s="44"/>
    </row>
    <row r="319" spans="1:11" x14ac:dyDescent="0.3">
      <c r="A319" s="43" t="s">
        <v>114</v>
      </c>
      <c r="B319" s="43"/>
      <c r="C319" s="50">
        <f>C8</f>
        <v>959.44</v>
      </c>
      <c r="D319" s="50">
        <f t="shared" ref="D319:K319" si="162">D8</f>
        <v>0</v>
      </c>
      <c r="E319" s="50">
        <f t="shared" si="162"/>
        <v>0</v>
      </c>
      <c r="F319" s="50">
        <f t="shared" si="162"/>
        <v>0</v>
      </c>
      <c r="G319" s="44">
        <f t="shared" si="162"/>
        <v>0</v>
      </c>
      <c r="H319" s="44">
        <f t="shared" si="162"/>
        <v>0</v>
      </c>
      <c r="I319" s="44">
        <f t="shared" si="162"/>
        <v>0</v>
      </c>
      <c r="J319" s="44">
        <f t="shared" si="162"/>
        <v>0</v>
      </c>
      <c r="K319" s="44">
        <f t="shared" si="162"/>
        <v>0</v>
      </c>
    </row>
    <row r="320" spans="1:11" x14ac:dyDescent="0.3">
      <c r="A320" s="43" t="s">
        <v>125</v>
      </c>
      <c r="B320" s="43"/>
      <c r="C320" s="50">
        <f>C17</f>
        <v>0</v>
      </c>
      <c r="D320" s="50">
        <f t="shared" ref="D320:K320" si="163">D17</f>
        <v>0</v>
      </c>
      <c r="E320" s="50">
        <f t="shared" si="163"/>
        <v>0</v>
      </c>
      <c r="F320" s="50">
        <f t="shared" si="163"/>
        <v>0</v>
      </c>
      <c r="G320" s="44">
        <f t="shared" si="163"/>
        <v>0</v>
      </c>
      <c r="H320" s="44">
        <f t="shared" si="163"/>
        <v>0</v>
      </c>
      <c r="I320" s="44">
        <f t="shared" si="163"/>
        <v>0</v>
      </c>
      <c r="J320" s="44">
        <f t="shared" si="163"/>
        <v>0</v>
      </c>
      <c r="K320" s="44">
        <f t="shared" si="163"/>
        <v>0</v>
      </c>
    </row>
    <row r="321" spans="1:11" x14ac:dyDescent="0.3">
      <c r="A321" s="43" t="s">
        <v>126</v>
      </c>
      <c r="B321" s="43"/>
      <c r="C321" s="50">
        <f>C17</f>
        <v>0</v>
      </c>
      <c r="D321" s="50">
        <f t="shared" ref="D321:K321" si="164">D17</f>
        <v>0</v>
      </c>
      <c r="E321" s="50">
        <f t="shared" si="164"/>
        <v>0</v>
      </c>
      <c r="F321" s="50">
        <f t="shared" si="164"/>
        <v>0</v>
      </c>
      <c r="G321" s="44">
        <f t="shared" si="164"/>
        <v>0</v>
      </c>
      <c r="H321" s="44">
        <f t="shared" si="164"/>
        <v>0</v>
      </c>
      <c r="I321" s="44">
        <f t="shared" si="164"/>
        <v>0</v>
      </c>
      <c r="J321" s="44">
        <f t="shared" si="164"/>
        <v>0</v>
      </c>
      <c r="K321" s="44">
        <f t="shared" si="164"/>
        <v>0</v>
      </c>
    </row>
    <row r="322" spans="1:11" x14ac:dyDescent="0.3">
      <c r="A322" s="43" t="s">
        <v>127</v>
      </c>
      <c r="B322" s="43"/>
      <c r="C322" s="50">
        <f>C54</f>
        <v>0</v>
      </c>
      <c r="D322" s="50">
        <f t="shared" ref="D322:K322" si="165">D54</f>
        <v>0</v>
      </c>
      <c r="E322" s="50">
        <f t="shared" si="165"/>
        <v>0</v>
      </c>
      <c r="F322" s="50">
        <f t="shared" si="165"/>
        <v>22.05</v>
      </c>
      <c r="G322" s="44">
        <f t="shared" si="165"/>
        <v>0</v>
      </c>
      <c r="H322" s="44">
        <f t="shared" si="165"/>
        <v>0</v>
      </c>
      <c r="I322" s="44">
        <f t="shared" si="165"/>
        <v>0</v>
      </c>
      <c r="J322" s="44">
        <f t="shared" si="165"/>
        <v>0</v>
      </c>
      <c r="K322" s="44">
        <f t="shared" si="165"/>
        <v>0</v>
      </c>
    </row>
    <row r="323" spans="1:11" x14ac:dyDescent="0.3">
      <c r="A323" s="43" t="s">
        <v>128</v>
      </c>
      <c r="B323" s="43"/>
      <c r="C323" s="50">
        <f>C72</f>
        <v>4.99</v>
      </c>
      <c r="D323" s="50">
        <f t="shared" ref="D323:K323" si="166">D72</f>
        <v>524.54999999999995</v>
      </c>
      <c r="E323" s="50">
        <f t="shared" si="166"/>
        <v>251.7</v>
      </c>
      <c r="F323" s="50">
        <f t="shared" si="166"/>
        <v>60.94</v>
      </c>
      <c r="G323" s="44">
        <f t="shared" si="166"/>
        <v>50</v>
      </c>
      <c r="H323" s="44">
        <f t="shared" si="166"/>
        <v>50</v>
      </c>
      <c r="I323" s="44">
        <f t="shared" si="166"/>
        <v>50</v>
      </c>
      <c r="J323" s="44">
        <f t="shared" si="166"/>
        <v>50</v>
      </c>
      <c r="K323" s="44">
        <f t="shared" si="166"/>
        <v>50</v>
      </c>
    </row>
    <row r="324" spans="1:11" x14ac:dyDescent="0.3">
      <c r="A324" s="43" t="s">
        <v>129</v>
      </c>
      <c r="B324" s="43"/>
      <c r="C324" s="50">
        <f>C90</f>
        <v>183.15</v>
      </c>
      <c r="D324" s="50">
        <f t="shared" ref="D324:K324" si="167">D90</f>
        <v>367.37</v>
      </c>
      <c r="E324" s="50">
        <f t="shared" si="167"/>
        <v>273.57</v>
      </c>
      <c r="F324" s="50">
        <f t="shared" si="167"/>
        <v>159.88</v>
      </c>
      <c r="G324" s="44">
        <f t="shared" si="167"/>
        <v>408.46943850393257</v>
      </c>
      <c r="H324" s="44">
        <f t="shared" si="167"/>
        <v>457.2812926073853</v>
      </c>
      <c r="I324" s="44">
        <f t="shared" si="167"/>
        <v>449.38722716936417</v>
      </c>
      <c r="J324" s="44">
        <f t="shared" si="167"/>
        <v>489.91106788940857</v>
      </c>
      <c r="K324" s="44">
        <f t="shared" si="167"/>
        <v>639.3504202361222</v>
      </c>
    </row>
    <row r="325" spans="1:11" x14ac:dyDescent="0.3">
      <c r="A325" s="43" t="s">
        <v>130</v>
      </c>
      <c r="B325" s="43"/>
      <c r="C325" s="50">
        <f>C108</f>
        <v>0</v>
      </c>
      <c r="D325" s="50">
        <f t="shared" ref="D325:K325" si="168">D108</f>
        <v>0</v>
      </c>
      <c r="E325" s="50">
        <f t="shared" si="168"/>
        <v>4.63</v>
      </c>
      <c r="F325" s="50">
        <f t="shared" si="168"/>
        <v>0</v>
      </c>
      <c r="G325" s="44">
        <f t="shared" si="168"/>
        <v>0</v>
      </c>
      <c r="H325" s="44">
        <f t="shared" si="168"/>
        <v>0</v>
      </c>
      <c r="I325" s="44">
        <f t="shared" si="168"/>
        <v>0</v>
      </c>
      <c r="J325" s="44">
        <f t="shared" si="168"/>
        <v>0</v>
      </c>
      <c r="K325" s="44">
        <f t="shared" si="168"/>
        <v>0</v>
      </c>
    </row>
    <row r="326" spans="1:11" x14ac:dyDescent="0.3">
      <c r="A326" s="43" t="s">
        <v>132</v>
      </c>
      <c r="B326" s="43"/>
      <c r="C326" s="50">
        <f>C148</f>
        <v>5209.07</v>
      </c>
      <c r="D326" s="50">
        <f t="shared" ref="D326:K326" si="169">D148</f>
        <v>7200.22</v>
      </c>
      <c r="E326" s="50">
        <f t="shared" si="169"/>
        <v>9882.27</v>
      </c>
      <c r="F326" s="50">
        <f t="shared" si="169"/>
        <v>17218.87</v>
      </c>
      <c r="G326" s="44">
        <f t="shared" si="169"/>
        <v>27593.710000000003</v>
      </c>
      <c r="H326" s="44">
        <f t="shared" si="169"/>
        <v>27593.710000000003</v>
      </c>
      <c r="I326" s="44">
        <f t="shared" si="169"/>
        <v>27593.710000000003</v>
      </c>
      <c r="J326" s="44">
        <f t="shared" si="169"/>
        <v>7486.15</v>
      </c>
      <c r="K326" s="44">
        <f t="shared" si="169"/>
        <v>7935.3190000000004</v>
      </c>
    </row>
    <row r="327" spans="1:11" x14ac:dyDescent="0.3">
      <c r="A327" s="43" t="s">
        <v>138</v>
      </c>
      <c r="B327" s="43"/>
      <c r="C327" s="50">
        <f>C168</f>
        <v>78.540000000000006</v>
      </c>
      <c r="D327" s="50">
        <f t="shared" ref="D327:K327" si="170">D168</f>
        <v>5.21</v>
      </c>
      <c r="E327" s="50">
        <f t="shared" si="170"/>
        <v>1</v>
      </c>
      <c r="F327" s="50">
        <f t="shared" si="170"/>
        <v>566.53</v>
      </c>
      <c r="G327" s="44">
        <f t="shared" si="170"/>
        <v>400</v>
      </c>
      <c r="H327" s="44">
        <f t="shared" si="170"/>
        <v>300</v>
      </c>
      <c r="I327" s="44">
        <f t="shared" si="170"/>
        <v>200</v>
      </c>
      <c r="J327" s="44">
        <f t="shared" si="170"/>
        <v>100</v>
      </c>
      <c r="K327" s="44">
        <f t="shared" si="170"/>
        <v>100</v>
      </c>
    </row>
    <row r="328" spans="1:11" x14ac:dyDescent="0.3">
      <c r="A328" s="43" t="s">
        <v>139</v>
      </c>
      <c r="B328" s="43"/>
      <c r="C328" s="50">
        <f>C188</f>
        <v>0</v>
      </c>
      <c r="D328" s="50">
        <f t="shared" ref="D328:K328" si="171">D188</f>
        <v>0</v>
      </c>
      <c r="E328" s="50">
        <f t="shared" si="171"/>
        <v>0</v>
      </c>
      <c r="F328" s="50">
        <f t="shared" si="171"/>
        <v>6</v>
      </c>
      <c r="G328" s="44">
        <f t="shared" si="171"/>
        <v>0</v>
      </c>
      <c r="H328" s="44">
        <f t="shared" si="171"/>
        <v>0</v>
      </c>
      <c r="I328" s="44">
        <f t="shared" si="171"/>
        <v>0</v>
      </c>
      <c r="J328" s="44">
        <f t="shared" si="171"/>
        <v>0</v>
      </c>
      <c r="K328" s="44">
        <f t="shared" si="171"/>
        <v>0</v>
      </c>
    </row>
    <row r="329" spans="1:11" x14ac:dyDescent="0.3">
      <c r="A329" s="43" t="s">
        <v>140</v>
      </c>
      <c r="B329" s="43"/>
      <c r="C329" s="50">
        <f>C226</f>
        <v>0</v>
      </c>
      <c r="D329" s="50">
        <f t="shared" ref="D329:K329" si="172">D226</f>
        <v>0</v>
      </c>
      <c r="E329" s="50">
        <f t="shared" si="172"/>
        <v>0</v>
      </c>
      <c r="F329" s="50">
        <f t="shared" si="172"/>
        <v>0</v>
      </c>
      <c r="G329" s="44">
        <f t="shared" si="172"/>
        <v>0</v>
      </c>
      <c r="H329" s="44">
        <f t="shared" si="172"/>
        <v>0</v>
      </c>
      <c r="I329" s="44">
        <f t="shared" si="172"/>
        <v>0</v>
      </c>
      <c r="J329" s="44">
        <f t="shared" si="172"/>
        <v>0</v>
      </c>
      <c r="K329" s="44">
        <f t="shared" si="172"/>
        <v>0</v>
      </c>
    </row>
    <row r="330" spans="1:11" x14ac:dyDescent="0.3">
      <c r="A330" s="43" t="s">
        <v>141</v>
      </c>
      <c r="B330" s="43"/>
      <c r="C330" s="50">
        <f>C246</f>
        <v>0</v>
      </c>
      <c r="D330" s="50">
        <f t="shared" ref="D330:K330" si="173">D246</f>
        <v>0</v>
      </c>
      <c r="E330" s="50">
        <f t="shared" si="173"/>
        <v>0</v>
      </c>
      <c r="F330" s="50">
        <f t="shared" si="173"/>
        <v>0</v>
      </c>
      <c r="G330" s="44">
        <f t="shared" si="173"/>
        <v>0</v>
      </c>
      <c r="H330" s="44">
        <f t="shared" si="173"/>
        <v>0</v>
      </c>
      <c r="I330" s="44">
        <f t="shared" si="173"/>
        <v>0</v>
      </c>
      <c r="J330" s="44">
        <f t="shared" si="173"/>
        <v>0</v>
      </c>
      <c r="K330" s="44">
        <f t="shared" si="173"/>
        <v>0</v>
      </c>
    </row>
    <row r="331" spans="1:11" x14ac:dyDescent="0.3">
      <c r="A331" s="43" t="s">
        <v>142</v>
      </c>
      <c r="B331" s="43"/>
      <c r="C331" s="50">
        <f>C266</f>
        <v>0</v>
      </c>
      <c r="D331" s="50">
        <f t="shared" ref="D331:K331" si="174">D266</f>
        <v>0</v>
      </c>
      <c r="E331" s="50">
        <f t="shared" si="174"/>
        <v>0</v>
      </c>
      <c r="F331" s="50">
        <f t="shared" si="174"/>
        <v>0</v>
      </c>
      <c r="G331" s="44">
        <f t="shared" si="174"/>
        <v>0</v>
      </c>
      <c r="H331" s="44">
        <f t="shared" si="174"/>
        <v>0</v>
      </c>
      <c r="I331" s="44">
        <f t="shared" si="174"/>
        <v>0</v>
      </c>
      <c r="J331" s="44">
        <f t="shared" si="174"/>
        <v>0</v>
      </c>
      <c r="K331" s="44">
        <f t="shared" si="174"/>
        <v>0</v>
      </c>
    </row>
    <row r="332" spans="1:11" x14ac:dyDescent="0.3">
      <c r="A332" s="43" t="s">
        <v>378</v>
      </c>
      <c r="B332" s="43"/>
      <c r="C332" s="50">
        <f>C306</f>
        <v>0</v>
      </c>
      <c r="D332" s="50">
        <f t="shared" ref="D332:K332" si="175">D306</f>
        <v>0</v>
      </c>
      <c r="E332" s="50">
        <f t="shared" si="175"/>
        <v>0</v>
      </c>
      <c r="F332" s="50">
        <f t="shared" si="175"/>
        <v>0</v>
      </c>
      <c r="G332" s="44">
        <f t="shared" si="175"/>
        <v>0</v>
      </c>
      <c r="H332" s="44">
        <f t="shared" si="175"/>
        <v>0</v>
      </c>
      <c r="I332" s="44">
        <f t="shared" si="175"/>
        <v>0</v>
      </c>
      <c r="J332" s="44">
        <f t="shared" si="175"/>
        <v>0</v>
      </c>
      <c r="K332" s="44">
        <f t="shared" si="175"/>
        <v>0</v>
      </c>
    </row>
    <row r="333" spans="1:11" x14ac:dyDescent="0.3">
      <c r="A333" s="43" t="s">
        <v>379</v>
      </c>
      <c r="B333" s="43"/>
      <c r="C333" s="50">
        <f>'Lease Schedule '!C9</f>
        <v>61.94</v>
      </c>
      <c r="D333" s="50">
        <f>'Lease Schedule '!D9</f>
        <v>0</v>
      </c>
      <c r="E333" s="50">
        <f>'Lease Schedule '!E9</f>
        <v>0</v>
      </c>
      <c r="F333" s="50">
        <f>'Lease Schedule '!F9</f>
        <v>0</v>
      </c>
      <c r="G333" s="44">
        <f>'Lease Schedule '!G9</f>
        <v>0</v>
      </c>
      <c r="H333" s="44">
        <f>'Lease Schedule '!H9</f>
        <v>0</v>
      </c>
      <c r="I333" s="44">
        <f>'Lease Schedule '!I9</f>
        <v>0</v>
      </c>
      <c r="J333" s="44">
        <f>'Lease Schedule '!J9</f>
        <v>0</v>
      </c>
      <c r="K333" s="44">
        <f>'Lease Schedule '!K9</f>
        <v>0</v>
      </c>
    </row>
    <row r="334" spans="1:11" s="1" customFormat="1" x14ac:dyDescent="0.3">
      <c r="A334" s="95" t="s">
        <v>351</v>
      </c>
      <c r="B334" s="95"/>
      <c r="C334" s="96">
        <f>SUM(C319:C333)</f>
        <v>6497.1299999999992</v>
      </c>
      <c r="D334" s="96">
        <f t="shared" ref="D334:K334" si="176">SUM(D319:D333)</f>
        <v>8097.35</v>
      </c>
      <c r="E334" s="96">
        <f t="shared" si="176"/>
        <v>10413.17</v>
      </c>
      <c r="F334" s="96">
        <f t="shared" si="176"/>
        <v>18034.269999999997</v>
      </c>
      <c r="G334" s="97">
        <f t="shared" si="176"/>
        <v>28452.179438503936</v>
      </c>
      <c r="H334" s="97">
        <f t="shared" si="176"/>
        <v>28400.991292607388</v>
      </c>
      <c r="I334" s="97">
        <f t="shared" si="176"/>
        <v>28293.097227169368</v>
      </c>
      <c r="J334" s="97">
        <f t="shared" si="176"/>
        <v>8126.0610678894082</v>
      </c>
      <c r="K334" s="97">
        <f t="shared" si="176"/>
        <v>8724.6694202361232</v>
      </c>
    </row>
    <row r="336" spans="1:11" x14ac:dyDescent="0.3">
      <c r="G336" s="4"/>
      <c r="H336" s="4"/>
      <c r="I336" s="4"/>
      <c r="J336" s="4"/>
      <c r="K336" s="4"/>
    </row>
  </sheetData>
  <hyperlinks>
    <hyperlink ref="A1" location="'Navigation Pane'!B4" display="Capex Schedule " xr:uid="{2AA6EFDD-2EAD-4AF0-83F7-3B7720EB68E8}"/>
  </hyperlinks>
  <pageMargins left="0.7" right="0.7" top="0.75" bottom="0.75" header="0.3" footer="0.3"/>
  <pageSetup paperSize="9" orientation="portrait" horizontalDpi="4294967293" verticalDpi="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B9221-D0F0-4B6B-94AD-FCE52C3AAFB9}">
  <dimension ref="A1:K47"/>
  <sheetViews>
    <sheetView showGridLines="0" workbookViewId="0">
      <pane xSplit="2" ySplit="3" topLeftCell="C4" activePane="bottomRight" state="frozen"/>
      <selection pane="topRight" activeCell="C1" sqref="C1"/>
      <selection pane="bottomLeft" activeCell="A4" sqref="A4"/>
      <selection pane="bottomRight"/>
    </sheetView>
  </sheetViews>
  <sheetFormatPr defaultRowHeight="14.4" x14ac:dyDescent="0.3"/>
  <cols>
    <col min="1" max="1" width="44.21875" style="7" bestFit="1" customWidth="1"/>
    <col min="2" max="2" width="10.109375" style="7" bestFit="1" customWidth="1"/>
    <col min="3" max="4" width="8.44140625" style="31" bestFit="1" customWidth="1"/>
    <col min="5" max="6" width="9.44140625" style="31" bestFit="1" customWidth="1"/>
    <col min="7" max="11" width="9.44140625" style="5" bestFit="1" customWidth="1"/>
  </cols>
  <sheetData>
    <row r="1" spans="1:11" s="1" customFormat="1" ht="18" x14ac:dyDescent="0.3">
      <c r="A1" s="77" t="s">
        <v>360</v>
      </c>
      <c r="B1" s="6"/>
      <c r="C1" s="38"/>
      <c r="D1" s="38"/>
      <c r="E1" s="38"/>
      <c r="F1" s="38"/>
      <c r="G1" s="9"/>
      <c r="H1" s="9"/>
      <c r="I1" s="9"/>
      <c r="J1" s="9"/>
      <c r="K1" s="9"/>
    </row>
    <row r="2" spans="1:11" x14ac:dyDescent="0.3">
      <c r="A2" s="7" t="s">
        <v>1</v>
      </c>
      <c r="C2" s="70"/>
      <c r="D2" s="70"/>
      <c r="E2" s="70"/>
      <c r="F2" s="70"/>
      <c r="G2" s="33"/>
      <c r="H2" s="33"/>
      <c r="I2" s="33"/>
      <c r="J2" s="33"/>
      <c r="K2" s="33"/>
    </row>
    <row r="3" spans="1:11" s="1" customFormat="1" x14ac:dyDescent="0.3">
      <c r="A3" s="6" t="s">
        <v>2</v>
      </c>
      <c r="B3" s="6" t="s">
        <v>3</v>
      </c>
      <c r="C3" s="38" t="s">
        <v>4</v>
      </c>
      <c r="D3" s="38" t="s">
        <v>5</v>
      </c>
      <c r="E3" s="38" t="s">
        <v>6</v>
      </c>
      <c r="F3" s="38" t="s">
        <v>7</v>
      </c>
      <c r="G3" s="9" t="s">
        <v>8</v>
      </c>
      <c r="H3" s="9" t="s">
        <v>9</v>
      </c>
      <c r="I3" s="9" t="s">
        <v>10</v>
      </c>
      <c r="J3" s="9" t="s">
        <v>11</v>
      </c>
      <c r="K3" s="9" t="s">
        <v>12</v>
      </c>
    </row>
    <row r="5" spans="1:11" s="1" customFormat="1" x14ac:dyDescent="0.3">
      <c r="A5" s="6" t="s">
        <v>349</v>
      </c>
      <c r="B5" s="6"/>
      <c r="C5" s="32"/>
      <c r="D5" s="32"/>
      <c r="E5" s="32"/>
      <c r="F5" s="32"/>
      <c r="G5" s="11"/>
      <c r="H5" s="11"/>
      <c r="I5" s="11"/>
      <c r="J5" s="11"/>
      <c r="K5" s="11"/>
    </row>
    <row r="6" spans="1:11" x14ac:dyDescent="0.3">
      <c r="A6" s="7" t="s">
        <v>114</v>
      </c>
    </row>
    <row r="7" spans="1:11" x14ac:dyDescent="0.3">
      <c r="A7" s="7" t="s">
        <v>125</v>
      </c>
      <c r="C7" s="31">
        <f>'Capex Schedule '!C22</f>
        <v>4.08</v>
      </c>
      <c r="D7" s="31">
        <f>'Capex Schedule '!D22</f>
        <v>4.08</v>
      </c>
      <c r="E7" s="31">
        <f>'Capex Schedule '!E22</f>
        <v>4.08</v>
      </c>
      <c r="F7" s="31">
        <f>'Capex Schedule '!F22</f>
        <v>4.08</v>
      </c>
      <c r="G7" s="5">
        <f>'Capex Schedule '!G22</f>
        <v>4.0803468208092486</v>
      </c>
      <c r="H7" s="5">
        <f>'Capex Schedule '!H22</f>
        <v>4.0803468208092486</v>
      </c>
      <c r="I7" s="5">
        <f>'Capex Schedule '!I22</f>
        <v>4.0803468208092486</v>
      </c>
      <c r="J7" s="5">
        <f>'Capex Schedule '!J22</f>
        <v>4.0803468208092486</v>
      </c>
      <c r="K7" s="5">
        <f>'Capex Schedule '!K22</f>
        <v>4.0803468208092486</v>
      </c>
    </row>
    <row r="8" spans="1:11" x14ac:dyDescent="0.3">
      <c r="A8" s="7" t="s">
        <v>126</v>
      </c>
      <c r="C8" s="31">
        <f>'Capex Schedule '!C41</f>
        <v>0.8</v>
      </c>
      <c r="D8" s="31">
        <f>'Capex Schedule '!D41</f>
        <v>0.8</v>
      </c>
      <c r="E8" s="31">
        <f>'Capex Schedule '!E41</f>
        <v>0.8</v>
      </c>
      <c r="F8" s="31">
        <f>'Capex Schedule '!F41</f>
        <v>0.8</v>
      </c>
      <c r="G8" s="5">
        <f>'Capex Schedule '!G41</f>
        <v>0.8</v>
      </c>
      <c r="H8" s="5">
        <f>'Capex Schedule '!H41</f>
        <v>0.8</v>
      </c>
      <c r="I8" s="5">
        <f>'Capex Schedule '!I41</f>
        <v>0.8</v>
      </c>
      <c r="J8" s="5">
        <f>'Capex Schedule '!J41</f>
        <v>0.8</v>
      </c>
      <c r="K8" s="5">
        <f>'Capex Schedule '!K41</f>
        <v>0.8</v>
      </c>
    </row>
    <row r="9" spans="1:11" x14ac:dyDescent="0.3">
      <c r="A9" s="7" t="s">
        <v>127</v>
      </c>
      <c r="C9" s="31">
        <f>'Capex Schedule '!C59</f>
        <v>0</v>
      </c>
      <c r="D9" s="31">
        <f>'Capex Schedule '!D59</f>
        <v>0</v>
      </c>
      <c r="E9" s="31">
        <f>'Capex Schedule '!E59</f>
        <v>0</v>
      </c>
      <c r="F9" s="31">
        <f>'Capex Schedule '!F59</f>
        <v>3.06</v>
      </c>
      <c r="G9" s="5">
        <f>'Capex Schedule '!G59</f>
        <v>3.0599999999999996</v>
      </c>
      <c r="H9" s="5">
        <f>'Capex Schedule '!H59</f>
        <v>3.0599999999999996</v>
      </c>
      <c r="I9" s="5">
        <f>'Capex Schedule '!I59</f>
        <v>3.0599999999999996</v>
      </c>
      <c r="J9" s="5">
        <f>'Capex Schedule '!J59</f>
        <v>3.0599999999999996</v>
      </c>
      <c r="K9" s="5">
        <f>'Capex Schedule '!K59</f>
        <v>3.0599999999999996</v>
      </c>
    </row>
    <row r="10" spans="1:11" x14ac:dyDescent="0.3">
      <c r="A10" s="7" t="s">
        <v>128</v>
      </c>
      <c r="C10" s="31">
        <f>'Capex Schedule '!C77</f>
        <v>45.87</v>
      </c>
      <c r="D10" s="31">
        <f>'Capex Schedule '!D77</f>
        <v>43.42</v>
      </c>
      <c r="E10" s="31">
        <f>'Capex Schedule '!E77</f>
        <v>104.14</v>
      </c>
      <c r="F10" s="31">
        <f>'Capex Schedule '!F77</f>
        <v>122.67</v>
      </c>
      <c r="G10" s="5">
        <f>'Capex Schedule '!G77</f>
        <v>138.61700000000002</v>
      </c>
      <c r="H10" s="5">
        <f>'Capex Schedule '!H77</f>
        <v>151.1757894736842</v>
      </c>
      <c r="I10" s="5">
        <f>'Capex Schedule '!I77</f>
        <v>165.13</v>
      </c>
      <c r="J10" s="5">
        <f>'Capex Schedule '!J77</f>
        <v>180.7258823529412</v>
      </c>
      <c r="K10" s="5">
        <f>'Capex Schedule '!K77</f>
        <v>198.27125000000001</v>
      </c>
    </row>
    <row r="11" spans="1:11" x14ac:dyDescent="0.3">
      <c r="A11" s="7" t="s">
        <v>129</v>
      </c>
      <c r="C11" s="31">
        <f>'Capex Schedule '!C95</f>
        <v>143.34</v>
      </c>
      <c r="D11" s="31">
        <f>'Capex Schedule '!D95</f>
        <v>175.81</v>
      </c>
      <c r="E11" s="31">
        <f>'Capex Schedule '!E95</f>
        <v>258.18</v>
      </c>
      <c r="F11" s="31">
        <f>'Capex Schedule '!F95</f>
        <v>262.97000000000003</v>
      </c>
      <c r="G11" s="5">
        <f>'Capex Schedule '!G95</f>
        <v>313.4427043629409</v>
      </c>
      <c r="H11" s="5">
        <f>'Capex Schedule '!H95</f>
        <v>377.82427311168283</v>
      </c>
      <c r="I11" s="5">
        <f>'Capex Schedule '!I95</f>
        <v>448.8534941297761</v>
      </c>
      <c r="J11" s="5">
        <f>'Capex Schedule '!J95</f>
        <v>511.972948238161</v>
      </c>
      <c r="K11" s="5">
        <f>'Capex Schedule '!K95</f>
        <v>599.62327496199009</v>
      </c>
    </row>
    <row r="12" spans="1:11" x14ac:dyDescent="0.3">
      <c r="A12" s="7" t="s">
        <v>130</v>
      </c>
      <c r="C12" s="31">
        <f>'Capex Schedule '!C113</f>
        <v>0</v>
      </c>
      <c r="D12" s="31">
        <f>'Capex Schedule '!D113</f>
        <v>0</v>
      </c>
      <c r="E12" s="31">
        <f>'Capex Schedule '!E113</f>
        <v>0</v>
      </c>
      <c r="F12" s="31">
        <f>'Capex Schedule '!F113</f>
        <v>0.57999999999999996</v>
      </c>
      <c r="G12" s="5">
        <f>'Capex Schedule '!G113</f>
        <v>0.57999999999999996</v>
      </c>
      <c r="H12" s="5">
        <f>'Capex Schedule '!H113</f>
        <v>0.57999999999999996</v>
      </c>
      <c r="I12" s="5">
        <f>'Capex Schedule '!I113</f>
        <v>0.57999999999999996</v>
      </c>
      <c r="J12" s="5">
        <f>'Capex Schedule '!J113</f>
        <v>0.57999999999999996</v>
      </c>
      <c r="K12" s="5">
        <f>'Capex Schedule '!K113</f>
        <v>0.57999999999999996</v>
      </c>
    </row>
    <row r="13" spans="1:11" x14ac:dyDescent="0.3">
      <c r="A13" s="6" t="s">
        <v>351</v>
      </c>
      <c r="B13" s="6"/>
      <c r="C13" s="32">
        <f>'Capex Schedule '!C131</f>
        <v>194.09</v>
      </c>
      <c r="D13" s="32">
        <f>'Capex Schedule '!D131</f>
        <v>224.11</v>
      </c>
      <c r="E13" s="32">
        <f>'Capex Schedule '!E131</f>
        <v>367.2</v>
      </c>
      <c r="F13" s="32">
        <f>'Capex Schedule '!F131</f>
        <v>394.16</v>
      </c>
      <c r="G13" s="11">
        <f>'Capex Schedule '!G131</f>
        <v>460.58005118375019</v>
      </c>
      <c r="H13" s="11">
        <f>'Capex Schedule '!H131</f>
        <v>537.52040940617633</v>
      </c>
      <c r="I13" s="11">
        <f>'Capex Schedule '!I131</f>
        <v>622.50384095058541</v>
      </c>
      <c r="J13" s="11">
        <f>'Capex Schedule '!J131</f>
        <v>701.21917741191146</v>
      </c>
      <c r="K13" s="11">
        <f>'Capex Schedule '!K131</f>
        <v>806.41487178279942</v>
      </c>
    </row>
    <row r="15" spans="1:11" x14ac:dyDescent="0.3">
      <c r="A15" s="6" t="s">
        <v>350</v>
      </c>
    </row>
    <row r="16" spans="1:11" x14ac:dyDescent="0.3">
      <c r="A16" s="7" t="s">
        <v>132</v>
      </c>
      <c r="C16" s="31">
        <f>'Capex Schedule '!C154</f>
        <v>1043.9100000000001</v>
      </c>
      <c r="D16" s="31">
        <f>'Capex Schedule '!D154</f>
        <v>1774.52</v>
      </c>
      <c r="E16" s="31">
        <f>'Capex Schedule '!E154</f>
        <v>2999.07</v>
      </c>
      <c r="F16" s="31">
        <f>'Capex Schedule '!F154</f>
        <v>4870.63</v>
      </c>
      <c r="G16" s="5">
        <f>'Capex Schedule '!G154</f>
        <v>6958.1740000000009</v>
      </c>
      <c r="H16" s="5">
        <f>'Capex Schedule '!H154</f>
        <v>9717.5450000000019</v>
      </c>
      <c r="I16" s="5">
        <f>'Capex Schedule '!I154</f>
        <v>12476.916000000001</v>
      </c>
      <c r="J16" s="5">
        <f>'Capex Schedule '!J154</f>
        <v>13225.531000000003</v>
      </c>
      <c r="K16" s="5">
        <f>'Capex Schedule '!K154</f>
        <v>14019.062900000001</v>
      </c>
    </row>
    <row r="17" spans="1:11" x14ac:dyDescent="0.3">
      <c r="A17" s="7" t="s">
        <v>138</v>
      </c>
      <c r="C17" s="31">
        <f>'Capex Schedule '!C174</f>
        <v>21.04</v>
      </c>
      <c r="D17" s="31">
        <f>'Capex Schedule '!D174</f>
        <v>18.5</v>
      </c>
      <c r="E17" s="31">
        <f>'Capex Schedule '!E174</f>
        <v>18.97</v>
      </c>
      <c r="F17" s="31">
        <f>'Capex Schedule '!F174</f>
        <v>109.31</v>
      </c>
      <c r="G17" s="5">
        <f>'Capex Schedule '!G174</f>
        <v>112.974</v>
      </c>
      <c r="H17" s="5">
        <f>'Capex Schedule '!H174</f>
        <v>142.97399999999999</v>
      </c>
      <c r="I17" s="5">
        <f>'Capex Schedule '!I174</f>
        <v>162.97399999999999</v>
      </c>
      <c r="J17" s="5">
        <f>'Capex Schedule '!J174</f>
        <v>172.97399999999999</v>
      </c>
      <c r="K17" s="5">
        <f>'Capex Schedule '!K174</f>
        <v>182.97399999999999</v>
      </c>
    </row>
    <row r="18" spans="1:11" x14ac:dyDescent="0.3">
      <c r="A18" s="7" t="s">
        <v>139</v>
      </c>
      <c r="C18" s="31">
        <f>'Capex Schedule '!C194</f>
        <v>0</v>
      </c>
      <c r="D18" s="31">
        <f>'Capex Schedule '!D194</f>
        <v>0</v>
      </c>
      <c r="E18" s="31">
        <f>'Capex Schedule '!E194</f>
        <v>40.119999999999997</v>
      </c>
      <c r="F18" s="31">
        <f>'Capex Schedule '!F194</f>
        <v>98.92</v>
      </c>
      <c r="G18" s="5">
        <f>'Capex Schedule '!G194</f>
        <v>94.66</v>
      </c>
      <c r="H18" s="5">
        <f>'Capex Schedule '!H194</f>
        <v>94.66</v>
      </c>
      <c r="I18" s="5">
        <f>'Capex Schedule '!I194</f>
        <v>94.66</v>
      </c>
      <c r="J18" s="5">
        <f>'Capex Schedule '!J194</f>
        <v>50.28000000000003</v>
      </c>
      <c r="K18" s="5">
        <f>'Capex Schedule '!K194</f>
        <v>0</v>
      </c>
    </row>
    <row r="19" spans="1:11" x14ac:dyDescent="0.3">
      <c r="A19" s="7" t="s">
        <v>140</v>
      </c>
      <c r="C19" s="31">
        <f>'Capex Schedule '!C232</f>
        <v>0</v>
      </c>
      <c r="D19" s="31">
        <f>'Capex Schedule '!D232</f>
        <v>0</v>
      </c>
      <c r="E19" s="31">
        <f>'Capex Schedule '!E232</f>
        <v>21.75</v>
      </c>
      <c r="F19" s="31">
        <f>'Capex Schedule '!F232</f>
        <v>52.2</v>
      </c>
      <c r="G19" s="5">
        <f>'Capex Schedule '!G232</f>
        <v>52.2</v>
      </c>
      <c r="H19" s="5">
        <f>'Capex Schedule '!H232</f>
        <v>52.2</v>
      </c>
      <c r="I19" s="5">
        <f>'Capex Schedule '!I232</f>
        <v>52.2</v>
      </c>
      <c r="J19" s="5">
        <f>'Capex Schedule '!J232</f>
        <v>52.2</v>
      </c>
      <c r="K19" s="5">
        <f>'Capex Schedule '!K232</f>
        <v>52.2</v>
      </c>
    </row>
    <row r="20" spans="1:11" x14ac:dyDescent="0.3">
      <c r="A20" s="7" t="s">
        <v>141</v>
      </c>
      <c r="C20" s="31">
        <f>'Capex Schedule '!C252</f>
        <v>0</v>
      </c>
      <c r="D20" s="31">
        <f>'Capex Schedule '!D252</f>
        <v>0</v>
      </c>
      <c r="E20" s="31">
        <f>'Capex Schedule '!E252</f>
        <v>60.68</v>
      </c>
      <c r="F20" s="31">
        <f>'Capex Schedule '!F252</f>
        <v>145.63</v>
      </c>
      <c r="G20" s="5">
        <f>'Capex Schedule '!G252</f>
        <v>145.63</v>
      </c>
      <c r="H20" s="5">
        <f>'Capex Schedule '!H252</f>
        <v>145.63</v>
      </c>
      <c r="I20" s="5">
        <f>'Capex Schedule '!I252</f>
        <v>145.63</v>
      </c>
      <c r="J20" s="5">
        <f>'Capex Schedule '!J252</f>
        <v>145.63</v>
      </c>
      <c r="K20" s="5">
        <f>'Capex Schedule '!K252</f>
        <v>145.63</v>
      </c>
    </row>
    <row r="21" spans="1:11" x14ac:dyDescent="0.3">
      <c r="A21" s="7" t="s">
        <v>142</v>
      </c>
      <c r="C21" s="31">
        <f>'Capex Schedule '!C272</f>
        <v>0</v>
      </c>
      <c r="D21" s="31">
        <f>'Capex Schedule '!D272</f>
        <v>0</v>
      </c>
      <c r="E21" s="31">
        <f>'Capex Schedule '!E272</f>
        <v>9.35</v>
      </c>
      <c r="F21" s="31">
        <f>'Capex Schedule '!F272</f>
        <v>22.44</v>
      </c>
      <c r="G21" s="5">
        <f>'Capex Schedule '!G272</f>
        <v>22.428571428571427</v>
      </c>
      <c r="H21" s="5">
        <f>'Capex Schedule '!H272</f>
        <v>22.428571428571427</v>
      </c>
      <c r="I21" s="5">
        <f>'Capex Schedule '!I272</f>
        <v>22.428571428571427</v>
      </c>
      <c r="J21" s="5">
        <f>'Capex Schedule '!J272</f>
        <v>22.428571428571427</v>
      </c>
      <c r="K21" s="5">
        <f>'Capex Schedule '!K272</f>
        <v>22.428571428571427</v>
      </c>
    </row>
    <row r="22" spans="1:11" s="1" customFormat="1" x14ac:dyDescent="0.3">
      <c r="A22" s="6" t="s">
        <v>347</v>
      </c>
      <c r="B22" s="6"/>
      <c r="C22" s="32">
        <f>'Capex Schedule '!C292</f>
        <v>1064.95</v>
      </c>
      <c r="D22" s="32">
        <f>'Capex Schedule '!D292</f>
        <v>1793.02</v>
      </c>
      <c r="E22" s="32">
        <f>'Capex Schedule '!E292</f>
        <v>3149.9399999999996</v>
      </c>
      <c r="F22" s="32">
        <f>'Capex Schedule '!F292</f>
        <v>5299.13</v>
      </c>
      <c r="G22" s="11">
        <f>'Capex Schedule '!G292</f>
        <v>7386.0665714285724</v>
      </c>
      <c r="H22" s="11">
        <f>'Capex Schedule '!H292</f>
        <v>10175.437571428572</v>
      </c>
      <c r="I22" s="11">
        <f>'Capex Schedule '!I292</f>
        <v>12954.808571428572</v>
      </c>
      <c r="J22" s="11">
        <f>'Capex Schedule '!J292</f>
        <v>13669.043571428574</v>
      </c>
      <c r="K22" s="11">
        <f>'Capex Schedule '!K292</f>
        <v>14422.295471428572</v>
      </c>
    </row>
    <row r="24" spans="1:11" x14ac:dyDescent="0.3">
      <c r="A24" s="17" t="s">
        <v>348</v>
      </c>
      <c r="B24" s="13"/>
      <c r="C24" s="59"/>
      <c r="D24" s="59"/>
      <c r="E24" s="59"/>
      <c r="F24" s="59"/>
      <c r="G24" s="15"/>
      <c r="H24" s="15"/>
      <c r="I24" s="15"/>
      <c r="J24" s="15"/>
      <c r="K24" s="15"/>
    </row>
    <row r="25" spans="1:11" x14ac:dyDescent="0.3">
      <c r="A25" s="7" t="s">
        <v>349</v>
      </c>
      <c r="C25" s="31">
        <f>C13</f>
        <v>194.09</v>
      </c>
      <c r="D25" s="31">
        <f t="shared" ref="D25:K25" si="0">D13</f>
        <v>224.11</v>
      </c>
      <c r="E25" s="31">
        <f t="shared" si="0"/>
        <v>367.2</v>
      </c>
      <c r="F25" s="31">
        <f t="shared" si="0"/>
        <v>394.16</v>
      </c>
      <c r="G25" s="5">
        <f t="shared" si="0"/>
        <v>460.58005118375019</v>
      </c>
      <c r="H25" s="5">
        <f t="shared" si="0"/>
        <v>537.52040940617633</v>
      </c>
      <c r="I25" s="5">
        <f t="shared" si="0"/>
        <v>622.50384095058541</v>
      </c>
      <c r="J25" s="5">
        <f t="shared" si="0"/>
        <v>701.21917741191146</v>
      </c>
      <c r="K25" s="5">
        <f t="shared" si="0"/>
        <v>806.41487178279942</v>
      </c>
    </row>
    <row r="26" spans="1:11" x14ac:dyDescent="0.3">
      <c r="A26" s="7" t="s">
        <v>344</v>
      </c>
      <c r="C26" s="31">
        <f>'Lease Schedule '!C12</f>
        <v>45.52</v>
      </c>
      <c r="D26" s="31">
        <f>'Lease Schedule '!D12</f>
        <v>59.28</v>
      </c>
      <c r="E26" s="31">
        <f>'Lease Schedule '!E12</f>
        <v>95.03</v>
      </c>
      <c r="F26" s="31">
        <f>'Lease Schedule '!F12</f>
        <v>122.24</v>
      </c>
      <c r="G26" s="5">
        <f>'Lease Schedule '!G12</f>
        <v>122.4</v>
      </c>
      <c r="H26" s="5">
        <f>'Lease Schedule '!H12</f>
        <v>20</v>
      </c>
      <c r="I26" s="5">
        <f>'Lease Schedule '!I12</f>
        <v>20</v>
      </c>
      <c r="J26" s="5">
        <f>'Lease Schedule '!J12</f>
        <v>20</v>
      </c>
      <c r="K26" s="5">
        <f>'Lease Schedule '!K12</f>
        <v>20</v>
      </c>
    </row>
    <row r="27" spans="1:11" x14ac:dyDescent="0.3">
      <c r="A27" s="7" t="s">
        <v>345</v>
      </c>
      <c r="C27" s="31">
        <f>'Capex Schedule '!C312</f>
        <v>5.54</v>
      </c>
      <c r="D27" s="31">
        <f>'Capex Schedule '!D312</f>
        <v>5.54</v>
      </c>
      <c r="E27" s="31">
        <f>'Capex Schedule '!E312</f>
        <v>5.54</v>
      </c>
      <c r="F27" s="31">
        <f>'Capex Schedule '!F312</f>
        <v>5.54</v>
      </c>
      <c r="G27" s="5">
        <f>'Capex Schedule '!G312</f>
        <v>5.54</v>
      </c>
      <c r="H27" s="5">
        <f>'Capex Schedule '!H312</f>
        <v>5.54</v>
      </c>
      <c r="I27" s="5">
        <f>'Capex Schedule '!I312</f>
        <v>5.54</v>
      </c>
      <c r="J27" s="5">
        <f>'Capex Schedule '!J312</f>
        <v>5.54</v>
      </c>
      <c r="K27" s="5">
        <f>'Capex Schedule '!K312</f>
        <v>5.54</v>
      </c>
    </row>
    <row r="28" spans="1:11" x14ac:dyDescent="0.3">
      <c r="A28" s="7" t="s">
        <v>346</v>
      </c>
      <c r="C28" s="31">
        <f>C22</f>
        <v>1064.95</v>
      </c>
      <c r="D28" s="31">
        <f t="shared" ref="D28:K28" si="1">D22</f>
        <v>1793.02</v>
      </c>
      <c r="E28" s="31">
        <f t="shared" si="1"/>
        <v>3149.9399999999996</v>
      </c>
      <c r="F28" s="31">
        <f t="shared" si="1"/>
        <v>5299.13</v>
      </c>
      <c r="G28" s="5">
        <f t="shared" si="1"/>
        <v>7386.0665714285724</v>
      </c>
      <c r="H28" s="5">
        <f t="shared" si="1"/>
        <v>10175.437571428572</v>
      </c>
      <c r="I28" s="5">
        <f t="shared" si="1"/>
        <v>12954.808571428572</v>
      </c>
      <c r="J28" s="5">
        <f t="shared" si="1"/>
        <v>13669.043571428574</v>
      </c>
      <c r="K28" s="5">
        <f t="shared" si="1"/>
        <v>14422.295471428572</v>
      </c>
    </row>
    <row r="29" spans="1:11" s="1" customFormat="1" x14ac:dyDescent="0.3">
      <c r="A29" s="6" t="s">
        <v>343</v>
      </c>
      <c r="B29" s="6"/>
      <c r="C29" s="32">
        <f>SUM(C25:C28)</f>
        <v>1310.1000000000001</v>
      </c>
      <c r="D29" s="32">
        <f t="shared" ref="D29:K29" si="2">SUM(D25:D28)</f>
        <v>2081.9499999999998</v>
      </c>
      <c r="E29" s="32">
        <f t="shared" si="2"/>
        <v>3617.7099999999996</v>
      </c>
      <c r="F29" s="32">
        <f t="shared" si="2"/>
        <v>5821.07</v>
      </c>
      <c r="G29" s="11">
        <f t="shared" si="2"/>
        <v>7974.5866226123226</v>
      </c>
      <c r="H29" s="11">
        <f t="shared" si="2"/>
        <v>10738.497980834749</v>
      </c>
      <c r="I29" s="11">
        <f t="shared" si="2"/>
        <v>13602.852412379158</v>
      </c>
      <c r="J29" s="11">
        <f t="shared" si="2"/>
        <v>14395.802748840486</v>
      </c>
      <c r="K29" s="11">
        <f t="shared" si="2"/>
        <v>15254.250343211372</v>
      </c>
    </row>
    <row r="33" spans="1:11" s="1" customFormat="1" x14ac:dyDescent="0.3">
      <c r="A33" s="17" t="s">
        <v>352</v>
      </c>
      <c r="B33" s="17"/>
      <c r="C33" s="35"/>
      <c r="D33" s="35"/>
      <c r="E33" s="35"/>
      <c r="F33" s="35"/>
      <c r="G33" s="19"/>
      <c r="H33" s="19"/>
      <c r="I33" s="19"/>
      <c r="J33" s="19"/>
      <c r="K33" s="19"/>
    </row>
    <row r="34" spans="1:11" x14ac:dyDescent="0.3">
      <c r="A34" s="48" t="s">
        <v>357</v>
      </c>
      <c r="C34" s="31">
        <v>49.35</v>
      </c>
      <c r="D34" s="31">
        <v>62.22</v>
      </c>
      <c r="E34" s="31">
        <v>298.93</v>
      </c>
      <c r="F34" s="31">
        <v>88.23</v>
      </c>
      <c r="G34" s="5">
        <f>G44*G45</f>
        <v>123.35355999999999</v>
      </c>
      <c r="H34" s="5">
        <f t="shared" ref="H34:K34" si="3">H44*H45</f>
        <v>123.35355999999999</v>
      </c>
      <c r="I34" s="5">
        <f t="shared" si="3"/>
        <v>123.35355999999999</v>
      </c>
      <c r="J34" s="5">
        <f t="shared" si="3"/>
        <v>123.35355999999999</v>
      </c>
      <c r="K34" s="5">
        <f t="shared" si="3"/>
        <v>123.35355999999999</v>
      </c>
    </row>
    <row r="35" spans="1:11" x14ac:dyDescent="0.3">
      <c r="A35" s="7" t="s">
        <v>353</v>
      </c>
      <c r="C35" s="31">
        <v>391.4</v>
      </c>
      <c r="D35" s="31">
        <v>498.9</v>
      </c>
      <c r="E35" s="31">
        <v>0</v>
      </c>
      <c r="F35" s="31">
        <v>414</v>
      </c>
      <c r="G35" s="5">
        <v>0</v>
      </c>
      <c r="H35" s="5">
        <v>0</v>
      </c>
      <c r="I35" s="5">
        <v>0</v>
      </c>
      <c r="J35" s="5">
        <v>0</v>
      </c>
      <c r="K35" s="5">
        <v>0</v>
      </c>
    </row>
    <row r="36" spans="1:11" x14ac:dyDescent="0.3">
      <c r="A36" s="7" t="s">
        <v>354</v>
      </c>
      <c r="C36" s="31">
        <v>11.19</v>
      </c>
      <c r="D36" s="31">
        <v>10.36</v>
      </c>
      <c r="E36" s="31">
        <v>25.28</v>
      </c>
      <c r="F36" s="31">
        <v>71.92</v>
      </c>
      <c r="G36" s="5">
        <f>'Lease Schedule '!G24</f>
        <v>29.759400000000003</v>
      </c>
      <c r="H36" s="5">
        <f>'Lease Schedule '!H24</f>
        <v>20.854998575745789</v>
      </c>
      <c r="I36" s="5">
        <f>'Lease Schedule '!I24</f>
        <v>14.614910434832654</v>
      </c>
      <c r="J36" s="5">
        <f>'Lease Schedule '!J24</f>
        <v>10.241938221304437</v>
      </c>
      <c r="K36" s="5">
        <f>'Lease Schedule '!K24</f>
        <v>7.1774164471790538</v>
      </c>
    </row>
    <row r="37" spans="1:11" s="1" customFormat="1" x14ac:dyDescent="0.3">
      <c r="A37" s="6" t="s">
        <v>355</v>
      </c>
      <c r="B37" s="6"/>
      <c r="C37" s="32">
        <v>451.94</v>
      </c>
      <c r="D37" s="32">
        <v>571.48</v>
      </c>
      <c r="E37" s="32">
        <v>324.20999999999998</v>
      </c>
      <c r="F37" s="32">
        <v>574.15</v>
      </c>
      <c r="G37" s="11">
        <f>SUM(G34:G36)</f>
        <v>153.11295999999999</v>
      </c>
      <c r="H37" s="11">
        <f t="shared" ref="H37:K37" si="4">SUM(H34:H36)</f>
        <v>144.20855857574577</v>
      </c>
      <c r="I37" s="11">
        <f t="shared" si="4"/>
        <v>137.96847043483265</v>
      </c>
      <c r="J37" s="11">
        <f t="shared" si="4"/>
        <v>133.59549822130441</v>
      </c>
      <c r="K37" s="11">
        <f t="shared" si="4"/>
        <v>130.53097644717903</v>
      </c>
    </row>
    <row r="39" spans="1:11" x14ac:dyDescent="0.3">
      <c r="A39" s="6" t="str">
        <f>'Balance Sheet'!A37</f>
        <v>Non-current liabilities</v>
      </c>
    </row>
    <row r="40" spans="1:11" x14ac:dyDescent="0.3">
      <c r="A40" s="7" t="str">
        <f>'Balance Sheet'!A39</f>
        <v>Other financial liabilities</v>
      </c>
      <c r="B40" s="7" t="s">
        <v>358</v>
      </c>
      <c r="C40" s="31">
        <f>'Balance Sheet'!C39</f>
        <v>0</v>
      </c>
      <c r="D40" s="31">
        <f>'Balance Sheet'!D39</f>
        <v>0</v>
      </c>
      <c r="E40" s="31">
        <f>'Balance Sheet'!E39</f>
        <v>20895</v>
      </c>
      <c r="F40" s="31">
        <f>'Balance Sheet'!F39</f>
        <v>3094</v>
      </c>
      <c r="G40" s="5">
        <f>'Balance Sheet'!G39</f>
        <v>3094</v>
      </c>
      <c r="H40" s="5">
        <f>'Balance Sheet'!H39</f>
        <v>3094</v>
      </c>
      <c r="I40" s="5">
        <f>'Balance Sheet'!I39</f>
        <v>3094</v>
      </c>
      <c r="J40" s="5">
        <f>'Balance Sheet'!J39</f>
        <v>3094</v>
      </c>
      <c r="K40" s="5">
        <f>'Balance Sheet'!K39</f>
        <v>3094</v>
      </c>
    </row>
    <row r="41" spans="1:11" x14ac:dyDescent="0.3">
      <c r="A41" s="6" t="str">
        <f>'Balance Sheet'!A44</f>
        <v>Current liabilities</v>
      </c>
    </row>
    <row r="42" spans="1:11" x14ac:dyDescent="0.3">
      <c r="A42" s="7" t="str">
        <f>'Balance Sheet'!A45</f>
        <v>Borrowings</v>
      </c>
      <c r="B42" s="7" t="s">
        <v>359</v>
      </c>
      <c r="C42" s="31">
        <f>'Balance Sheet'!C45</f>
        <v>0</v>
      </c>
      <c r="D42" s="31">
        <f>'Balance Sheet'!D45</f>
        <v>0</v>
      </c>
      <c r="E42" s="31">
        <f>'Balance Sheet'!E45</f>
        <v>165.02</v>
      </c>
      <c r="F42" s="31">
        <f>'Balance Sheet'!F45</f>
        <v>0</v>
      </c>
      <c r="G42" s="5">
        <f>'Balance Sheet'!G45</f>
        <v>0</v>
      </c>
      <c r="H42" s="5">
        <f>'Balance Sheet'!H45</f>
        <v>0</v>
      </c>
      <c r="I42" s="5">
        <f>'Balance Sheet'!I45</f>
        <v>0</v>
      </c>
      <c r="J42" s="5">
        <f>'Balance Sheet'!J45</f>
        <v>0</v>
      </c>
      <c r="K42" s="5">
        <f>'Balance Sheet'!K45</f>
        <v>0</v>
      </c>
    </row>
    <row r="43" spans="1:11" x14ac:dyDescent="0.3">
      <c r="A43" s="7" t="str">
        <f>'Balance Sheet'!A48</f>
        <v>Other financial liabilities</v>
      </c>
      <c r="C43" s="31">
        <f>'Balance Sheet'!C48</f>
        <v>4305.57</v>
      </c>
      <c r="D43" s="31">
        <f>'Balance Sheet'!D48</f>
        <v>5654.42</v>
      </c>
      <c r="E43" s="31">
        <f>'Balance Sheet'!E48</f>
        <v>6098.71</v>
      </c>
      <c r="F43" s="31">
        <f>'Balance Sheet'!F48</f>
        <v>8119.96</v>
      </c>
      <c r="G43" s="5">
        <f>'Balance Sheet'!G48</f>
        <v>8119.96</v>
      </c>
      <c r="H43" s="5">
        <f>'Balance Sheet'!H48</f>
        <v>8119.96</v>
      </c>
      <c r="I43" s="5">
        <f>'Balance Sheet'!I48</f>
        <v>8119.96</v>
      </c>
      <c r="J43" s="5">
        <f>'Balance Sheet'!J48</f>
        <v>8119.96</v>
      </c>
      <c r="K43" s="5">
        <f>'Balance Sheet'!K48</f>
        <v>8119.96</v>
      </c>
    </row>
    <row r="44" spans="1:11" x14ac:dyDescent="0.3">
      <c r="A44" s="6" t="s">
        <v>347</v>
      </c>
      <c r="B44" s="6"/>
      <c r="C44" s="32">
        <f>C40+C42+C43</f>
        <v>4305.57</v>
      </c>
      <c r="D44" s="32">
        <f>D40+D42+D43</f>
        <v>5654.42</v>
      </c>
      <c r="E44" s="32">
        <f>E40+E42+E43</f>
        <v>27158.73</v>
      </c>
      <c r="F44" s="32">
        <f>F40+F42+F43</f>
        <v>11213.96</v>
      </c>
      <c r="G44" s="11">
        <f t="shared" ref="G44:K44" si="5">G40+G42+G43</f>
        <v>11213.96</v>
      </c>
      <c r="H44" s="11">
        <f t="shared" si="5"/>
        <v>11213.96</v>
      </c>
      <c r="I44" s="11">
        <f t="shared" si="5"/>
        <v>11213.96</v>
      </c>
      <c r="J44" s="11">
        <f t="shared" si="5"/>
        <v>11213.96</v>
      </c>
      <c r="K44" s="11">
        <f t="shared" si="5"/>
        <v>11213.96</v>
      </c>
    </row>
    <row r="45" spans="1:11" s="1" customFormat="1" ht="15" customHeight="1" x14ac:dyDescent="0.3">
      <c r="A45" s="6" t="s">
        <v>356</v>
      </c>
      <c r="B45" s="6"/>
      <c r="C45" s="98">
        <f>C34/C43</f>
        <v>1.1461897031055122E-2</v>
      </c>
      <c r="D45" s="98">
        <f>D34/D43</f>
        <v>1.1003781112828548E-2</v>
      </c>
      <c r="E45" s="98">
        <f>E34/E43</f>
        <v>4.9015283559965962E-2</v>
      </c>
      <c r="F45" s="98">
        <f>F34/F43</f>
        <v>1.0865817072990508E-2</v>
      </c>
      <c r="G45" s="49">
        <f>'Assumption Sheet'!G133</f>
        <v>1.0999999999999999E-2</v>
      </c>
      <c r="H45" s="49">
        <f>'Assumption Sheet'!H133</f>
        <v>1.0999999999999999E-2</v>
      </c>
      <c r="I45" s="49">
        <f>'Assumption Sheet'!I133</f>
        <v>1.0999999999999999E-2</v>
      </c>
      <c r="J45" s="49">
        <f>'Assumption Sheet'!J133</f>
        <v>1.0999999999999999E-2</v>
      </c>
      <c r="K45" s="49">
        <f>'Assumption Sheet'!K133</f>
        <v>1.0999999999999999E-2</v>
      </c>
    </row>
    <row r="46" spans="1:11" ht="15" customHeight="1" x14ac:dyDescent="0.3">
      <c r="C46" s="39"/>
      <c r="D46" s="39"/>
      <c r="E46" s="39"/>
      <c r="F46" s="39"/>
    </row>
    <row r="47" spans="1:11" ht="15" customHeight="1" x14ac:dyDescent="0.3">
      <c r="C47" s="39"/>
      <c r="D47" s="39"/>
      <c r="E47" s="39"/>
      <c r="F47" s="39"/>
    </row>
  </sheetData>
  <hyperlinks>
    <hyperlink ref="A1" location="'Navigation Pane'!B4" display="Depreciation &amp; Interest Schedule " xr:uid="{F0287DF2-816D-40CE-BF59-D1050A2182E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E94C5-C980-4B05-88C8-763FDE3D2465}">
  <dimension ref="A1:K58"/>
  <sheetViews>
    <sheetView showGridLines="0" workbookViewId="0">
      <pane xSplit="2" ySplit="3" topLeftCell="C4" activePane="bottomRight" state="frozen"/>
      <selection pane="topRight" activeCell="C1" sqref="C1"/>
      <selection pane="bottomLeft" activeCell="A4" sqref="A4"/>
      <selection pane="bottomRight"/>
    </sheetView>
  </sheetViews>
  <sheetFormatPr defaultRowHeight="14.4" x14ac:dyDescent="0.3"/>
  <cols>
    <col min="1" max="1" width="62" style="7" bestFit="1" customWidth="1"/>
    <col min="2" max="2" width="10.109375" style="7" bestFit="1" customWidth="1"/>
    <col min="3" max="5" width="9.44140625" style="31" bestFit="1" customWidth="1"/>
    <col min="6" max="6" width="11" style="31" bestFit="1" customWidth="1"/>
    <col min="7" max="11" width="11" style="5" bestFit="1" customWidth="1"/>
  </cols>
  <sheetData>
    <row r="1" spans="1:11" s="1" customFormat="1" ht="18" x14ac:dyDescent="0.3">
      <c r="A1" s="77" t="s">
        <v>475</v>
      </c>
      <c r="B1" s="6"/>
      <c r="C1" s="38"/>
      <c r="D1" s="38"/>
      <c r="E1" s="38"/>
      <c r="F1" s="38"/>
      <c r="G1" s="9"/>
      <c r="H1" s="9"/>
      <c r="I1" s="9"/>
      <c r="J1" s="9"/>
      <c r="K1" s="9"/>
    </row>
    <row r="2" spans="1:11" x14ac:dyDescent="0.3">
      <c r="A2" s="7" t="s">
        <v>1</v>
      </c>
      <c r="C2" s="70"/>
      <c r="D2" s="70"/>
      <c r="E2" s="70"/>
      <c r="F2" s="70"/>
      <c r="G2" s="33"/>
      <c r="H2" s="33"/>
      <c r="I2" s="33"/>
      <c r="J2" s="33"/>
      <c r="K2" s="33"/>
    </row>
    <row r="3" spans="1:11" s="1" customFormat="1" x14ac:dyDescent="0.3">
      <c r="A3" s="6" t="s">
        <v>2</v>
      </c>
      <c r="B3" s="6" t="s">
        <v>3</v>
      </c>
      <c r="C3" s="38" t="s">
        <v>4</v>
      </c>
      <c r="D3" s="38" t="s">
        <v>5</v>
      </c>
      <c r="E3" s="38" t="s">
        <v>6</v>
      </c>
      <c r="F3" s="38" t="s">
        <v>7</v>
      </c>
      <c r="G3" s="9" t="s">
        <v>8</v>
      </c>
      <c r="H3" s="9" t="s">
        <v>9</v>
      </c>
      <c r="I3" s="9" t="s">
        <v>10</v>
      </c>
      <c r="J3" s="9" t="s">
        <v>11</v>
      </c>
      <c r="K3" s="9" t="s">
        <v>12</v>
      </c>
    </row>
    <row r="5" spans="1:11" x14ac:dyDescent="0.3">
      <c r="A5" s="6" t="s">
        <v>260</v>
      </c>
    </row>
    <row r="6" spans="1:11" x14ac:dyDescent="0.3">
      <c r="A6" s="7" t="s">
        <v>261</v>
      </c>
      <c r="C6" s="31">
        <v>4513.7299999999996</v>
      </c>
      <c r="D6" s="31">
        <v>5472.9</v>
      </c>
      <c r="E6" s="31">
        <v>6615.28</v>
      </c>
      <c r="F6" s="31">
        <v>10635.92</v>
      </c>
    </row>
    <row r="7" spans="1:11" x14ac:dyDescent="0.3">
      <c r="A7" s="7" t="s">
        <v>262</v>
      </c>
      <c r="C7" s="31">
        <v>0</v>
      </c>
      <c r="D7" s="31">
        <v>444.79</v>
      </c>
      <c r="E7" s="31">
        <v>0</v>
      </c>
      <c r="F7" s="31">
        <v>0</v>
      </c>
    </row>
    <row r="8" spans="1:11" x14ac:dyDescent="0.3">
      <c r="A8" s="7" t="s">
        <v>263</v>
      </c>
      <c r="C8" s="31">
        <v>7871.45</v>
      </c>
      <c r="D8" s="31">
        <v>10678.5</v>
      </c>
      <c r="E8" s="31">
        <v>14716.83</v>
      </c>
      <c r="F8" s="31">
        <v>13518.41</v>
      </c>
    </row>
    <row r="9" spans="1:11" x14ac:dyDescent="0.3">
      <c r="A9" s="7" t="s">
        <v>264</v>
      </c>
      <c r="C9" s="31">
        <v>5472.9</v>
      </c>
      <c r="D9" s="31">
        <v>6615.86</v>
      </c>
      <c r="E9" s="31">
        <v>10638.12</v>
      </c>
      <c r="F9" s="31">
        <v>15445.92</v>
      </c>
    </row>
    <row r="10" spans="1:11" x14ac:dyDescent="0.3">
      <c r="A10" s="7" t="s">
        <v>341</v>
      </c>
      <c r="C10" s="31">
        <f t="shared" ref="C10" si="0">C6-C7+C8-C9</f>
        <v>6912.2800000000007</v>
      </c>
      <c r="D10" s="31">
        <f>D6-D7+D8-D9</f>
        <v>9090.75</v>
      </c>
      <c r="E10" s="31">
        <f t="shared" ref="E10:F10" si="1">E6-E7+E8-E9</f>
        <v>10693.99</v>
      </c>
      <c r="F10" s="31">
        <f t="shared" si="1"/>
        <v>8708.4100000000017</v>
      </c>
    </row>
    <row r="12" spans="1:11" x14ac:dyDescent="0.3">
      <c r="A12" s="6" t="s">
        <v>265</v>
      </c>
    </row>
    <row r="13" spans="1:11" x14ac:dyDescent="0.3">
      <c r="A13" s="7" t="s">
        <v>261</v>
      </c>
      <c r="C13" s="31">
        <v>2383.39</v>
      </c>
      <c r="D13" s="31">
        <v>5041.79</v>
      </c>
      <c r="E13" s="31">
        <v>11048.86</v>
      </c>
      <c r="F13" s="31">
        <v>13289.91</v>
      </c>
    </row>
    <row r="14" spans="1:11" x14ac:dyDescent="0.3">
      <c r="A14" s="7" t="s">
        <v>263</v>
      </c>
      <c r="C14" s="31">
        <v>10056.75</v>
      </c>
      <c r="D14" s="31">
        <v>18181.59</v>
      </c>
      <c r="E14" s="31">
        <v>14749.38</v>
      </c>
      <c r="F14" s="31">
        <v>40880.01</v>
      </c>
    </row>
    <row r="15" spans="1:11" x14ac:dyDescent="0.3">
      <c r="A15" s="7" t="s">
        <v>264</v>
      </c>
      <c r="C15" s="31">
        <v>5041.79</v>
      </c>
      <c r="D15" s="31">
        <v>9809.7000000000007</v>
      </c>
      <c r="E15" s="31">
        <v>13287.71</v>
      </c>
      <c r="F15" s="31">
        <v>8569.65</v>
      </c>
    </row>
    <row r="16" spans="1:11" x14ac:dyDescent="0.3">
      <c r="A16" s="7" t="s">
        <v>342</v>
      </c>
      <c r="C16" s="31">
        <f t="shared" ref="C16:E16" si="2">C13+C14-C15</f>
        <v>7398.3499999999995</v>
      </c>
      <c r="D16" s="31">
        <f t="shared" si="2"/>
        <v>13413.68</v>
      </c>
      <c r="E16" s="31">
        <f t="shared" si="2"/>
        <v>12510.529999999999</v>
      </c>
      <c r="F16" s="31">
        <f>F13+F14-F15</f>
        <v>45600.27</v>
      </c>
    </row>
    <row r="18" spans="1:11" x14ac:dyDescent="0.3">
      <c r="A18" s="6" t="str">
        <f>'Revenue Model'!A7</f>
        <v>Segment Wise Revenue Breakup</v>
      </c>
    </row>
    <row r="19" spans="1:11" x14ac:dyDescent="0.3">
      <c r="A19" s="7" t="str">
        <f>'Revenue Model'!A8</f>
        <v>Sale of product</v>
      </c>
      <c r="C19" s="31">
        <f>'Revenue Model'!C8</f>
        <v>10167.719999999999</v>
      </c>
      <c r="D19" s="31">
        <f>'Revenue Model'!D8</f>
        <v>12760.93</v>
      </c>
      <c r="E19" s="31">
        <f>'Revenue Model'!E8</f>
        <v>12962</v>
      </c>
      <c r="F19" s="31">
        <f>'Revenue Model'!F8</f>
        <v>8154.52</v>
      </c>
      <c r="G19" s="5">
        <f>'Revenue Model'!G8</f>
        <v>5218.8928000000014</v>
      </c>
      <c r="H19" s="5">
        <f>'Revenue Model'!H8</f>
        <v>3340.0913920000007</v>
      </c>
      <c r="I19" s="5">
        <f>'Revenue Model'!I8</f>
        <v>2137.6584908800005</v>
      </c>
      <c r="J19" s="5">
        <f>'Revenue Model'!J8</f>
        <v>1368.1014341632006</v>
      </c>
      <c r="K19" s="5">
        <f>'Revenue Model'!K8</f>
        <v>875.58491786444836</v>
      </c>
    </row>
    <row r="20" spans="1:11" x14ac:dyDescent="0.3">
      <c r="A20" s="7" t="str">
        <f>'Revenue Model'!A9</f>
        <v>Sale of service-</v>
      </c>
    </row>
    <row r="21" spans="1:11" x14ac:dyDescent="0.3">
      <c r="A21" s="7" t="str">
        <f>'Revenue Model'!A10</f>
        <v xml:space="preserve">License Fees- Music </v>
      </c>
      <c r="C21" s="31">
        <f>'Revenue Model'!C10</f>
        <v>36328.85</v>
      </c>
      <c r="D21" s="31">
        <f>'Revenue Model'!D10</f>
        <v>42122.5</v>
      </c>
      <c r="E21" s="31">
        <f>'Revenue Model'!E10</f>
        <v>47828.58</v>
      </c>
      <c r="F21" s="31">
        <f>'Revenue Model'!F10</f>
        <v>53860.92</v>
      </c>
      <c r="G21" s="5">
        <f>'Revenue Model'!G10</f>
        <v>64308.399596571428</v>
      </c>
      <c r="H21" s="5">
        <f>'Revenue Model'!H10</f>
        <v>79353.293436000007</v>
      </c>
      <c r="I21" s="5">
        <f>'Revenue Model'!I10</f>
        <v>91176.806276751086</v>
      </c>
      <c r="J21" s="5">
        <f>'Revenue Model'!J10</f>
        <v>103721.92316308267</v>
      </c>
      <c r="K21" s="5">
        <f>'Revenue Model'!K10</f>
        <v>118674.5347501573</v>
      </c>
    </row>
    <row r="22" spans="1:11" x14ac:dyDescent="0.3">
      <c r="A22" s="7" t="str">
        <f>'Revenue Model'!A11</f>
        <v xml:space="preserve">Artist Management </v>
      </c>
      <c r="C22" s="31">
        <f>'Revenue Model'!C11</f>
        <v>0</v>
      </c>
      <c r="D22" s="31">
        <f>'Revenue Model'!D11</f>
        <v>0</v>
      </c>
      <c r="E22" s="31">
        <f>'Revenue Model'!E11</f>
        <v>2075.8200000000002</v>
      </c>
      <c r="F22" s="31">
        <f>'Revenue Model'!F11</f>
        <v>6931.24</v>
      </c>
      <c r="G22" s="5">
        <f>'Revenue Model'!G11</f>
        <v>9250.1140034285636</v>
      </c>
      <c r="H22" s="5">
        <f>'Revenue Model'!H11</f>
        <v>9652.5080199999793</v>
      </c>
      <c r="I22" s="5">
        <f>'Revenue Model'!I11</f>
        <v>16520.213485008891</v>
      </c>
      <c r="J22" s="5">
        <f>'Revenue Model'!J11</f>
        <v>26591.470748646898</v>
      </c>
      <c r="K22" s="5">
        <f>'Revenue Model'!K11</f>
        <v>39004.67188303548</v>
      </c>
    </row>
    <row r="23" spans="1:11" x14ac:dyDescent="0.3">
      <c r="A23" s="7" t="str">
        <f>'Revenue Model'!A12</f>
        <v xml:space="preserve">Income from videos </v>
      </c>
      <c r="C23" s="31">
        <f>'Revenue Model'!C12</f>
        <v>10239.129999999999</v>
      </c>
      <c r="D23" s="31">
        <f>'Revenue Model'!D12</f>
        <v>10846.29</v>
      </c>
      <c r="E23" s="31">
        <f>'Revenue Model'!E12</f>
        <v>11586.66</v>
      </c>
      <c r="F23" s="31">
        <f>'Revenue Model'!F12</f>
        <v>19197.759999999998</v>
      </c>
      <c r="G23" s="5">
        <f>'Revenue Model'!G12</f>
        <v>22077.423999999995</v>
      </c>
      <c r="H23" s="5">
        <f>'Revenue Model'!H12</f>
        <v>25389.037599999992</v>
      </c>
      <c r="I23" s="5">
        <f>'Revenue Model'!I12</f>
        <v>29197.39323999999</v>
      </c>
      <c r="J23" s="5">
        <f>'Revenue Model'!J12</f>
        <v>33577.00222599999</v>
      </c>
      <c r="K23" s="5">
        <f>'Revenue Model'!K12</f>
        <v>38613.552559899988</v>
      </c>
    </row>
    <row r="24" spans="1:11" x14ac:dyDescent="0.3">
      <c r="A24" s="7" t="str">
        <f>'Revenue Model'!A13</f>
        <v>Income from events</v>
      </c>
      <c r="C24" s="31">
        <f>'Revenue Model'!C13</f>
        <v>0</v>
      </c>
      <c r="D24" s="31">
        <f>'Revenue Model'!D13</f>
        <v>4895.66</v>
      </c>
      <c r="E24" s="31">
        <f>'Revenue Model'!E13</f>
        <v>1344.17</v>
      </c>
      <c r="F24" s="31">
        <f>'Revenue Model'!F13</f>
        <v>28524.12</v>
      </c>
      <c r="G24" s="5">
        <f>'Revenue Model'!G13</f>
        <v>25671.707999999999</v>
      </c>
      <c r="H24" s="5">
        <f>'Revenue Model'!H13</f>
        <v>23104.537199999999</v>
      </c>
      <c r="I24" s="5">
        <f>'Revenue Model'!I13</f>
        <v>20794.083480000001</v>
      </c>
      <c r="J24" s="5">
        <f>'Revenue Model'!J13</f>
        <v>18714.675132</v>
      </c>
      <c r="K24" s="5">
        <f>'Revenue Model'!K13</f>
        <v>16843.207618799999</v>
      </c>
    </row>
    <row r="25" spans="1:11" x14ac:dyDescent="0.3">
      <c r="A25" s="7" t="str">
        <f>'Revenue Model'!A14</f>
        <v xml:space="preserve">Other operating income </v>
      </c>
      <c r="C25" s="31">
        <f>'Revenue Model'!C14</f>
        <v>1327.06</v>
      </c>
      <c r="D25" s="31">
        <f>'Revenue Model'!D14</f>
        <v>3036.74</v>
      </c>
      <c r="E25" s="31">
        <f>'Revenue Model'!E14</f>
        <v>4503.17</v>
      </c>
      <c r="F25" s="31">
        <f>'Revenue Model'!F14</f>
        <v>467.2</v>
      </c>
      <c r="G25" s="5">
        <f>'Revenue Model'!G14</f>
        <v>0</v>
      </c>
      <c r="H25" s="5">
        <f>'Revenue Model'!H14</f>
        <v>0</v>
      </c>
      <c r="I25" s="5">
        <f>'Revenue Model'!I14</f>
        <v>0</v>
      </c>
      <c r="J25" s="5">
        <f>'Revenue Model'!J14</f>
        <v>0</v>
      </c>
      <c r="K25" s="5">
        <f>'Revenue Model'!K14</f>
        <v>0</v>
      </c>
    </row>
    <row r="26" spans="1:11" x14ac:dyDescent="0.3">
      <c r="A26" s="7" t="s">
        <v>347</v>
      </c>
      <c r="C26" s="31">
        <f>SUM(C19:C25)</f>
        <v>58062.759999999995</v>
      </c>
      <c r="D26" s="31">
        <f t="shared" ref="D26:F26" si="3">SUM(D19:D25)</f>
        <v>73662.12000000001</v>
      </c>
      <c r="E26" s="31">
        <f t="shared" si="3"/>
        <v>80300.399999999994</v>
      </c>
      <c r="F26" s="31">
        <f t="shared" si="3"/>
        <v>117135.76</v>
      </c>
      <c r="G26" s="5">
        <f t="shared" ref="G26" si="4">SUM(G19:G25)</f>
        <v>126526.53839999999</v>
      </c>
      <c r="H26" s="5">
        <f t="shared" ref="H26" si="5">SUM(H19:H25)</f>
        <v>140839.46764799999</v>
      </c>
      <c r="I26" s="5">
        <f t="shared" ref="I26" si="6">SUM(I19:I25)</f>
        <v>159826.15497263995</v>
      </c>
      <c r="J26" s="5">
        <f t="shared" ref="J26" si="7">SUM(J19:J25)</f>
        <v>183973.17270389275</v>
      </c>
      <c r="K26" s="5">
        <f t="shared" ref="K26" si="8">SUM(K19:K25)</f>
        <v>214011.55172975719</v>
      </c>
    </row>
    <row r="28" spans="1:11" x14ac:dyDescent="0.3">
      <c r="A28" s="7" t="s">
        <v>391</v>
      </c>
      <c r="B28" s="7" t="s">
        <v>392</v>
      </c>
      <c r="C28" s="31">
        <f>C19+C21+C22+C25</f>
        <v>47823.63</v>
      </c>
      <c r="D28" s="31">
        <f t="shared" ref="D28:K28" si="9">D19+D21+D22+D25</f>
        <v>57920.17</v>
      </c>
      <c r="E28" s="31">
        <f t="shared" si="9"/>
        <v>67369.570000000007</v>
      </c>
      <c r="F28" s="31">
        <f t="shared" si="9"/>
        <v>69413.88</v>
      </c>
      <c r="G28" s="5">
        <f t="shared" si="9"/>
        <v>78777.406399999993</v>
      </c>
      <c r="H28" s="5">
        <f t="shared" si="9"/>
        <v>92345.892847999989</v>
      </c>
      <c r="I28" s="5">
        <f t="shared" si="9"/>
        <v>109834.67825263998</v>
      </c>
      <c r="J28" s="5">
        <f t="shared" si="9"/>
        <v>131681.49534589276</v>
      </c>
      <c r="K28" s="5">
        <f t="shared" si="9"/>
        <v>158554.79155105722</v>
      </c>
    </row>
    <row r="29" spans="1:11" x14ac:dyDescent="0.3">
      <c r="A29" s="7" t="s">
        <v>395</v>
      </c>
      <c r="C29" s="31">
        <f>C9</f>
        <v>5472.9</v>
      </c>
      <c r="D29" s="31">
        <f>D9</f>
        <v>6615.86</v>
      </c>
      <c r="E29" s="31">
        <f>E9</f>
        <v>10638.12</v>
      </c>
      <c r="F29" s="31">
        <f>F9</f>
        <v>15445.92</v>
      </c>
      <c r="G29" s="5">
        <f>G28/G30</f>
        <v>12949.71064109589</v>
      </c>
      <c r="H29" s="5">
        <f t="shared" ref="H29:K29" si="10">H28/H30</f>
        <v>15180.146769534245</v>
      </c>
      <c r="I29" s="5">
        <f t="shared" si="10"/>
        <v>18055.015603173695</v>
      </c>
      <c r="J29" s="5">
        <f t="shared" si="10"/>
        <v>21646.273207544018</v>
      </c>
      <c r="K29" s="5">
        <f t="shared" si="10"/>
        <v>26063.801350858721</v>
      </c>
    </row>
    <row r="30" spans="1:11" x14ac:dyDescent="0.3">
      <c r="A30" s="7" t="s">
        <v>396</v>
      </c>
      <c r="C30" s="31">
        <f>C28/C29</f>
        <v>8.7382612508907531</v>
      </c>
      <c r="D30" s="31">
        <f t="shared" ref="D30:F30" si="11">D28/D29</f>
        <v>8.7547454148062389</v>
      </c>
      <c r="E30" s="31">
        <f t="shared" si="11"/>
        <v>6.3328454651761783</v>
      </c>
      <c r="F30" s="31">
        <f t="shared" si="11"/>
        <v>4.4939945305944873</v>
      </c>
      <c r="G30" s="5">
        <f>365/G31</f>
        <v>6.083333333333333</v>
      </c>
      <c r="H30" s="5">
        <f t="shared" ref="H30:K30" si="12">365/H31</f>
        <v>6.083333333333333</v>
      </c>
      <c r="I30" s="5">
        <f t="shared" si="12"/>
        <v>6.083333333333333</v>
      </c>
      <c r="J30" s="5">
        <f t="shared" si="12"/>
        <v>6.083333333333333</v>
      </c>
      <c r="K30" s="5">
        <f t="shared" si="12"/>
        <v>6.083333333333333</v>
      </c>
    </row>
    <row r="31" spans="1:11" x14ac:dyDescent="0.3">
      <c r="A31" s="7" t="s">
        <v>411</v>
      </c>
      <c r="C31" s="31">
        <f>365/C30</f>
        <v>41.770323582714234</v>
      </c>
      <c r="D31" s="31">
        <f t="shared" ref="D31:F31" si="13">365/D30</f>
        <v>41.691674938108775</v>
      </c>
      <c r="E31" s="31">
        <f t="shared" si="13"/>
        <v>57.636018754461396</v>
      </c>
      <c r="F31" s="31">
        <f t="shared" si="13"/>
        <v>81.21950249719508</v>
      </c>
      <c r="G31" s="5">
        <f>'Assumption Sheet'!G142</f>
        <v>60</v>
      </c>
      <c r="H31" s="5">
        <f>'Assumption Sheet'!H142</f>
        <v>60</v>
      </c>
      <c r="I31" s="5">
        <f>'Assumption Sheet'!I142</f>
        <v>60</v>
      </c>
      <c r="J31" s="5">
        <f>'Assumption Sheet'!J142</f>
        <v>60</v>
      </c>
      <c r="K31" s="5">
        <f>'Assumption Sheet'!K142</f>
        <v>60</v>
      </c>
    </row>
    <row r="34" spans="1:11" x14ac:dyDescent="0.3">
      <c r="A34" s="7" t="s">
        <v>393</v>
      </c>
      <c r="B34" s="7" t="s">
        <v>394</v>
      </c>
      <c r="C34" s="31">
        <f>SUM(C24:C25)</f>
        <v>1327.06</v>
      </c>
      <c r="D34" s="31">
        <f t="shared" ref="D34:K34" si="14">SUM(D24:D25)</f>
        <v>7932.4</v>
      </c>
      <c r="E34" s="31">
        <f t="shared" si="14"/>
        <v>5847.34</v>
      </c>
      <c r="F34" s="31">
        <f t="shared" si="14"/>
        <v>28991.32</v>
      </c>
      <c r="G34" s="5">
        <f t="shared" si="14"/>
        <v>25671.707999999999</v>
      </c>
      <c r="H34" s="5">
        <f t="shared" si="14"/>
        <v>23104.537199999999</v>
      </c>
      <c r="I34" s="5">
        <f t="shared" si="14"/>
        <v>20794.083480000001</v>
      </c>
      <c r="J34" s="5">
        <f t="shared" si="14"/>
        <v>18714.675132</v>
      </c>
      <c r="K34" s="5">
        <f t="shared" si="14"/>
        <v>16843.207618799999</v>
      </c>
    </row>
    <row r="35" spans="1:11" x14ac:dyDescent="0.3">
      <c r="A35" s="7" t="s">
        <v>398</v>
      </c>
      <c r="C35" s="31">
        <f>C15</f>
        <v>5041.79</v>
      </c>
      <c r="D35" s="31">
        <f>D15</f>
        <v>9809.7000000000007</v>
      </c>
      <c r="E35" s="31">
        <f>E15</f>
        <v>13287.71</v>
      </c>
      <c r="F35" s="31">
        <f>F15</f>
        <v>8569.65</v>
      </c>
      <c r="G35" s="5">
        <f>G34/G36</f>
        <v>2110.0033972602741</v>
      </c>
      <c r="H35" s="5">
        <f t="shared" ref="H35:K35" si="15">H34/H36</f>
        <v>1899.0030575342466</v>
      </c>
      <c r="I35" s="5">
        <f t="shared" si="15"/>
        <v>1709.102751780822</v>
      </c>
      <c r="J35" s="5">
        <f t="shared" si="15"/>
        <v>1538.1924766027398</v>
      </c>
      <c r="K35" s="5">
        <f t="shared" si="15"/>
        <v>1384.3732289424659</v>
      </c>
    </row>
    <row r="36" spans="1:11" x14ac:dyDescent="0.3">
      <c r="A36" s="7" t="s">
        <v>399</v>
      </c>
      <c r="C36" s="31">
        <f>C34/C35</f>
        <v>0.26321207348977249</v>
      </c>
      <c r="D36" s="31">
        <f t="shared" ref="D36:F36" si="16">D34/D35</f>
        <v>0.80862819454213675</v>
      </c>
      <c r="E36" s="31">
        <f t="shared" si="16"/>
        <v>0.44005626251626506</v>
      </c>
      <c r="F36" s="31">
        <f t="shared" si="16"/>
        <v>3.3830226438652686</v>
      </c>
      <c r="G36" s="5">
        <f>365/G37</f>
        <v>12.166666666666666</v>
      </c>
      <c r="H36" s="5">
        <f t="shared" ref="H36:K36" si="17">365/H37</f>
        <v>12.166666666666666</v>
      </c>
      <c r="I36" s="5">
        <f t="shared" si="17"/>
        <v>12.166666666666666</v>
      </c>
      <c r="J36" s="5">
        <f t="shared" si="17"/>
        <v>12.166666666666666</v>
      </c>
      <c r="K36" s="5">
        <f t="shared" si="17"/>
        <v>12.166666666666666</v>
      </c>
    </row>
    <row r="37" spans="1:11" x14ac:dyDescent="0.3">
      <c r="A37" s="7" t="s">
        <v>410</v>
      </c>
      <c r="C37" s="31">
        <f>365/C36</f>
        <v>1386.7145042424606</v>
      </c>
      <c r="D37" s="31">
        <f t="shared" ref="D37:F37" si="18">365/D36</f>
        <v>451.38173818768604</v>
      </c>
      <c r="E37" s="31">
        <f t="shared" si="18"/>
        <v>829.43939466492452</v>
      </c>
      <c r="F37" s="31">
        <f t="shared" si="18"/>
        <v>107.89168102728679</v>
      </c>
      <c r="G37" s="5">
        <f>'Assumption Sheet'!G143</f>
        <v>30</v>
      </c>
      <c r="H37" s="5">
        <f>'Assumption Sheet'!H143</f>
        <v>30</v>
      </c>
      <c r="I37" s="5">
        <f>'Assumption Sheet'!I143</f>
        <v>30</v>
      </c>
      <c r="J37" s="5">
        <f>'Assumption Sheet'!J143</f>
        <v>30</v>
      </c>
      <c r="K37" s="5">
        <f>'Assumption Sheet'!K143</f>
        <v>30</v>
      </c>
    </row>
    <row r="39" spans="1:11" s="16" customFormat="1" x14ac:dyDescent="0.3">
      <c r="A39" s="17" t="s">
        <v>401</v>
      </c>
      <c r="B39" s="17"/>
      <c r="C39" s="35">
        <f>C35+C29</f>
        <v>10514.689999999999</v>
      </c>
      <c r="D39" s="35">
        <f t="shared" ref="D39:K39" si="19">D35+D29</f>
        <v>16425.560000000001</v>
      </c>
      <c r="E39" s="35">
        <f t="shared" si="19"/>
        <v>23925.83</v>
      </c>
      <c r="F39" s="35">
        <f t="shared" si="19"/>
        <v>24015.57</v>
      </c>
      <c r="G39" s="19">
        <f t="shared" si="19"/>
        <v>15059.714038356164</v>
      </c>
      <c r="H39" s="19">
        <f t="shared" si="19"/>
        <v>17079.149827068493</v>
      </c>
      <c r="I39" s="19">
        <f t="shared" si="19"/>
        <v>19764.118354954517</v>
      </c>
      <c r="J39" s="19">
        <f t="shared" si="19"/>
        <v>23184.465684146759</v>
      </c>
      <c r="K39" s="19">
        <f t="shared" si="19"/>
        <v>27448.174579801187</v>
      </c>
    </row>
    <row r="42" spans="1:11" x14ac:dyDescent="0.3">
      <c r="A42" s="7" t="str">
        <f>IS!A4</f>
        <v>Revenue from operations</v>
      </c>
      <c r="C42" s="31">
        <f>IS!C4</f>
        <v>58062.76</v>
      </c>
      <c r="D42" s="31">
        <f>IS!D4</f>
        <v>73662.12</v>
      </c>
      <c r="E42" s="31">
        <f>IS!E4</f>
        <v>80300.399999999994</v>
      </c>
      <c r="F42" s="31">
        <f>IS!F4</f>
        <v>117135.76</v>
      </c>
      <c r="G42" s="5">
        <f>IS!G4</f>
        <v>126526.53839999999</v>
      </c>
      <c r="H42" s="5">
        <f>IS!H4</f>
        <v>140839.46764799999</v>
      </c>
      <c r="I42" s="5">
        <f>IS!I4</f>
        <v>159826.15497263995</v>
      </c>
      <c r="J42" s="5">
        <f>IS!J4</f>
        <v>183973.17270389275</v>
      </c>
      <c r="K42" s="5">
        <f>IS!K4</f>
        <v>214011.55172975719</v>
      </c>
    </row>
    <row r="43" spans="1:11" x14ac:dyDescent="0.3">
      <c r="A43" s="7" t="str">
        <f>'Balance Sheet'!A18</f>
        <v>Trade receivables</v>
      </c>
      <c r="C43" s="31">
        <f>'Balance Sheet'!C18</f>
        <v>10780.25</v>
      </c>
      <c r="D43" s="31">
        <f>'Balance Sheet'!D18</f>
        <v>14796.95</v>
      </c>
      <c r="E43" s="31">
        <f>'Balance Sheet'!E18</f>
        <v>15873.78</v>
      </c>
      <c r="F43" s="31">
        <f>'Balance Sheet'!F18</f>
        <v>14321.51</v>
      </c>
      <c r="G43" s="5">
        <f>G42/G44</f>
        <v>20798.883024657534</v>
      </c>
      <c r="H43" s="5">
        <f t="shared" ref="H43:K43" si="20">H42/H44</f>
        <v>23151.693311999999</v>
      </c>
      <c r="I43" s="5">
        <f t="shared" si="20"/>
        <v>26272.792598242184</v>
      </c>
      <c r="J43" s="5">
        <f t="shared" si="20"/>
        <v>30242.165375982371</v>
      </c>
      <c r="K43" s="5">
        <f t="shared" si="20"/>
        <v>35179.981106261461</v>
      </c>
    </row>
    <row r="44" spans="1:11" x14ac:dyDescent="0.3">
      <c r="A44" s="7" t="s">
        <v>402</v>
      </c>
      <c r="C44" s="31">
        <f>C42/C43</f>
        <v>5.3860309362027783</v>
      </c>
      <c r="D44" s="31">
        <f t="shared" ref="D44:F44" si="21">D42/D43</f>
        <v>4.9781961823213559</v>
      </c>
      <c r="E44" s="31">
        <f t="shared" si="21"/>
        <v>5.0586816750641619</v>
      </c>
      <c r="F44" s="31">
        <f t="shared" si="21"/>
        <v>8.1790090570058602</v>
      </c>
      <c r="G44" s="5">
        <f>365/G45</f>
        <v>6.083333333333333</v>
      </c>
      <c r="H44" s="5">
        <f t="shared" ref="H44:K44" si="22">365/H45</f>
        <v>6.083333333333333</v>
      </c>
      <c r="I44" s="5">
        <f t="shared" si="22"/>
        <v>6.083333333333333</v>
      </c>
      <c r="J44" s="5">
        <f t="shared" si="22"/>
        <v>6.083333333333333</v>
      </c>
      <c r="K44" s="5">
        <f t="shared" si="22"/>
        <v>6.083333333333333</v>
      </c>
    </row>
    <row r="45" spans="1:11" x14ac:dyDescent="0.3">
      <c r="A45" s="7" t="s">
        <v>412</v>
      </c>
      <c r="C45" s="31">
        <f>365/C44</f>
        <v>67.767898908009201</v>
      </c>
      <c r="D45" s="31">
        <f t="shared" ref="D45:F45" si="23">365/D44</f>
        <v>73.319730005055533</v>
      </c>
      <c r="E45" s="31">
        <f t="shared" si="23"/>
        <v>72.153186036433198</v>
      </c>
      <c r="F45" s="31">
        <f t="shared" si="23"/>
        <v>44.626433038040645</v>
      </c>
      <c r="G45" s="5">
        <f>'Assumption Sheet'!G144</f>
        <v>60</v>
      </c>
      <c r="H45" s="5">
        <f>'Assumption Sheet'!H144</f>
        <v>60</v>
      </c>
      <c r="I45" s="5">
        <f>'Assumption Sheet'!I144</f>
        <v>60</v>
      </c>
      <c r="J45" s="5">
        <f>'Assumption Sheet'!J144</f>
        <v>60</v>
      </c>
      <c r="K45" s="5">
        <f>'Assumption Sheet'!K144</f>
        <v>60</v>
      </c>
    </row>
    <row r="47" spans="1:11" s="16" customFormat="1" x14ac:dyDescent="0.3">
      <c r="A47" s="17" t="str">
        <f>A43</f>
        <v>Trade receivables</v>
      </c>
      <c r="B47" s="17"/>
      <c r="C47" s="35">
        <f t="shared" ref="C47:K47" si="24">C43</f>
        <v>10780.25</v>
      </c>
      <c r="D47" s="35">
        <f t="shared" si="24"/>
        <v>14796.95</v>
      </c>
      <c r="E47" s="35">
        <f t="shared" si="24"/>
        <v>15873.78</v>
      </c>
      <c r="F47" s="35">
        <f t="shared" si="24"/>
        <v>14321.51</v>
      </c>
      <c r="G47" s="19">
        <f t="shared" si="24"/>
        <v>20798.883024657534</v>
      </c>
      <c r="H47" s="19">
        <f t="shared" si="24"/>
        <v>23151.693311999999</v>
      </c>
      <c r="I47" s="19">
        <f t="shared" si="24"/>
        <v>26272.792598242184</v>
      </c>
      <c r="J47" s="19">
        <f t="shared" si="24"/>
        <v>30242.165375982371</v>
      </c>
      <c r="K47" s="19">
        <f t="shared" si="24"/>
        <v>35179.981106261461</v>
      </c>
    </row>
    <row r="49" spans="1:11" x14ac:dyDescent="0.3">
      <c r="A49" s="7" t="s">
        <v>261</v>
      </c>
      <c r="C49" s="31">
        <f>C6+C13</f>
        <v>6897.119999999999</v>
      </c>
      <c r="D49" s="31">
        <f>D6+D13</f>
        <v>10514.689999999999</v>
      </c>
      <c r="E49" s="31">
        <f>E6+E13</f>
        <v>17664.14</v>
      </c>
      <c r="F49" s="31">
        <f>F6+F13</f>
        <v>23925.83</v>
      </c>
      <c r="G49" s="5">
        <f>F51</f>
        <v>24015.57</v>
      </c>
      <c r="H49" s="5">
        <f t="shared" ref="H49:K49" si="25">G51</f>
        <v>15059.714038356164</v>
      </c>
      <c r="I49" s="5">
        <f t="shared" si="25"/>
        <v>17079.149827068493</v>
      </c>
      <c r="J49" s="5">
        <f t="shared" si="25"/>
        <v>19764.118354954517</v>
      </c>
      <c r="K49" s="5">
        <f t="shared" si="25"/>
        <v>23184.465684146759</v>
      </c>
    </row>
    <row r="50" spans="1:11" x14ac:dyDescent="0.3">
      <c r="A50" s="7" t="s">
        <v>404</v>
      </c>
      <c r="C50" s="31">
        <f>IS!C5+IS!C6</f>
        <v>14310.630000000001</v>
      </c>
      <c r="D50" s="31">
        <f>IS!D5+IS!D6</f>
        <v>22504.43</v>
      </c>
      <c r="E50" s="31">
        <f>IS!E5+IS!E6</f>
        <v>23204.519999999997</v>
      </c>
      <c r="F50" s="31">
        <f>IS!F5+IS!F6</f>
        <v>54308.68</v>
      </c>
      <c r="G50" s="5">
        <f>IS!G5+IS!G6</f>
        <v>50226.894755930873</v>
      </c>
      <c r="H50" s="5">
        <f>IS!H5+IS!H6</f>
        <v>52894.060488643823</v>
      </c>
      <c r="I50" s="5">
        <f>IS!I5+IS!I6</f>
        <v>54262.963697638217</v>
      </c>
      <c r="J50" s="5">
        <f>IS!J5+IS!J6</f>
        <v>56709.062059920921</v>
      </c>
      <c r="K50" s="5">
        <f>IS!K5+IS!K6</f>
        <v>63027.585348858673</v>
      </c>
    </row>
    <row r="51" spans="1:11" x14ac:dyDescent="0.3">
      <c r="A51" s="7" t="s">
        <v>405</v>
      </c>
      <c r="C51" s="31">
        <f>C39</f>
        <v>10514.689999999999</v>
      </c>
      <c r="D51" s="31">
        <f t="shared" ref="D51:K51" si="26">D39</f>
        <v>16425.560000000001</v>
      </c>
      <c r="E51" s="31">
        <f t="shared" si="26"/>
        <v>23925.83</v>
      </c>
      <c r="F51" s="31">
        <f t="shared" si="26"/>
        <v>24015.57</v>
      </c>
      <c r="G51" s="5">
        <f t="shared" si="26"/>
        <v>15059.714038356164</v>
      </c>
      <c r="H51" s="5">
        <f t="shared" si="26"/>
        <v>17079.149827068493</v>
      </c>
      <c r="I51" s="5">
        <f t="shared" si="26"/>
        <v>19764.118354954517</v>
      </c>
      <c r="J51" s="5">
        <f t="shared" si="26"/>
        <v>23184.465684146759</v>
      </c>
      <c r="K51" s="5">
        <f t="shared" si="26"/>
        <v>27448.174579801187</v>
      </c>
    </row>
    <row r="52" spans="1:11" x14ac:dyDescent="0.3">
      <c r="A52" s="52" t="s">
        <v>406</v>
      </c>
      <c r="B52" s="52" t="s">
        <v>407</v>
      </c>
      <c r="C52" s="99">
        <f>C51+C50-C49</f>
        <v>17928.2</v>
      </c>
      <c r="D52" s="99">
        <f t="shared" ref="D52:F52" si="27">D51+D50-D49</f>
        <v>28415.300000000007</v>
      </c>
      <c r="E52" s="99">
        <f t="shared" si="27"/>
        <v>29466.21</v>
      </c>
      <c r="F52" s="99">
        <f t="shared" si="27"/>
        <v>54398.42</v>
      </c>
      <c r="G52" s="53">
        <f t="shared" ref="G52" si="28">G51+G50-G49</f>
        <v>41271.038794287037</v>
      </c>
      <c r="H52" s="53">
        <f t="shared" ref="H52" si="29">H51+H50-H49</f>
        <v>54913.496277356156</v>
      </c>
      <c r="I52" s="53">
        <f t="shared" ref="I52" si="30">I51+I50-I49</f>
        <v>56947.932225524244</v>
      </c>
      <c r="J52" s="53">
        <f t="shared" ref="J52" si="31">J51+J50-J49</f>
        <v>60129.409389113171</v>
      </c>
      <c r="K52" s="53">
        <f t="shared" ref="K52" si="32">K51+K50-K49</f>
        <v>67291.29424451309</v>
      </c>
    </row>
    <row r="54" spans="1:11" x14ac:dyDescent="0.3">
      <c r="A54" s="7" t="str">
        <f>'Balance Sheet'!A47</f>
        <v>Trade Payables - MSME &amp; Others</v>
      </c>
      <c r="C54" s="31">
        <f>'Balance Sheet'!C47</f>
        <v>6452.39</v>
      </c>
      <c r="D54" s="31">
        <f>'Balance Sheet'!D47</f>
        <v>7027.26</v>
      </c>
      <c r="E54" s="31">
        <f>'Balance Sheet'!E47</f>
        <v>9335.8900000000012</v>
      </c>
      <c r="F54" s="31">
        <f>'Balance Sheet'!F47</f>
        <v>12754.61</v>
      </c>
      <c r="G54" s="5">
        <f>G52/G55</f>
        <v>12437.847307867325</v>
      </c>
      <c r="H54" s="5">
        <f>H52/H55</f>
        <v>15044.793500645523</v>
      </c>
      <c r="I54" s="5">
        <f>I52/I55</f>
        <v>15602.173212472397</v>
      </c>
      <c r="J54" s="5">
        <f>J52/J55</f>
        <v>16473.810791537857</v>
      </c>
      <c r="K54" s="5">
        <f>K52/K55</f>
        <v>18435.971025893999</v>
      </c>
    </row>
    <row r="55" spans="1:11" x14ac:dyDescent="0.3">
      <c r="A55" s="7" t="s">
        <v>409</v>
      </c>
      <c r="C55" s="31">
        <f>C52/C54</f>
        <v>2.7785363252996178</v>
      </c>
      <c r="D55" s="31">
        <f>D52/D54</f>
        <v>4.0435817089448811</v>
      </c>
      <c r="E55" s="31">
        <f>E52/E54</f>
        <v>3.1562293471752554</v>
      </c>
      <c r="F55" s="31">
        <f>F52/F54</f>
        <v>4.2650006546652541</v>
      </c>
      <c r="G55" s="5">
        <f>365/G56</f>
        <v>3.3181818181818183</v>
      </c>
      <c r="H55" s="5">
        <f t="shared" ref="H55:K55" si="33">365/H56</f>
        <v>3.65</v>
      </c>
      <c r="I55" s="5">
        <f t="shared" si="33"/>
        <v>3.65</v>
      </c>
      <c r="J55" s="5">
        <f t="shared" si="33"/>
        <v>3.65</v>
      </c>
      <c r="K55" s="5">
        <f t="shared" si="33"/>
        <v>3.65</v>
      </c>
    </row>
    <row r="56" spans="1:11" x14ac:dyDescent="0.3">
      <c r="A56" s="7" t="s">
        <v>413</v>
      </c>
      <c r="C56" s="31">
        <f>365/C55</f>
        <v>131.36412746399526</v>
      </c>
      <c r="D56" s="31">
        <f t="shared" ref="D56:F56" si="34">365/D55</f>
        <v>90.266507832048205</v>
      </c>
      <c r="E56" s="31">
        <f t="shared" si="34"/>
        <v>115.64432107149175</v>
      </c>
      <c r="F56" s="31">
        <f t="shared" si="34"/>
        <v>85.580291670236022</v>
      </c>
      <c r="G56" s="5">
        <f>'Assumption Sheet'!G145</f>
        <v>110</v>
      </c>
      <c r="H56" s="5">
        <f>'Assumption Sheet'!H145</f>
        <v>100</v>
      </c>
      <c r="I56" s="5">
        <f>'Assumption Sheet'!I145</f>
        <v>100</v>
      </c>
      <c r="J56" s="5">
        <f>'Assumption Sheet'!J145</f>
        <v>100</v>
      </c>
      <c r="K56" s="5">
        <f>'Assumption Sheet'!K145</f>
        <v>100</v>
      </c>
    </row>
    <row r="58" spans="1:11" s="16" customFormat="1" x14ac:dyDescent="0.3">
      <c r="A58" s="17" t="str">
        <f>A54</f>
        <v>Trade Payables - MSME &amp; Others</v>
      </c>
      <c r="B58" s="17"/>
      <c r="C58" s="35">
        <f t="shared" ref="C58:K58" si="35">C54</f>
        <v>6452.39</v>
      </c>
      <c r="D58" s="35">
        <f t="shared" si="35"/>
        <v>7027.26</v>
      </c>
      <c r="E58" s="35">
        <f t="shared" si="35"/>
        <v>9335.8900000000012</v>
      </c>
      <c r="F58" s="35">
        <f t="shared" si="35"/>
        <v>12754.61</v>
      </c>
      <c r="G58" s="19">
        <f t="shared" si="35"/>
        <v>12437.847307867325</v>
      </c>
      <c r="H58" s="19">
        <f t="shared" si="35"/>
        <v>15044.793500645523</v>
      </c>
      <c r="I58" s="19">
        <f t="shared" si="35"/>
        <v>15602.173212472397</v>
      </c>
      <c r="J58" s="19">
        <f t="shared" si="35"/>
        <v>16473.810791537857</v>
      </c>
      <c r="K58" s="19">
        <f t="shared" si="35"/>
        <v>18435.971025893999</v>
      </c>
    </row>
  </sheetData>
  <hyperlinks>
    <hyperlink ref="A1" location="'Navigation Pane'!B4" display="WC Schedule" xr:uid="{6E6A83E3-58C2-4A37-90CB-53DB6B0D8D1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DDDB2-03A3-4EB2-B7F7-41DA565B373F}">
  <dimension ref="A1:L32"/>
  <sheetViews>
    <sheetView showGridLines="0" workbookViewId="0">
      <pane xSplit="2" ySplit="3" topLeftCell="C4" activePane="bottomRight" state="frozen"/>
      <selection pane="topRight" activeCell="C1" sqref="C1"/>
      <selection pane="bottomLeft" activeCell="A4" sqref="A4"/>
      <selection pane="bottomRight"/>
    </sheetView>
  </sheetViews>
  <sheetFormatPr defaultRowHeight="14.4" x14ac:dyDescent="0.3"/>
  <cols>
    <col min="1" max="1" width="42.33203125" style="7" bestFit="1" customWidth="1"/>
    <col min="2" max="2" width="10.109375" style="7" bestFit="1" customWidth="1"/>
    <col min="3" max="6" width="9.109375" style="31" bestFit="1" customWidth="1"/>
    <col min="7" max="11" width="9" style="5" bestFit="1" customWidth="1"/>
  </cols>
  <sheetData>
    <row r="1" spans="1:11" s="1" customFormat="1" ht="18" x14ac:dyDescent="0.3">
      <c r="A1" s="77" t="s">
        <v>317</v>
      </c>
      <c r="B1" s="6"/>
      <c r="C1" s="38"/>
      <c r="D1" s="38"/>
      <c r="E1" s="38"/>
      <c r="F1" s="38"/>
      <c r="G1" s="9"/>
      <c r="H1" s="9"/>
      <c r="I1" s="9"/>
      <c r="J1" s="9"/>
      <c r="K1" s="9"/>
    </row>
    <row r="2" spans="1:11" x14ac:dyDescent="0.3">
      <c r="A2" s="7" t="s">
        <v>1</v>
      </c>
      <c r="C2" s="70"/>
      <c r="D2" s="70"/>
      <c r="E2" s="70"/>
      <c r="F2" s="70"/>
      <c r="G2" s="33"/>
      <c r="H2" s="33"/>
      <c r="I2" s="33"/>
      <c r="J2" s="33"/>
      <c r="K2" s="33"/>
    </row>
    <row r="3" spans="1:11" s="1" customFormat="1" x14ac:dyDescent="0.3">
      <c r="A3" s="6" t="s">
        <v>2</v>
      </c>
      <c r="B3" s="6" t="s">
        <v>3</v>
      </c>
      <c r="C3" s="38" t="s">
        <v>4</v>
      </c>
      <c r="D3" s="38" t="s">
        <v>5</v>
      </c>
      <c r="E3" s="38" t="s">
        <v>6</v>
      </c>
      <c r="F3" s="38" t="s">
        <v>7</v>
      </c>
      <c r="G3" s="9" t="s">
        <v>8</v>
      </c>
      <c r="H3" s="9" t="s">
        <v>9</v>
      </c>
      <c r="I3" s="9" t="s">
        <v>10</v>
      </c>
      <c r="J3" s="9" t="s">
        <v>11</v>
      </c>
      <c r="K3" s="9" t="s">
        <v>12</v>
      </c>
    </row>
    <row r="5" spans="1:11" s="1" customFormat="1" x14ac:dyDescent="0.3">
      <c r="A5" s="17" t="s">
        <v>318</v>
      </c>
      <c r="B5" s="17"/>
      <c r="C5" s="35"/>
      <c r="D5" s="35"/>
      <c r="E5" s="35"/>
      <c r="F5" s="35"/>
      <c r="G5" s="19"/>
      <c r="H5" s="19"/>
      <c r="I5" s="19"/>
      <c r="J5" s="19"/>
      <c r="K5" s="19"/>
    </row>
    <row r="7" spans="1:11" x14ac:dyDescent="0.3">
      <c r="A7" s="7" t="s">
        <v>319</v>
      </c>
      <c r="C7" s="31">
        <v>109.46</v>
      </c>
      <c r="D7" s="31">
        <v>125.88</v>
      </c>
      <c r="E7" s="31">
        <v>66.599999999999994</v>
      </c>
      <c r="F7" s="31">
        <v>334.54</v>
      </c>
      <c r="G7" s="5">
        <f>F14</f>
        <v>212.3</v>
      </c>
      <c r="H7" s="5">
        <f t="shared" ref="H7:K7" si="0">G14</f>
        <v>89.9</v>
      </c>
      <c r="I7" s="5">
        <f t="shared" si="0"/>
        <v>69.900000000000006</v>
      </c>
      <c r="J7" s="5">
        <f t="shared" si="0"/>
        <v>49.900000000000006</v>
      </c>
      <c r="K7" s="5">
        <f t="shared" si="0"/>
        <v>29.900000000000006</v>
      </c>
    </row>
    <row r="8" spans="1:11" x14ac:dyDescent="0.3">
      <c r="A8" s="7" t="s">
        <v>322</v>
      </c>
      <c r="D8" s="31">
        <v>0</v>
      </c>
      <c r="E8" s="31">
        <v>362.97</v>
      </c>
      <c r="F8" s="31">
        <v>0</v>
      </c>
      <c r="G8" s="5">
        <v>0</v>
      </c>
      <c r="H8" s="5">
        <v>0</v>
      </c>
      <c r="I8" s="5">
        <v>0</v>
      </c>
      <c r="J8" s="5">
        <v>0</v>
      </c>
      <c r="K8" s="5">
        <v>0</v>
      </c>
    </row>
    <row r="9" spans="1:11" x14ac:dyDescent="0.3">
      <c r="A9" s="7" t="s">
        <v>117</v>
      </c>
      <c r="C9" s="31">
        <v>61.94</v>
      </c>
      <c r="D9" s="31">
        <v>0</v>
      </c>
      <c r="E9" s="31">
        <v>0</v>
      </c>
      <c r="F9" s="31">
        <v>0</v>
      </c>
      <c r="G9" s="5">
        <v>0</v>
      </c>
      <c r="H9" s="5">
        <v>0</v>
      </c>
      <c r="I9" s="5">
        <v>0</v>
      </c>
      <c r="J9" s="5">
        <v>0</v>
      </c>
      <c r="K9" s="5">
        <v>0</v>
      </c>
    </row>
    <row r="10" spans="1:11" x14ac:dyDescent="0.3">
      <c r="A10" s="7" t="s">
        <v>118</v>
      </c>
      <c r="C10" s="31">
        <v>0</v>
      </c>
      <c r="D10" s="31">
        <v>0</v>
      </c>
      <c r="E10" s="31">
        <v>0</v>
      </c>
      <c r="F10" s="31">
        <v>0</v>
      </c>
      <c r="G10" s="5">
        <v>0</v>
      </c>
      <c r="H10" s="5">
        <v>0</v>
      </c>
      <c r="I10" s="5">
        <v>0</v>
      </c>
      <c r="J10" s="5">
        <v>0</v>
      </c>
      <c r="K10" s="5">
        <v>0</v>
      </c>
    </row>
    <row r="12" spans="1:11" x14ac:dyDescent="0.3">
      <c r="A12" s="7" t="s">
        <v>320</v>
      </c>
      <c r="C12" s="31">
        <v>45.52</v>
      </c>
      <c r="D12" s="31">
        <v>59.28</v>
      </c>
      <c r="E12" s="31">
        <v>95.03</v>
      </c>
      <c r="F12" s="31">
        <v>122.24</v>
      </c>
      <c r="G12" s="5">
        <f>'Assumption Sheet'!G124</f>
        <v>122.4</v>
      </c>
      <c r="H12" s="5">
        <f>'Assumption Sheet'!H124</f>
        <v>20</v>
      </c>
      <c r="I12" s="5">
        <f>'Assumption Sheet'!I124</f>
        <v>20</v>
      </c>
      <c r="J12" s="5">
        <f>'Assumption Sheet'!J124</f>
        <v>20</v>
      </c>
      <c r="K12" s="5">
        <f>'Assumption Sheet'!K124</f>
        <v>20</v>
      </c>
    </row>
    <row r="14" spans="1:11" s="1" customFormat="1" x14ac:dyDescent="0.3">
      <c r="A14" s="6" t="s">
        <v>321</v>
      </c>
      <c r="B14" s="6"/>
      <c r="C14" s="32">
        <v>125.88</v>
      </c>
      <c r="D14" s="32">
        <v>66.599999999999994</v>
      </c>
      <c r="E14" s="32">
        <v>334.54</v>
      </c>
      <c r="F14" s="32">
        <v>212.3</v>
      </c>
      <c r="G14" s="11">
        <f>SUM(G7:G10)-G12</f>
        <v>89.9</v>
      </c>
      <c r="H14" s="11">
        <f t="shared" ref="H14:K14" si="1">SUM(H7:H10)-H12</f>
        <v>69.900000000000006</v>
      </c>
      <c r="I14" s="11">
        <f t="shared" si="1"/>
        <v>49.900000000000006</v>
      </c>
      <c r="J14" s="11">
        <f t="shared" si="1"/>
        <v>29.900000000000006</v>
      </c>
      <c r="K14" s="11">
        <f t="shared" si="1"/>
        <v>9.9000000000000057</v>
      </c>
    </row>
    <row r="16" spans="1:11" s="1" customFormat="1" x14ac:dyDescent="0.3">
      <c r="A16" s="17" t="s">
        <v>328</v>
      </c>
      <c r="B16" s="17"/>
      <c r="C16" s="35"/>
      <c r="D16" s="35"/>
      <c r="E16" s="35"/>
      <c r="F16" s="35"/>
      <c r="G16" s="19"/>
      <c r="H16" s="19"/>
      <c r="I16" s="19"/>
      <c r="J16" s="19"/>
      <c r="K16" s="19"/>
    </row>
    <row r="18" spans="1:12" x14ac:dyDescent="0.3">
      <c r="A18" s="7" t="s">
        <v>319</v>
      </c>
      <c r="C18" s="31">
        <v>110.22</v>
      </c>
      <c r="D18" s="31">
        <v>130.31</v>
      </c>
      <c r="E18" s="31">
        <v>71.25</v>
      </c>
      <c r="F18" s="70">
        <v>378.32</v>
      </c>
      <c r="G18" s="5">
        <f>F27</f>
        <v>270.54000000000002</v>
      </c>
      <c r="H18" s="5">
        <f t="shared" ref="H18:K18" si="2">G27</f>
        <v>189.59089614314354</v>
      </c>
      <c r="I18" s="5">
        <f t="shared" si="2"/>
        <v>132.8628221348423</v>
      </c>
      <c r="J18" s="5">
        <f t="shared" si="2"/>
        <v>93.108529284585785</v>
      </c>
      <c r="K18" s="5">
        <f t="shared" si="2"/>
        <v>65.249240428900492</v>
      </c>
    </row>
    <row r="19" spans="1:12" x14ac:dyDescent="0.3">
      <c r="A19" s="7" t="s">
        <v>322</v>
      </c>
      <c r="C19" s="31">
        <v>0</v>
      </c>
      <c r="D19" s="31">
        <v>0</v>
      </c>
      <c r="E19" s="31">
        <v>397.41</v>
      </c>
      <c r="F19" s="31">
        <v>0</v>
      </c>
      <c r="G19" s="5">
        <v>0</v>
      </c>
      <c r="H19" s="5">
        <v>0</v>
      </c>
      <c r="I19" s="5">
        <v>0</v>
      </c>
      <c r="J19" s="5">
        <v>0</v>
      </c>
      <c r="K19" s="5">
        <v>0</v>
      </c>
    </row>
    <row r="20" spans="1:12" x14ac:dyDescent="0.3">
      <c r="A20" s="7" t="s">
        <v>117</v>
      </c>
      <c r="C20" s="31">
        <v>61.94</v>
      </c>
      <c r="D20" s="31">
        <v>0</v>
      </c>
      <c r="E20" s="31">
        <v>0</v>
      </c>
      <c r="F20" s="31">
        <v>0</v>
      </c>
      <c r="G20" s="5">
        <v>0</v>
      </c>
      <c r="H20" s="5">
        <v>0</v>
      </c>
      <c r="I20" s="5">
        <v>0</v>
      </c>
      <c r="J20" s="5">
        <v>0</v>
      </c>
      <c r="K20" s="5">
        <v>0</v>
      </c>
      <c r="L20" s="5"/>
    </row>
    <row r="21" spans="1:12" x14ac:dyDescent="0.3">
      <c r="A21" s="7" t="s">
        <v>118</v>
      </c>
      <c r="C21" s="31">
        <v>0</v>
      </c>
      <c r="D21" s="31">
        <v>0</v>
      </c>
      <c r="E21" s="31">
        <v>0</v>
      </c>
      <c r="F21" s="31">
        <v>0</v>
      </c>
      <c r="G21" s="5">
        <v>0</v>
      </c>
      <c r="H21" s="5">
        <v>0</v>
      </c>
      <c r="I21" s="5">
        <v>0</v>
      </c>
      <c r="J21" s="5">
        <v>0</v>
      </c>
      <c r="K21" s="5">
        <v>0</v>
      </c>
    </row>
    <row r="23" spans="1:12" x14ac:dyDescent="0.3">
      <c r="A23" s="7" t="s">
        <v>323</v>
      </c>
      <c r="C23" s="31">
        <f>SUM(C24:C25)</f>
        <v>64.23</v>
      </c>
      <c r="D23" s="31">
        <f t="shared" ref="D23:F23" si="3">SUM(D24:D25)</f>
        <v>79.78</v>
      </c>
      <c r="E23" s="31">
        <f t="shared" si="3"/>
        <v>140.9</v>
      </c>
      <c r="F23" s="31">
        <f t="shared" si="3"/>
        <v>198.66</v>
      </c>
      <c r="G23" s="5">
        <f>PMT(G31,G32,-G18)</f>
        <v>110.7085038568565</v>
      </c>
      <c r="H23" s="5">
        <f t="shared" ref="H23:K23" si="4">PMT(H31,H32,-H18)</f>
        <v>77.583072584047031</v>
      </c>
      <c r="I23" s="5">
        <f t="shared" si="4"/>
        <v>54.369203285089178</v>
      </c>
      <c r="J23" s="5">
        <f t="shared" si="4"/>
        <v>38.101227076989723</v>
      </c>
      <c r="K23" s="5">
        <f t="shared" si="4"/>
        <v>26.700841966732778</v>
      </c>
    </row>
    <row r="24" spans="1:12" x14ac:dyDescent="0.3">
      <c r="A24" s="7" t="s">
        <v>324</v>
      </c>
      <c r="C24" s="31">
        <v>11.19</v>
      </c>
      <c r="D24" s="31">
        <v>10.36</v>
      </c>
      <c r="E24" s="31">
        <v>25.28</v>
      </c>
      <c r="F24" s="70">
        <v>45.44</v>
      </c>
      <c r="G24" s="5">
        <f>G18*G31</f>
        <v>29.759400000000003</v>
      </c>
      <c r="H24" s="5">
        <f t="shared" ref="H24:K24" si="5">H18*H31</f>
        <v>20.854998575745789</v>
      </c>
      <c r="I24" s="5">
        <f t="shared" si="5"/>
        <v>14.614910434832654</v>
      </c>
      <c r="J24" s="5">
        <f t="shared" si="5"/>
        <v>10.241938221304437</v>
      </c>
      <c r="K24" s="5">
        <f t="shared" si="5"/>
        <v>7.1774164471790538</v>
      </c>
    </row>
    <row r="25" spans="1:12" x14ac:dyDescent="0.3">
      <c r="A25" s="7" t="s">
        <v>325</v>
      </c>
      <c r="C25" s="31">
        <v>53.04</v>
      </c>
      <c r="D25" s="31">
        <v>69.42</v>
      </c>
      <c r="E25" s="31">
        <v>115.62</v>
      </c>
      <c r="F25" s="70">
        <v>153.22</v>
      </c>
      <c r="G25" s="5">
        <f>G23-G24</f>
        <v>80.949103856856496</v>
      </c>
      <c r="H25" s="5">
        <f t="shared" ref="H25:K25" si="6">H23-H24</f>
        <v>56.728074008301242</v>
      </c>
      <c r="I25" s="5">
        <f t="shared" si="6"/>
        <v>39.754292850256526</v>
      </c>
      <c r="J25" s="5">
        <f t="shared" si="6"/>
        <v>27.859288855685286</v>
      </c>
      <c r="K25" s="5">
        <f t="shared" si="6"/>
        <v>19.523425519553726</v>
      </c>
    </row>
    <row r="27" spans="1:12" s="1" customFormat="1" x14ac:dyDescent="0.3">
      <c r="A27" s="6" t="s">
        <v>321</v>
      </c>
      <c r="B27" s="6"/>
      <c r="C27" s="32">
        <v>130.31</v>
      </c>
      <c r="D27" s="32">
        <v>71.25</v>
      </c>
      <c r="E27" s="32">
        <v>378.32</v>
      </c>
      <c r="F27" s="32">
        <v>270.54000000000002</v>
      </c>
      <c r="G27" s="11">
        <f>G18+G19+G20-G21-G25</f>
        <v>189.59089614314354</v>
      </c>
      <c r="H27" s="11">
        <f t="shared" ref="H27:K27" si="7">H18+H19+H20-H21-H25</f>
        <v>132.8628221348423</v>
      </c>
      <c r="I27" s="11">
        <f t="shared" si="7"/>
        <v>93.108529284585785</v>
      </c>
      <c r="J27" s="11">
        <f t="shared" si="7"/>
        <v>65.249240428900492</v>
      </c>
      <c r="K27" s="11">
        <f t="shared" si="7"/>
        <v>45.725814909346767</v>
      </c>
    </row>
    <row r="28" spans="1:12" x14ac:dyDescent="0.3">
      <c r="A28" s="7" t="s">
        <v>326</v>
      </c>
      <c r="C28" s="31">
        <v>59.06</v>
      </c>
      <c r="D28" s="31">
        <v>57.47</v>
      </c>
      <c r="E28" s="31">
        <v>152.66999999999999</v>
      </c>
      <c r="F28" s="31">
        <v>129.12</v>
      </c>
      <c r="G28" s="5">
        <f>G27*'Assumption Sheet'!G127</f>
        <v>84.307397802364505</v>
      </c>
      <c r="H28" s="5">
        <f>H27*'Assumption Sheet'!H127</f>
        <v>59.081522513664439</v>
      </c>
      <c r="I28" s="5">
        <f>I27*'Assumption Sheet'!I127</f>
        <v>41.403558804121204</v>
      </c>
      <c r="J28" s="5">
        <f>J27*'Assumption Sheet'!J127</f>
        <v>29.015072880863006</v>
      </c>
      <c r="K28" s="5">
        <f>K27*'Assumption Sheet'!K127</f>
        <v>20.333383858732308</v>
      </c>
    </row>
    <row r="29" spans="1:12" x14ac:dyDescent="0.3">
      <c r="A29" s="7" t="s">
        <v>327</v>
      </c>
      <c r="C29" s="31">
        <v>71.25</v>
      </c>
      <c r="D29" s="31">
        <v>13.78</v>
      </c>
      <c r="E29" s="31">
        <v>225.65</v>
      </c>
      <c r="F29" s="31">
        <v>141.43</v>
      </c>
      <c r="G29" s="5">
        <f>G27-G28</f>
        <v>105.28349834077903</v>
      </c>
      <c r="H29" s="5">
        <f t="shared" ref="H29:K29" si="8">H27-H28</f>
        <v>73.781299621177865</v>
      </c>
      <c r="I29" s="5">
        <f t="shared" si="8"/>
        <v>51.704970480464581</v>
      </c>
      <c r="J29" s="5">
        <f t="shared" si="8"/>
        <v>36.23416754803749</v>
      </c>
      <c r="K29" s="5">
        <f t="shared" si="8"/>
        <v>25.392431050614459</v>
      </c>
    </row>
    <row r="31" spans="1:12" x14ac:dyDescent="0.3">
      <c r="A31" s="7" t="s">
        <v>337</v>
      </c>
      <c r="C31" s="39">
        <f>C24/C18</f>
        <v>0.1015242242787153</v>
      </c>
      <c r="D31" s="39">
        <f t="shared" ref="D31:F31" si="9">D24/D18</f>
        <v>7.9502724272887723E-2</v>
      </c>
      <c r="E31" s="39">
        <f t="shared" si="9"/>
        <v>0.35480701754385968</v>
      </c>
      <c r="F31" s="39">
        <f t="shared" si="9"/>
        <v>0.12010995982237259</v>
      </c>
      <c r="G31" s="30">
        <f>'Assumption Sheet'!G128</f>
        <v>0.11</v>
      </c>
      <c r="H31" s="30">
        <f>'Assumption Sheet'!H128</f>
        <v>0.11</v>
      </c>
      <c r="I31" s="30">
        <f>'Assumption Sheet'!I128</f>
        <v>0.11</v>
      </c>
      <c r="J31" s="30">
        <f>'Assumption Sheet'!J128</f>
        <v>0.11</v>
      </c>
      <c r="K31" s="30">
        <f>'Assumption Sheet'!K128</f>
        <v>0.11</v>
      </c>
    </row>
    <row r="32" spans="1:12" x14ac:dyDescent="0.3">
      <c r="A32" s="7" t="s">
        <v>338</v>
      </c>
      <c r="G32" s="5">
        <f>'Assumption Sheet'!G129</f>
        <v>3</v>
      </c>
      <c r="H32" s="5">
        <f>'Assumption Sheet'!H129</f>
        <v>3</v>
      </c>
      <c r="I32" s="5">
        <f>'Assumption Sheet'!I129</f>
        <v>3</v>
      </c>
      <c r="J32" s="5">
        <f>'Assumption Sheet'!J129</f>
        <v>3</v>
      </c>
      <c r="K32" s="5">
        <f>'Assumption Sheet'!K129</f>
        <v>3</v>
      </c>
    </row>
  </sheetData>
  <hyperlinks>
    <hyperlink ref="A1" location="'Navigation Pane'!B4" display="Lease Schedule " xr:uid="{3CA1DD95-447B-4CD5-858C-1149C9DBAD9F}"/>
  </hyperlink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AD661-7C59-4BB5-AFFE-4548ABEC355D}">
  <dimension ref="A1:K40"/>
  <sheetViews>
    <sheetView showGridLines="0" workbookViewId="0">
      <pane xSplit="2" ySplit="3" topLeftCell="C4" activePane="bottomRight" state="frozen"/>
      <selection pane="topRight" activeCell="C1" sqref="C1"/>
      <selection pane="bottomLeft" activeCell="A4" sqref="A4"/>
      <selection pane="bottomRight"/>
    </sheetView>
  </sheetViews>
  <sheetFormatPr defaultRowHeight="14.4" x14ac:dyDescent="0.3"/>
  <cols>
    <col min="1" max="1" width="54" style="7" bestFit="1" customWidth="1"/>
    <col min="2" max="2" width="10.109375" style="7" bestFit="1" customWidth="1"/>
    <col min="3" max="3" width="11" style="4" bestFit="1" customWidth="1"/>
    <col min="4" max="6" width="9.44140625" style="4" bestFit="1" customWidth="1"/>
    <col min="7" max="8" width="9.44140625" style="5" bestFit="1" customWidth="1"/>
    <col min="9" max="11" width="11" style="5" bestFit="1" customWidth="1"/>
  </cols>
  <sheetData>
    <row r="1" spans="1:11" s="1" customFormat="1" ht="18" x14ac:dyDescent="0.3">
      <c r="A1" s="77" t="s">
        <v>375</v>
      </c>
      <c r="B1" s="6"/>
      <c r="C1" s="8"/>
      <c r="D1" s="8"/>
      <c r="E1" s="8"/>
      <c r="F1" s="8"/>
      <c r="G1" s="9"/>
      <c r="H1" s="9"/>
      <c r="I1" s="9"/>
      <c r="J1" s="9"/>
      <c r="K1" s="9"/>
    </row>
    <row r="2" spans="1:11" x14ac:dyDescent="0.3">
      <c r="A2" s="7" t="s">
        <v>1</v>
      </c>
      <c r="C2" s="24"/>
      <c r="D2" s="24"/>
      <c r="E2" s="24"/>
      <c r="F2" s="24"/>
      <c r="G2" s="33"/>
      <c r="H2" s="33"/>
      <c r="I2" s="33"/>
      <c r="J2" s="33"/>
      <c r="K2" s="33"/>
    </row>
    <row r="3" spans="1:11" s="1" customFormat="1" x14ac:dyDescent="0.3">
      <c r="A3" s="6" t="s">
        <v>2</v>
      </c>
      <c r="B3" s="6" t="s">
        <v>3</v>
      </c>
      <c r="C3" s="8" t="s">
        <v>4</v>
      </c>
      <c r="D3" s="8" t="s">
        <v>5</v>
      </c>
      <c r="E3" s="8" t="s">
        <v>6</v>
      </c>
      <c r="F3" s="8" t="s">
        <v>7</v>
      </c>
      <c r="G3" s="9" t="s">
        <v>8</v>
      </c>
      <c r="H3" s="9" t="s">
        <v>9</v>
      </c>
      <c r="I3" s="9" t="s">
        <v>10</v>
      </c>
      <c r="J3" s="9" t="s">
        <v>11</v>
      </c>
      <c r="K3" s="9" t="s">
        <v>12</v>
      </c>
    </row>
    <row r="5" spans="1:11" x14ac:dyDescent="0.3">
      <c r="A5" s="7" t="s">
        <v>71</v>
      </c>
      <c r="C5" s="4">
        <v>28.89</v>
      </c>
      <c r="D5" s="4">
        <v>1.37</v>
      </c>
      <c r="E5" s="24">
        <v>394.08</v>
      </c>
      <c r="F5" s="4">
        <v>128.69</v>
      </c>
      <c r="G5" s="5">
        <v>0</v>
      </c>
      <c r="H5" s="5">
        <v>0</v>
      </c>
      <c r="I5" s="5">
        <v>0</v>
      </c>
      <c r="J5" s="5">
        <v>0</v>
      </c>
      <c r="K5" s="5">
        <v>0</v>
      </c>
    </row>
    <row r="6" spans="1:11" x14ac:dyDescent="0.3">
      <c r="A6" s="7" t="s">
        <v>361</v>
      </c>
      <c r="C6" s="4">
        <v>39.479999999999997</v>
      </c>
      <c r="D6" s="4">
        <v>0</v>
      </c>
      <c r="E6" s="4">
        <v>88.08</v>
      </c>
      <c r="F6" s="4">
        <v>0</v>
      </c>
      <c r="G6" s="5">
        <v>0</v>
      </c>
      <c r="H6" s="5">
        <v>0</v>
      </c>
      <c r="I6" s="5">
        <v>0</v>
      </c>
      <c r="J6" s="5">
        <v>0</v>
      </c>
      <c r="K6" s="5">
        <v>0</v>
      </c>
    </row>
    <row r="7" spans="1:11" x14ac:dyDescent="0.3">
      <c r="A7" s="7" t="s">
        <v>362</v>
      </c>
      <c r="C7" s="4">
        <v>0</v>
      </c>
      <c r="D7" s="4">
        <v>0</v>
      </c>
      <c r="E7" s="4">
        <v>0</v>
      </c>
      <c r="F7" s="4">
        <v>0</v>
      </c>
      <c r="G7" s="5">
        <v>0</v>
      </c>
      <c r="H7" s="5">
        <v>0</v>
      </c>
      <c r="I7" s="5">
        <v>0</v>
      </c>
      <c r="J7" s="5">
        <v>0</v>
      </c>
      <c r="K7" s="5">
        <v>0</v>
      </c>
    </row>
    <row r="8" spans="1:11" x14ac:dyDescent="0.3">
      <c r="A8" s="7" t="s">
        <v>476</v>
      </c>
      <c r="C8" s="4">
        <v>1840.51</v>
      </c>
      <c r="D8" s="4">
        <v>2950.35</v>
      </c>
      <c r="E8" s="28">
        <v>4089.6</v>
      </c>
      <c r="F8" s="28">
        <v>4188.83</v>
      </c>
      <c r="G8" s="5" t="s">
        <v>226</v>
      </c>
      <c r="H8" s="5" t="s">
        <v>226</v>
      </c>
      <c r="I8" s="5" t="s">
        <v>226</v>
      </c>
      <c r="J8" s="5" t="s">
        <v>226</v>
      </c>
      <c r="K8" s="5" t="s">
        <v>226</v>
      </c>
    </row>
    <row r="9" spans="1:11" x14ac:dyDescent="0.3">
      <c r="A9" s="7" t="s">
        <v>109</v>
      </c>
      <c r="C9" s="4">
        <v>695.29</v>
      </c>
      <c r="D9" s="4">
        <v>0</v>
      </c>
      <c r="E9" s="4">
        <v>0</v>
      </c>
      <c r="F9" s="4">
        <v>0</v>
      </c>
      <c r="G9" s="5">
        <v>0</v>
      </c>
      <c r="H9" s="5">
        <v>0</v>
      </c>
      <c r="I9" s="5">
        <v>0</v>
      </c>
      <c r="J9" s="5">
        <v>0</v>
      </c>
      <c r="K9" s="5">
        <v>0</v>
      </c>
    </row>
    <row r="10" spans="1:11" x14ac:dyDescent="0.3">
      <c r="A10" s="7" t="s">
        <v>363</v>
      </c>
      <c r="C10" s="4">
        <v>0</v>
      </c>
      <c r="D10" s="4">
        <v>0</v>
      </c>
      <c r="E10" s="4">
        <v>0</v>
      </c>
      <c r="F10" s="24">
        <v>1.94</v>
      </c>
      <c r="G10" s="5">
        <v>0</v>
      </c>
      <c r="H10" s="5">
        <v>0</v>
      </c>
      <c r="I10" s="5">
        <v>0</v>
      </c>
      <c r="J10" s="5">
        <v>0</v>
      </c>
      <c r="K10" s="5">
        <v>0</v>
      </c>
    </row>
    <row r="11" spans="1:11" x14ac:dyDescent="0.3">
      <c r="A11" s="7" t="s">
        <v>364</v>
      </c>
      <c r="C11" s="4">
        <v>48.3</v>
      </c>
      <c r="D11" s="4">
        <v>1439.27</v>
      </c>
      <c r="E11" s="28">
        <v>2134.9899999999998</v>
      </c>
      <c r="F11" s="28">
        <v>1305.82</v>
      </c>
      <c r="G11" s="5" t="s">
        <v>226</v>
      </c>
      <c r="H11" s="5" t="s">
        <v>226</v>
      </c>
      <c r="I11" s="5" t="s">
        <v>226</v>
      </c>
      <c r="J11" s="5" t="s">
        <v>226</v>
      </c>
      <c r="K11" s="5" t="s">
        <v>226</v>
      </c>
    </row>
    <row r="12" spans="1:11" x14ac:dyDescent="0.3">
      <c r="A12" s="7" t="s">
        <v>365</v>
      </c>
      <c r="C12" s="4">
        <v>555.76</v>
      </c>
      <c r="D12" s="4">
        <v>564.69000000000005</v>
      </c>
      <c r="E12" s="24">
        <v>-505.31</v>
      </c>
      <c r="F12" s="24">
        <v>90.34</v>
      </c>
      <c r="G12" s="5" t="s">
        <v>226</v>
      </c>
      <c r="H12" s="5" t="s">
        <v>226</v>
      </c>
      <c r="I12" s="5" t="s">
        <v>226</v>
      </c>
      <c r="J12" s="5" t="s">
        <v>226</v>
      </c>
      <c r="K12" s="5" t="s">
        <v>226</v>
      </c>
    </row>
    <row r="13" spans="1:11" x14ac:dyDescent="0.3">
      <c r="A13" s="7" t="s">
        <v>366</v>
      </c>
      <c r="C13" s="4">
        <v>0</v>
      </c>
      <c r="D13" s="4">
        <v>0</v>
      </c>
      <c r="E13" s="28">
        <v>1629.68</v>
      </c>
      <c r="F13" s="28">
        <v>1396.16</v>
      </c>
      <c r="G13" s="5">
        <v>0</v>
      </c>
      <c r="H13" s="5">
        <v>0</v>
      </c>
      <c r="I13" s="5">
        <v>0</v>
      </c>
      <c r="J13" s="5">
        <v>0</v>
      </c>
      <c r="K13" s="5">
        <v>0</v>
      </c>
    </row>
    <row r="14" spans="1:11" x14ac:dyDescent="0.3">
      <c r="A14" s="7" t="s">
        <v>382</v>
      </c>
      <c r="C14" s="4">
        <v>18.899999999999999</v>
      </c>
      <c r="D14" s="4">
        <v>19.25</v>
      </c>
      <c r="E14" s="24">
        <v>23.21</v>
      </c>
      <c r="F14" s="24">
        <v>26.94</v>
      </c>
      <c r="G14" s="5">
        <f>G38</f>
        <v>27.4788</v>
      </c>
      <c r="H14" s="5">
        <f t="shared" ref="H14:K14" si="0">H38</f>
        <v>28.028376000000002</v>
      </c>
      <c r="I14" s="5">
        <f t="shared" si="0"/>
        <v>28.588943520000001</v>
      </c>
      <c r="J14" s="5">
        <f t="shared" si="0"/>
        <v>29.160722390400004</v>
      </c>
      <c r="K14" s="5">
        <f t="shared" si="0"/>
        <v>29.743936838208004</v>
      </c>
    </row>
    <row r="15" spans="1:11" x14ac:dyDescent="0.3">
      <c r="A15" s="7" t="s">
        <v>367</v>
      </c>
      <c r="C15" s="4">
        <v>89.68</v>
      </c>
      <c r="D15" s="4">
        <v>264.89999999999998</v>
      </c>
      <c r="E15" s="4">
        <v>0</v>
      </c>
      <c r="F15" s="24">
        <v>33.450000000000003</v>
      </c>
      <c r="G15" s="5">
        <v>0</v>
      </c>
      <c r="H15" s="5">
        <v>0</v>
      </c>
      <c r="I15" s="5">
        <v>0</v>
      </c>
      <c r="J15" s="5">
        <v>0</v>
      </c>
      <c r="K15" s="5">
        <v>0</v>
      </c>
    </row>
    <row r="16" spans="1:11" x14ac:dyDescent="0.3">
      <c r="A16" s="7" t="s">
        <v>368</v>
      </c>
      <c r="C16" s="4">
        <v>164.04</v>
      </c>
      <c r="D16" s="4">
        <v>87.14</v>
      </c>
      <c r="E16" s="4">
        <v>0</v>
      </c>
      <c r="F16" s="24">
        <v>13.42</v>
      </c>
      <c r="G16" s="5">
        <v>0</v>
      </c>
      <c r="H16" s="5">
        <v>0</v>
      </c>
      <c r="I16" s="5">
        <v>0</v>
      </c>
      <c r="J16" s="5">
        <v>0</v>
      </c>
      <c r="K16" s="5">
        <v>0</v>
      </c>
    </row>
    <row r="17" spans="1:11" x14ac:dyDescent="0.3">
      <c r="A17" s="7" t="s">
        <v>369</v>
      </c>
      <c r="C17" s="4">
        <v>10.16</v>
      </c>
      <c r="D17" s="4">
        <v>36.159999999999997</v>
      </c>
      <c r="E17" s="24">
        <v>141.21</v>
      </c>
      <c r="F17" s="24">
        <v>17.829999999999998</v>
      </c>
      <c r="G17" s="5">
        <v>17.829999999999998</v>
      </c>
      <c r="H17" s="5">
        <v>17.829999999999998</v>
      </c>
      <c r="I17" s="5">
        <v>17.829999999999998</v>
      </c>
      <c r="J17" s="5">
        <v>17.829999999999998</v>
      </c>
      <c r="K17" s="5">
        <v>17.829999999999998</v>
      </c>
    </row>
    <row r="18" spans="1:11" x14ac:dyDescent="0.3">
      <c r="A18" s="7" t="s">
        <v>381</v>
      </c>
      <c r="B18" s="7" t="s">
        <v>477</v>
      </c>
      <c r="C18" s="4" t="s">
        <v>226</v>
      </c>
      <c r="D18" s="4" t="s">
        <v>226</v>
      </c>
      <c r="E18" s="24" t="s">
        <v>226</v>
      </c>
      <c r="F18" s="24" t="s">
        <v>226</v>
      </c>
      <c r="G18" s="5">
        <f>G22</f>
        <v>4937.2551682100402</v>
      </c>
      <c r="H18" s="5">
        <f t="shared" ref="H18:K18" si="1">H22</f>
        <v>5767.5613141817203</v>
      </c>
      <c r="I18" s="5">
        <f t="shared" si="1"/>
        <v>7139.0646958317493</v>
      </c>
      <c r="J18" s="5">
        <f t="shared" si="1"/>
        <v>10476.216215251414</v>
      </c>
      <c r="K18" s="5">
        <f t="shared" si="1"/>
        <v>14232.214044171931</v>
      </c>
    </row>
    <row r="19" spans="1:11" s="1" customFormat="1" x14ac:dyDescent="0.3">
      <c r="A19" s="100" t="s">
        <v>347</v>
      </c>
      <c r="B19" s="100"/>
      <c r="C19" s="101">
        <v>3497.01</v>
      </c>
      <c r="D19" s="101">
        <v>5363.13</v>
      </c>
      <c r="E19" s="102">
        <v>6365.86</v>
      </c>
      <c r="F19" s="102">
        <v>5807.26</v>
      </c>
      <c r="G19" s="103">
        <f>SUM(G5:G18)</f>
        <v>4982.56396821004</v>
      </c>
      <c r="H19" s="103">
        <f t="shared" ref="H19:K19" si="2">SUM(H5:H18)</f>
        <v>5813.4196901817204</v>
      </c>
      <c r="I19" s="103">
        <f t="shared" si="2"/>
        <v>7185.4836393517489</v>
      </c>
      <c r="J19" s="103">
        <f t="shared" si="2"/>
        <v>10523.206937641813</v>
      </c>
      <c r="K19" s="103">
        <f t="shared" si="2"/>
        <v>14279.787981010139</v>
      </c>
    </row>
    <row r="20" spans="1:11" x14ac:dyDescent="0.3">
      <c r="E20" s="28"/>
      <c r="F20" s="28"/>
    </row>
    <row r="22" spans="1:11" x14ac:dyDescent="0.3">
      <c r="A22" s="7" t="s">
        <v>376</v>
      </c>
      <c r="C22" s="4">
        <f>C8+C11+C12</f>
        <v>2444.5699999999997</v>
      </c>
      <c r="D22" s="4">
        <f>D8+D11+D12</f>
        <v>4954.3099999999995</v>
      </c>
      <c r="E22" s="4">
        <f>E8+E11+E12</f>
        <v>5719.28</v>
      </c>
      <c r="F22" s="4">
        <f>F8+F11+F12</f>
        <v>5584.99</v>
      </c>
      <c r="G22" s="5">
        <f>G33*G34</f>
        <v>4937.2551682100402</v>
      </c>
      <c r="H22" s="5">
        <f>H33*H34</f>
        <v>5767.5613141817203</v>
      </c>
      <c r="I22" s="5">
        <f>I33*I34</f>
        <v>7139.0646958317493</v>
      </c>
      <c r="J22" s="5">
        <f>J33*J34</f>
        <v>10476.216215251414</v>
      </c>
      <c r="K22" s="5">
        <f>K33*K34</f>
        <v>14232.214044171931</v>
      </c>
    </row>
    <row r="24" spans="1:11" x14ac:dyDescent="0.3">
      <c r="A24" s="6" t="s">
        <v>374</v>
      </c>
    </row>
    <row r="25" spans="1:11" x14ac:dyDescent="0.3">
      <c r="A25" s="6" t="str">
        <f>'Balance Sheet'!A5</f>
        <v>Non-current assets</v>
      </c>
    </row>
    <row r="26" spans="1:11" x14ac:dyDescent="0.3">
      <c r="A26" s="7" t="str">
        <f>'Balance Sheet'!A12</f>
        <v>Other financial assets</v>
      </c>
      <c r="B26" s="7" t="s">
        <v>371</v>
      </c>
      <c r="C26" s="4">
        <f>'Balance Sheet'!C12</f>
        <v>14725.69</v>
      </c>
      <c r="D26" s="4">
        <f>'Balance Sheet'!D12</f>
        <v>5295.59</v>
      </c>
      <c r="E26" s="4">
        <f>'Balance Sheet'!E12</f>
        <v>1719.12</v>
      </c>
      <c r="F26" s="4">
        <f>'Balance Sheet'!F12</f>
        <v>779.76</v>
      </c>
    </row>
    <row r="27" spans="1:11" x14ac:dyDescent="0.3">
      <c r="A27" s="6" t="str">
        <f>'Balance Sheet'!A15</f>
        <v>Current assets</v>
      </c>
    </row>
    <row r="28" spans="1:11" x14ac:dyDescent="0.3">
      <c r="A28" s="7" t="str">
        <f>'Balance Sheet'!A17</f>
        <v>Investments</v>
      </c>
      <c r="B28" s="7" t="s">
        <v>370</v>
      </c>
      <c r="C28" s="4">
        <f>'Balance Sheet'!C17</f>
        <v>53076.37</v>
      </c>
      <c r="D28" s="4">
        <f>'Balance Sheet'!D17</f>
        <v>23877.46</v>
      </c>
      <c r="E28" s="4">
        <f>'Balance Sheet'!E17</f>
        <v>11772.39</v>
      </c>
      <c r="F28" s="4">
        <f>'Balance Sheet'!F17</f>
        <v>11120.75</v>
      </c>
    </row>
    <row r="29" spans="1:11" x14ac:dyDescent="0.3">
      <c r="A29" s="7" t="str">
        <f>'Balance Sheet'!A19</f>
        <v>Cash and cash equivalents</v>
      </c>
      <c r="C29" s="4">
        <f>'Balance Sheet'!C19</f>
        <v>15272.6</v>
      </c>
      <c r="D29" s="4">
        <f>'Balance Sheet'!D19</f>
        <v>1670.34</v>
      </c>
      <c r="E29" s="4">
        <f>'Balance Sheet'!E19</f>
        <v>5691.91</v>
      </c>
      <c r="F29" s="4">
        <f>'Balance Sheet'!F19</f>
        <v>6939.1</v>
      </c>
    </row>
    <row r="30" spans="1:11" x14ac:dyDescent="0.3">
      <c r="A30" s="7" t="str">
        <f>'Balance Sheet'!A20</f>
        <v>Bank balances (other than cash)</v>
      </c>
      <c r="C30" s="4">
        <f>'Balance Sheet'!C20</f>
        <v>17100.96</v>
      </c>
      <c r="D30" s="4">
        <f>'Balance Sheet'!D20</f>
        <v>49156.33</v>
      </c>
      <c r="E30" s="4">
        <f>'Balance Sheet'!E20</f>
        <v>48517.08</v>
      </c>
      <c r="F30" s="4">
        <f>'Balance Sheet'!F20</f>
        <v>47430.52</v>
      </c>
    </row>
    <row r="31" spans="1:11" x14ac:dyDescent="0.3">
      <c r="A31" s="7" t="str">
        <f>'Balance Sheet'!A21</f>
        <v>Loans</v>
      </c>
      <c r="B31" s="7" t="s">
        <v>372</v>
      </c>
      <c r="C31" s="4">
        <f>'Balance Sheet'!C21</f>
        <v>2282.09</v>
      </c>
      <c r="D31" s="4">
        <f>'Balance Sheet'!D21</f>
        <v>2621.31</v>
      </c>
      <c r="E31" s="4">
        <f>'Balance Sheet'!E21</f>
        <v>2209.2199999999998</v>
      </c>
      <c r="F31" s="4">
        <f>'Balance Sheet'!F21</f>
        <v>1925.33</v>
      </c>
    </row>
    <row r="32" spans="1:11" x14ac:dyDescent="0.3">
      <c r="A32" s="7" t="str">
        <f>'Balance Sheet'!A22</f>
        <v>Other financial assets</v>
      </c>
      <c r="B32" s="7" t="s">
        <v>373</v>
      </c>
      <c r="C32" s="4">
        <f>'Balance Sheet'!C22</f>
        <v>793.02</v>
      </c>
      <c r="D32" s="4">
        <f>'Balance Sheet'!D22</f>
        <v>2195.84</v>
      </c>
      <c r="E32" s="4">
        <f>'Balance Sheet'!E22</f>
        <v>311.7</v>
      </c>
      <c r="F32" s="4">
        <f>'Balance Sheet'!F22</f>
        <v>326.64</v>
      </c>
    </row>
    <row r="33" spans="1:11" x14ac:dyDescent="0.3">
      <c r="A33" s="6" t="s">
        <v>347</v>
      </c>
      <c r="B33" s="6"/>
      <c r="C33" s="10">
        <f>SUM(C26:C32)</f>
        <v>103250.73</v>
      </c>
      <c r="D33" s="10">
        <f>SUM(D26:D32)</f>
        <v>84816.87</v>
      </c>
      <c r="E33" s="10">
        <f>SUM(E26:E32)</f>
        <v>70221.42</v>
      </c>
      <c r="F33" s="10">
        <f>SUM(F26:F32)</f>
        <v>68522.100000000006</v>
      </c>
      <c r="G33" s="11">
        <f>F33-'Capex Schedule '!G334+IS!G11</f>
        <v>77144.612003281873</v>
      </c>
      <c r="H33" s="11">
        <f>G33-'Capex Schedule '!H334+IS!H11</f>
        <v>90118.145534089374</v>
      </c>
      <c r="I33" s="11">
        <f>H33-'Capex Schedule '!I334+IS!I11</f>
        <v>111547.88587237109</v>
      </c>
      <c r="J33" s="11">
        <f>I33-'Capex Schedule '!J334+IS!J11</f>
        <v>163690.87836330335</v>
      </c>
      <c r="K33" s="11">
        <f>J33-'Capex Schedule '!K334+IS!K11</f>
        <v>222378.34444018643</v>
      </c>
    </row>
    <row r="34" spans="1:11" x14ac:dyDescent="0.3">
      <c r="A34" s="7" t="s">
        <v>377</v>
      </c>
      <c r="C34" s="29">
        <v>0</v>
      </c>
      <c r="D34" s="29">
        <f>D22/((D33+C33)/2)</f>
        <v>5.2686480818599273E-2</v>
      </c>
      <c r="E34" s="29">
        <f>E22/((E33+D33)/2)</f>
        <v>7.377893551328514E-2</v>
      </c>
      <c r="F34" s="29">
        <f>F22/((F33+E33)/2)</f>
        <v>8.050812030716821E-2</v>
      </c>
      <c r="G34" s="30">
        <f>'Assumption Sheet'!G137</f>
        <v>6.4000000000000001E-2</v>
      </c>
      <c r="H34" s="30">
        <f>'Assumption Sheet'!H137</f>
        <v>6.4000000000000001E-2</v>
      </c>
      <c r="I34" s="30">
        <f>'Assumption Sheet'!I137</f>
        <v>6.4000000000000001E-2</v>
      </c>
      <c r="J34" s="30">
        <f>'Assumption Sheet'!J137</f>
        <v>6.4000000000000001E-2</v>
      </c>
      <c r="K34" s="30">
        <f>'Assumption Sheet'!K137</f>
        <v>6.4000000000000001E-2</v>
      </c>
    </row>
    <row r="35" spans="1:11" x14ac:dyDescent="0.3">
      <c r="D35" s="29"/>
      <c r="E35" s="29"/>
      <c r="F35" s="29"/>
    </row>
    <row r="38" spans="1:11" x14ac:dyDescent="0.3">
      <c r="A38" s="7" t="str">
        <f>A14</f>
        <v xml:space="preserve">Rent Income </v>
      </c>
      <c r="C38" s="4">
        <f>C14</f>
        <v>18.899999999999999</v>
      </c>
      <c r="D38" s="4">
        <f>D14</f>
        <v>19.25</v>
      </c>
      <c r="E38" s="4">
        <f>E14</f>
        <v>23.21</v>
      </c>
      <c r="F38" s="4">
        <f>F14</f>
        <v>26.94</v>
      </c>
      <c r="G38" s="5">
        <f>G39*G40</f>
        <v>27.4788</v>
      </c>
      <c r="H38" s="5">
        <f t="shared" ref="H38:K38" si="3">H39*H40</f>
        <v>28.028376000000002</v>
      </c>
      <c r="I38" s="5">
        <f t="shared" si="3"/>
        <v>28.588943520000001</v>
      </c>
      <c r="J38" s="5">
        <f t="shared" si="3"/>
        <v>29.160722390400004</v>
      </c>
      <c r="K38" s="5">
        <f t="shared" si="3"/>
        <v>29.743936838208004</v>
      </c>
    </row>
    <row r="39" spans="1:11" x14ac:dyDescent="0.3">
      <c r="A39" s="7" t="s">
        <v>383</v>
      </c>
      <c r="B39" s="7" t="s">
        <v>385</v>
      </c>
      <c r="C39" s="4">
        <f>'Capex Schedule '!C308</f>
        <v>252.71</v>
      </c>
      <c r="D39" s="4">
        <f>'Capex Schedule '!D308</f>
        <v>252.71</v>
      </c>
      <c r="E39" s="4">
        <f>'Capex Schedule '!E308</f>
        <v>252.71</v>
      </c>
      <c r="F39" s="4">
        <f>'Capex Schedule '!F308</f>
        <v>252.71</v>
      </c>
      <c r="G39" s="5">
        <f>'Capex Schedule '!G308</f>
        <v>252.71</v>
      </c>
      <c r="H39" s="5">
        <f>'Capex Schedule '!H308</f>
        <v>252.71</v>
      </c>
      <c r="I39" s="5">
        <f>'Capex Schedule '!I308</f>
        <v>252.71</v>
      </c>
      <c r="J39" s="5">
        <f>'Capex Schedule '!J308</f>
        <v>252.71</v>
      </c>
      <c r="K39" s="5">
        <f>'Capex Schedule '!K308</f>
        <v>252.71</v>
      </c>
    </row>
    <row r="40" spans="1:11" x14ac:dyDescent="0.3">
      <c r="A40" s="7" t="s">
        <v>384</v>
      </c>
      <c r="C40" s="29">
        <f>C38/C39</f>
        <v>7.4789284159708744E-2</v>
      </c>
      <c r="D40" s="29">
        <f t="shared" ref="D40:F40" si="4">D38/D39</f>
        <v>7.617427090340706E-2</v>
      </c>
      <c r="E40" s="29">
        <f t="shared" si="4"/>
        <v>9.1844406632107953E-2</v>
      </c>
      <c r="F40" s="29">
        <f t="shared" si="4"/>
        <v>0.10660440821494994</v>
      </c>
      <c r="G40" s="30">
        <f>'Assumption Sheet'!G138</f>
        <v>0.10873649637924894</v>
      </c>
      <c r="H40" s="30">
        <f>'Assumption Sheet'!H138</f>
        <v>0.11091122630683392</v>
      </c>
      <c r="I40" s="30">
        <f>'Assumption Sheet'!I138</f>
        <v>0.1131294508329706</v>
      </c>
      <c r="J40" s="30">
        <f>'Assumption Sheet'!J138</f>
        <v>0.11539203984963002</v>
      </c>
      <c r="K40" s="30">
        <f>'Assumption Sheet'!K138</f>
        <v>0.11769988064662262</v>
      </c>
    </row>
  </sheetData>
  <hyperlinks>
    <hyperlink ref="A1" location="'Navigation Pane'!B4" display="Other Income Schedule " xr:uid="{FE6188BC-7439-4AB2-9C5E-65823201466C}"/>
  </hyperlink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730B6-3999-421F-8C6F-3F91734700F6}">
  <dimension ref="A1:B134"/>
  <sheetViews>
    <sheetView showGridLines="0" zoomScale="80" zoomScaleNormal="80" workbookViewId="0"/>
  </sheetViews>
  <sheetFormatPr defaultRowHeight="14.4" x14ac:dyDescent="0.3"/>
  <sheetData>
    <row r="1" spans="1:1" ht="18" x14ac:dyDescent="0.35">
      <c r="A1" s="104" t="s">
        <v>478</v>
      </c>
    </row>
    <row r="12" spans="1:1" x14ac:dyDescent="0.3">
      <c r="A12" t="s">
        <v>143</v>
      </c>
    </row>
    <row r="13" spans="1:1" x14ac:dyDescent="0.3">
      <c r="A13" t="s">
        <v>144</v>
      </c>
    </row>
    <row r="14" spans="1:1" x14ac:dyDescent="0.3">
      <c r="A14" t="s">
        <v>145</v>
      </c>
    </row>
    <row r="15" spans="1:1" x14ac:dyDescent="0.3">
      <c r="A15" t="s">
        <v>146</v>
      </c>
    </row>
    <row r="16" spans="1:1" x14ac:dyDescent="0.3">
      <c r="A16" t="s">
        <v>147</v>
      </c>
    </row>
    <row r="18" spans="1:1" x14ac:dyDescent="0.3">
      <c r="A18" t="s">
        <v>148</v>
      </c>
    </row>
    <row r="19" spans="1:1" x14ac:dyDescent="0.3">
      <c r="A19" t="s">
        <v>149</v>
      </c>
    </row>
    <row r="20" spans="1:1" x14ac:dyDescent="0.3">
      <c r="A20" t="s">
        <v>150</v>
      </c>
    </row>
    <row r="32" spans="1:1" x14ac:dyDescent="0.3">
      <c r="A32" t="s">
        <v>153</v>
      </c>
    </row>
    <row r="33" spans="1:1" x14ac:dyDescent="0.3">
      <c r="A33" t="s">
        <v>151</v>
      </c>
    </row>
    <row r="34" spans="1:1" x14ac:dyDescent="0.3">
      <c r="A34" t="s">
        <v>152</v>
      </c>
    </row>
    <row r="36" spans="1:1" x14ac:dyDescent="0.3">
      <c r="A36" t="s">
        <v>154</v>
      </c>
    </row>
    <row r="38" spans="1:1" x14ac:dyDescent="0.3">
      <c r="A38" t="s">
        <v>155</v>
      </c>
    </row>
    <row r="39" spans="1:1" x14ac:dyDescent="0.3">
      <c r="A39" t="s">
        <v>156</v>
      </c>
    </row>
    <row r="40" spans="1:1" x14ac:dyDescent="0.3">
      <c r="A40" t="s">
        <v>158</v>
      </c>
    </row>
    <row r="42" spans="1:1" x14ac:dyDescent="0.3">
      <c r="A42" t="s">
        <v>157</v>
      </c>
    </row>
    <row r="43" spans="1:1" x14ac:dyDescent="0.3">
      <c r="A43" t="s">
        <v>159</v>
      </c>
    </row>
    <row r="74" spans="1:1" x14ac:dyDescent="0.3">
      <c r="A74" t="s">
        <v>160</v>
      </c>
    </row>
    <row r="75" spans="1:1" x14ac:dyDescent="0.3">
      <c r="A75" t="s">
        <v>161</v>
      </c>
    </row>
    <row r="76" spans="1:1" x14ac:dyDescent="0.3">
      <c r="A76" t="s">
        <v>162</v>
      </c>
    </row>
    <row r="78" spans="1:1" x14ac:dyDescent="0.3">
      <c r="A78" t="s">
        <v>163</v>
      </c>
    </row>
    <row r="79" spans="1:1" x14ac:dyDescent="0.3">
      <c r="A79" t="s">
        <v>164</v>
      </c>
    </row>
    <row r="80" spans="1:1" x14ac:dyDescent="0.3">
      <c r="A80" t="s">
        <v>165</v>
      </c>
    </row>
    <row r="81" spans="1:1" x14ac:dyDescent="0.3">
      <c r="A81" t="s">
        <v>166</v>
      </c>
    </row>
    <row r="82" spans="1:1" x14ac:dyDescent="0.3">
      <c r="A82" t="s">
        <v>167</v>
      </c>
    </row>
    <row r="84" spans="1:1" x14ac:dyDescent="0.3">
      <c r="A84" t="s">
        <v>168</v>
      </c>
    </row>
    <row r="85" spans="1:1" x14ac:dyDescent="0.3">
      <c r="A85" t="s">
        <v>169</v>
      </c>
    </row>
    <row r="86" spans="1:1" x14ac:dyDescent="0.3">
      <c r="A86" t="s">
        <v>170</v>
      </c>
    </row>
    <row r="87" spans="1:1" x14ac:dyDescent="0.3">
      <c r="A87" s="1" t="s">
        <v>171</v>
      </c>
    </row>
    <row r="98" spans="1:2" ht="15.6" x14ac:dyDescent="0.3">
      <c r="A98" s="25" t="s">
        <v>172</v>
      </c>
    </row>
    <row r="99" spans="1:2" x14ac:dyDescent="0.3">
      <c r="A99" s="27">
        <v>46054</v>
      </c>
      <c r="B99" s="1" t="s">
        <v>173</v>
      </c>
    </row>
    <row r="100" spans="1:2" x14ac:dyDescent="0.3">
      <c r="B100" s="1" t="s">
        <v>174</v>
      </c>
    </row>
    <row r="101" spans="1:2" x14ac:dyDescent="0.3">
      <c r="B101" t="s">
        <v>180</v>
      </c>
    </row>
    <row r="102" spans="1:2" x14ac:dyDescent="0.3">
      <c r="B102" t="s">
        <v>175</v>
      </c>
    </row>
    <row r="103" spans="1:2" x14ac:dyDescent="0.3">
      <c r="B103" t="s">
        <v>185</v>
      </c>
    </row>
    <row r="104" spans="1:2" x14ac:dyDescent="0.3">
      <c r="B104" s="1" t="s">
        <v>176</v>
      </c>
    </row>
    <row r="105" spans="1:2" x14ac:dyDescent="0.3">
      <c r="B105" t="s">
        <v>177</v>
      </c>
    </row>
    <row r="106" spans="1:2" x14ac:dyDescent="0.3">
      <c r="B106" t="s">
        <v>178</v>
      </c>
    </row>
    <row r="107" spans="1:2" x14ac:dyDescent="0.3">
      <c r="B107" s="1" t="s">
        <v>297</v>
      </c>
    </row>
    <row r="108" spans="1:2" x14ac:dyDescent="0.3">
      <c r="B108" s="1" t="s">
        <v>307</v>
      </c>
    </row>
    <row r="109" spans="1:2" x14ac:dyDescent="0.3">
      <c r="B109" t="s">
        <v>179</v>
      </c>
    </row>
    <row r="110" spans="1:2" x14ac:dyDescent="0.3">
      <c r="B110" t="s">
        <v>181</v>
      </c>
    </row>
    <row r="111" spans="1:2" x14ac:dyDescent="0.3">
      <c r="B111" t="s">
        <v>182</v>
      </c>
    </row>
    <row r="112" spans="1:2" x14ac:dyDescent="0.3">
      <c r="B112" t="s">
        <v>183</v>
      </c>
    </row>
    <row r="113" spans="1:2" x14ac:dyDescent="0.3">
      <c r="B113" t="s">
        <v>184</v>
      </c>
    </row>
    <row r="116" spans="1:2" x14ac:dyDescent="0.3">
      <c r="A116" s="26">
        <v>45962</v>
      </c>
      <c r="B116" t="s">
        <v>186</v>
      </c>
    </row>
    <row r="117" spans="1:2" x14ac:dyDescent="0.3">
      <c r="B117" t="s">
        <v>187</v>
      </c>
    </row>
    <row r="118" spans="1:2" x14ac:dyDescent="0.3">
      <c r="B118" t="s">
        <v>188</v>
      </c>
    </row>
    <row r="119" spans="1:2" x14ac:dyDescent="0.3">
      <c r="B119" t="s">
        <v>189</v>
      </c>
    </row>
    <row r="120" spans="1:2" x14ac:dyDescent="0.3">
      <c r="B120" s="1" t="s">
        <v>190</v>
      </c>
    </row>
    <row r="121" spans="1:2" x14ac:dyDescent="0.3">
      <c r="B121" t="s">
        <v>191</v>
      </c>
    </row>
    <row r="122" spans="1:2" x14ac:dyDescent="0.3">
      <c r="B122" s="1" t="s">
        <v>192</v>
      </c>
    </row>
    <row r="123" spans="1:2" x14ac:dyDescent="0.3">
      <c r="B123" t="s">
        <v>193</v>
      </c>
    </row>
    <row r="124" spans="1:2" x14ac:dyDescent="0.3">
      <c r="B124" s="1" t="s">
        <v>194</v>
      </c>
    </row>
    <row r="125" spans="1:2" x14ac:dyDescent="0.3">
      <c r="B125" t="s">
        <v>195</v>
      </c>
    </row>
    <row r="128" spans="1:2" x14ac:dyDescent="0.3">
      <c r="A128" s="26">
        <v>45901</v>
      </c>
      <c r="B128" t="s">
        <v>306</v>
      </c>
    </row>
    <row r="129" spans="1:2" x14ac:dyDescent="0.3">
      <c r="B129" s="1" t="s">
        <v>196</v>
      </c>
    </row>
    <row r="130" spans="1:2" x14ac:dyDescent="0.3">
      <c r="B130" t="s">
        <v>197</v>
      </c>
    </row>
    <row r="132" spans="1:2" x14ac:dyDescent="0.3">
      <c r="A132" s="26">
        <v>45778</v>
      </c>
      <c r="B132" t="s">
        <v>198</v>
      </c>
    </row>
    <row r="133" spans="1:2" x14ac:dyDescent="0.3">
      <c r="B133" t="s">
        <v>199</v>
      </c>
    </row>
    <row r="134" spans="1:2" x14ac:dyDescent="0.3">
      <c r="B134" t="s">
        <v>200</v>
      </c>
    </row>
  </sheetData>
  <hyperlinks>
    <hyperlink ref="A1" location="'Navigation Pane'!B4" display="Notes" xr:uid="{DB7C7B77-659C-4FFF-93AE-10A120C56C81}"/>
  </hyperlinks>
  <pageMargins left="0.7" right="0.7" top="0.75" bottom="0.75" header="0.3" footer="0.3"/>
  <pageSetup paperSize="9" orientation="portrait" horizontalDpi="4294967293"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19EEB-CE2A-4382-8ED9-B80520F24356}">
  <dimension ref="A1:K3"/>
  <sheetViews>
    <sheetView showGridLines="0" workbookViewId="0">
      <pane xSplit="2" ySplit="3" topLeftCell="C4" activePane="bottomRight" state="frozen"/>
      <selection pane="topRight" activeCell="C1" sqref="C1"/>
      <selection pane="bottomLeft" activeCell="A4" sqref="A4"/>
      <selection pane="bottomRight" activeCell="L16" sqref="L16"/>
    </sheetView>
  </sheetViews>
  <sheetFormatPr defaultRowHeight="14.4" x14ac:dyDescent="0.3"/>
  <cols>
    <col min="1" max="1" width="14.5546875" style="7" bestFit="1" customWidth="1"/>
    <col min="2" max="2" width="10.109375" style="7" bestFit="1" customWidth="1"/>
    <col min="3" max="6" width="9.109375" style="4" bestFit="1" customWidth="1"/>
    <col min="7" max="11" width="9" style="5" bestFit="1" customWidth="1"/>
  </cols>
  <sheetData>
    <row r="1" spans="1:11" s="1" customFormat="1" x14ac:dyDescent="0.3">
      <c r="A1" s="6" t="s">
        <v>0</v>
      </c>
      <c r="B1" s="6"/>
      <c r="G1" s="2"/>
      <c r="H1" s="2"/>
      <c r="I1" s="2"/>
      <c r="J1" s="2"/>
      <c r="K1" s="2"/>
    </row>
    <row r="2" spans="1:11" x14ac:dyDescent="0.3">
      <c r="A2" s="7" t="s">
        <v>1</v>
      </c>
      <c r="C2"/>
      <c r="D2"/>
      <c r="E2"/>
      <c r="F2"/>
      <c r="G2" s="3"/>
      <c r="H2" s="3"/>
      <c r="I2" s="3"/>
      <c r="J2" s="3"/>
      <c r="K2" s="3"/>
    </row>
    <row r="3" spans="1:11" s="1" customFormat="1" x14ac:dyDescent="0.3">
      <c r="A3" s="6" t="s">
        <v>2</v>
      </c>
      <c r="B3" s="6" t="s">
        <v>3</v>
      </c>
      <c r="C3" s="8" t="s">
        <v>4</v>
      </c>
      <c r="D3" s="8" t="s">
        <v>5</v>
      </c>
      <c r="E3" s="8" t="s">
        <v>6</v>
      </c>
      <c r="F3" s="8" t="s">
        <v>7</v>
      </c>
      <c r="G3" s="9" t="s">
        <v>8</v>
      </c>
      <c r="H3" s="9" t="s">
        <v>9</v>
      </c>
      <c r="I3" s="9" t="s">
        <v>10</v>
      </c>
      <c r="J3" s="9" t="s">
        <v>11</v>
      </c>
      <c r="K3" s="9"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Navigation Pane</vt:lpstr>
      <vt:lpstr>Valuation</vt:lpstr>
      <vt:lpstr>Scenario Analysis </vt:lpstr>
      <vt:lpstr>Assumption Sheet</vt:lpstr>
      <vt:lpstr>Balance Sheet</vt:lpstr>
      <vt:lpstr>IS</vt:lpstr>
      <vt:lpstr>CFS</vt:lpstr>
      <vt:lpstr>Revenue Model</vt:lpstr>
      <vt:lpstr>Cost Model </vt:lpstr>
      <vt:lpstr>Capex Schedule </vt:lpstr>
      <vt:lpstr>Depreciation &amp; Finance Cost </vt:lpstr>
      <vt:lpstr>WC Schedule </vt:lpstr>
      <vt:lpstr>Lease Schedule </vt:lpstr>
      <vt:lpstr>Other Income Schedule </vt:lpstr>
      <vt:lpstr>Notes</vt:lpstr>
      <vt:lpstr>Template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Sanidhya Ekhar</dc:creator>
  <cp:lastModifiedBy>Sanidhya Ekhar</cp:lastModifiedBy>
  <dcterms:created xsi:type="dcterms:W3CDTF">2026-03-20T06:34:59Z</dcterms:created>
  <dcterms:modified xsi:type="dcterms:W3CDTF">2026-04-09T19:23:08Z</dcterms:modified>
</cp:coreProperties>
</file>